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Aug 29 - Sep 11" sheetId="2" r:id="rId5"/>
    <sheet state="visible" name="Aug 15 - 28" sheetId="3" r:id="rId6"/>
    <sheet state="visible" name="Aug 1 - 14" sheetId="4" r:id="rId7"/>
    <sheet state="visible" name="July 18 - 31" sheetId="5" r:id="rId8"/>
    <sheet state="visible" name="July 4 - 17" sheetId="6" r:id="rId9"/>
    <sheet state="visible" name="June 20 - Jul 3" sheetId="7" r:id="rId10"/>
    <sheet state="visible" name="June 6 - 19" sheetId="8" r:id="rId11"/>
    <sheet state="visible" name="May 23 - June 5" sheetId="9" r:id="rId12"/>
    <sheet state="visible" name="April 25 - May 8" sheetId="10" r:id="rId13"/>
    <sheet state="visible" name="May 9 -22" sheetId="11" r:id="rId14"/>
    <sheet state="visible" name="April 11 - 24" sheetId="12" r:id="rId15"/>
    <sheet state="visible" name="March 28 - April 10" sheetId="13" r:id="rId16"/>
    <sheet state="visible" name="March 14 - March 27" sheetId="14" r:id="rId17"/>
    <sheet state="visible" name="Feb 28 - March 13" sheetId="15" r:id="rId18"/>
    <sheet state="visible" name="Feb 14 - 27" sheetId="16" r:id="rId19"/>
    <sheet state="visible" name="Jan 31 - Feb 13" sheetId="17" r:id="rId20"/>
    <sheet state="visible" name="Jan 17 - 30" sheetId="18" r:id="rId21"/>
    <sheet state="visible" name="Jan 3 - 16" sheetId="19" r:id="rId22"/>
    <sheet state="visible" name="Dec 20 - Jan 3" sheetId="20" r:id="rId23"/>
    <sheet state="visible" name="Dec 06 - 19" sheetId="21" r:id="rId24"/>
    <sheet state="visible" name="Nov 22 - Dec 5" sheetId="22" r:id="rId25"/>
    <sheet state="visible" name="Nov 8 - 21" sheetId="23" r:id="rId26"/>
  </sheets>
  <definedNames/>
  <calcPr/>
</workbook>
</file>

<file path=xl/sharedStrings.xml><?xml version="1.0" encoding="utf-8"?>
<sst xmlns="http://schemas.openxmlformats.org/spreadsheetml/2006/main" count="3562" uniqueCount="779">
  <si>
    <t>e</t>
  </si>
  <si>
    <t>Total invesments/ savings(old)</t>
  </si>
  <si>
    <t>Difference old &amp; new</t>
  </si>
  <si>
    <t>days next pay</t>
  </si>
  <si>
    <t>1 month make</t>
  </si>
  <si>
    <t xml:space="preserve">Credit </t>
  </si>
  <si>
    <t>Total invesments/ savings(new)</t>
  </si>
  <si>
    <t xml:space="preserve">Credit goal </t>
  </si>
  <si>
    <t>GuranteedExpenses</t>
  </si>
  <si>
    <t>Chequeing</t>
  </si>
  <si>
    <t>Expenses to occur</t>
  </si>
  <si>
    <t>Daily spend limit</t>
  </si>
  <si>
    <t>Savings OTH2</t>
  </si>
  <si>
    <t>Fit4less</t>
  </si>
  <si>
    <t xml:space="preserve">Used to be </t>
  </si>
  <si>
    <t>Both</t>
  </si>
  <si>
    <t>Can save</t>
  </si>
  <si>
    <t xml:space="preserve">Investments </t>
  </si>
  <si>
    <t>Ravi Syal</t>
  </si>
  <si>
    <t>After Nov 23</t>
  </si>
  <si>
    <t>2nd</t>
  </si>
  <si>
    <t xml:space="preserve">City of Windsor </t>
  </si>
  <si>
    <t>Goodlife Discount</t>
  </si>
  <si>
    <t>Premium Saving+U.S</t>
  </si>
  <si>
    <t>Car insurance</t>
  </si>
  <si>
    <t xml:space="preserve">Leave in chequeing 140 extra at end of every month </t>
  </si>
  <si>
    <t>1st</t>
  </si>
  <si>
    <t>Gas</t>
  </si>
  <si>
    <t>Gym</t>
  </si>
  <si>
    <t>Jiu Jitsu</t>
  </si>
  <si>
    <t xml:space="preserve">CHECK WHAT INSURANCE IS NOW </t>
  </si>
  <si>
    <t>Phone Bill</t>
  </si>
  <si>
    <t>Car Insurance</t>
  </si>
  <si>
    <t>Mortgage</t>
  </si>
  <si>
    <t>Condo Insurance</t>
  </si>
  <si>
    <t xml:space="preserve">Condo Insurance </t>
  </si>
  <si>
    <t>20th of every month</t>
  </si>
  <si>
    <t>Condo Fee</t>
  </si>
  <si>
    <t>1st of ewvery month</t>
  </si>
  <si>
    <t xml:space="preserve">1st Monday of Month </t>
  </si>
  <si>
    <t>Leave</t>
  </si>
  <si>
    <t>Enbridge</t>
  </si>
  <si>
    <t>3rd of every month?</t>
  </si>
  <si>
    <t>Extra</t>
  </si>
  <si>
    <t>plus 2000</t>
  </si>
  <si>
    <t>Total expenses of month</t>
  </si>
  <si>
    <t>*not including car insurance or rec</t>
  </si>
  <si>
    <t>Date</t>
  </si>
  <si>
    <t>Spent</t>
  </si>
  <si>
    <t>Over/Under</t>
  </si>
  <si>
    <t>Nov 8 - 21</t>
  </si>
  <si>
    <t>Days</t>
  </si>
  <si>
    <t>Total</t>
  </si>
  <si>
    <t>Nov 22- Dec 5</t>
  </si>
  <si>
    <t xml:space="preserve">Had to get gas twice, once right before pay </t>
  </si>
  <si>
    <t>Dec 6 - 20</t>
  </si>
  <si>
    <t>Set limit of 600 as got gifts and had carry over</t>
  </si>
  <si>
    <t xml:space="preserve">Average spend </t>
  </si>
  <si>
    <t>First Month</t>
  </si>
  <si>
    <t>Second Month</t>
  </si>
  <si>
    <t>Dec 20 - Jan 3</t>
  </si>
  <si>
    <t>Enter this</t>
  </si>
  <si>
    <t>Chequing</t>
  </si>
  <si>
    <t>First Month charges</t>
  </si>
  <si>
    <t>Make sure these are correct</t>
  </si>
  <si>
    <t>Jan 4 - Jan 17</t>
  </si>
  <si>
    <t>SUM</t>
  </si>
  <si>
    <t xml:space="preserve">Is coming from </t>
  </si>
  <si>
    <t xml:space="preserve">left table </t>
  </si>
  <si>
    <t>Credit</t>
  </si>
  <si>
    <t>Second month charges</t>
  </si>
  <si>
    <t>Jan 17 - 31</t>
  </si>
  <si>
    <t xml:space="preserve">Ski trip </t>
  </si>
  <si>
    <t>Leaving</t>
  </si>
  <si>
    <t>Jan 31 - Feb 14</t>
  </si>
  <si>
    <t>Leave in chequeing</t>
  </si>
  <si>
    <t>Feb 14 - 27</t>
  </si>
  <si>
    <t>Best period yet!</t>
  </si>
  <si>
    <t>1st of month</t>
  </si>
  <si>
    <t>2nd of Month</t>
  </si>
  <si>
    <t>Left</t>
  </si>
  <si>
    <t>Feb 28 - March 13</t>
  </si>
  <si>
    <t>Was higher but Rain will pay back 50 for weed</t>
  </si>
  <si>
    <t xml:space="preserve">Percentage to </t>
  </si>
  <si>
    <t xml:space="preserve">Can Change these </t>
  </si>
  <si>
    <t>March 14 - March 27</t>
  </si>
  <si>
    <t xml:space="preserve">River, Carlos b day, went to aurora </t>
  </si>
  <si>
    <t>Savings</t>
  </si>
  <si>
    <t>March 28 - April 10</t>
  </si>
  <si>
    <t>Jits</t>
  </si>
  <si>
    <t>Investing</t>
  </si>
  <si>
    <t>April 11 - April 24</t>
  </si>
  <si>
    <t>Good because Boston lol</t>
  </si>
  <si>
    <t>UTIL</t>
  </si>
  <si>
    <t>Phone(14th)</t>
  </si>
  <si>
    <t>To USD</t>
  </si>
  <si>
    <t>USD</t>
  </si>
  <si>
    <t>April 25 - May 8</t>
  </si>
  <si>
    <t xml:space="preserve">Property TAx due before 16 </t>
  </si>
  <si>
    <t>May 9 - 22</t>
  </si>
  <si>
    <t>-</t>
  </si>
  <si>
    <t>May 23 - June 5</t>
  </si>
  <si>
    <t>June 6  - June 19</t>
  </si>
  <si>
    <t>June 20 - July 3</t>
  </si>
  <si>
    <t xml:space="preserve">Incredible </t>
  </si>
  <si>
    <t>July 4 - 17</t>
  </si>
  <si>
    <t>Very nice!</t>
  </si>
  <si>
    <t>July 18 - 31</t>
  </si>
  <si>
    <t xml:space="preserve">Montreal vacation </t>
  </si>
  <si>
    <t>Aug 1 - Aug 14</t>
  </si>
  <si>
    <t xml:space="preserve">Paid off vacation </t>
  </si>
  <si>
    <t>Aug 15 - 28</t>
  </si>
  <si>
    <t xml:space="preserve">Insane </t>
  </si>
  <si>
    <t>Aug 29 - Sept 11</t>
  </si>
  <si>
    <t>Current Date</t>
  </si>
  <si>
    <t>Current toal</t>
  </si>
  <si>
    <t>For this period</t>
  </si>
  <si>
    <t>Gifts</t>
  </si>
  <si>
    <t>End Date</t>
  </si>
  <si>
    <t>Desired total</t>
  </si>
  <si>
    <t>Days left</t>
  </si>
  <si>
    <t>PMP</t>
  </si>
  <si>
    <t xml:space="preserve">
</t>
  </si>
  <si>
    <t>Daily spend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</si>
  <si>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Rain comes back Sunday or Monday </t>
  </si>
  <si>
    <t>W</t>
  </si>
  <si>
    <t>Friday</t>
  </si>
  <si>
    <t>Saturday</t>
  </si>
  <si>
    <t>Sunday</t>
  </si>
  <si>
    <t>Monday</t>
  </si>
  <si>
    <t>Tuesday</t>
  </si>
  <si>
    <t>Wednesday</t>
  </si>
  <si>
    <t>Thursday</t>
  </si>
  <si>
    <t>High amount</t>
  </si>
  <si>
    <t>Bills</t>
  </si>
  <si>
    <t>Coffee Instances</t>
  </si>
  <si>
    <t>Notes</t>
  </si>
  <si>
    <t>Inhale 4 sec → Hold 2 → Exhale 6</t>
  </si>
  <si>
    <t>Weed</t>
  </si>
  <si>
    <t>Macs</t>
  </si>
  <si>
    <t>Things I want</t>
  </si>
  <si>
    <t>Need</t>
  </si>
  <si>
    <t>To Left</t>
  </si>
  <si>
    <t xml:space="preserve">PC for </t>
  </si>
  <si>
    <t>(Count it silently. It really helps.)</t>
  </si>
  <si>
    <t>Outside food</t>
  </si>
  <si>
    <t>Parks &amp; Rec</t>
  </si>
  <si>
    <t>Weighted DIp Belt</t>
  </si>
  <si>
    <t>Current Account</t>
  </si>
  <si>
    <t>CDN</t>
  </si>
  <si>
    <t>TIMS</t>
  </si>
  <si>
    <t>New gi</t>
  </si>
  <si>
    <t>**</t>
  </si>
  <si>
    <t>Less weed</t>
  </si>
  <si>
    <t xml:space="preserve">spent too much on weed </t>
  </si>
  <si>
    <t>McDonalds</t>
  </si>
  <si>
    <t>Oreos</t>
  </si>
  <si>
    <t>PMP Certificate</t>
  </si>
  <si>
    <t>Less coffee</t>
  </si>
  <si>
    <t>--&gt; can we limit/quit?</t>
  </si>
  <si>
    <t>Clothes</t>
  </si>
  <si>
    <t>Snacks for SHeas</t>
  </si>
  <si>
    <t>More coding time</t>
  </si>
  <si>
    <t>Bad Axe Throwing Windsor</t>
  </si>
  <si>
    <t>Big Time Entertainment</t>
  </si>
  <si>
    <t xml:space="preserve">No alchohol </t>
  </si>
  <si>
    <t>--&gt; Friday/Saturday onl y</t>
  </si>
  <si>
    <t xml:space="preserve">New belt </t>
  </si>
  <si>
    <t>10 a.m.–9 p.m.</t>
  </si>
  <si>
    <t>2–10 p.m.</t>
  </si>
  <si>
    <t>Alchohol</t>
  </si>
  <si>
    <t>Wal Mart</t>
  </si>
  <si>
    <t>Pay Backs</t>
  </si>
  <si>
    <t>Coffee</t>
  </si>
  <si>
    <t>Date Ideas</t>
  </si>
  <si>
    <t>10 a.m.–11 p.m.</t>
  </si>
  <si>
    <t>2 p.m.–12:30 a.m.</t>
  </si>
  <si>
    <t>Avg daily spend</t>
  </si>
  <si>
    <t>11 a.m.–12:30 a.m.</t>
  </si>
  <si>
    <t>Rain owes 20 for this ounce</t>
  </si>
  <si>
    <t>Other</t>
  </si>
  <si>
    <t>Dominos</t>
  </si>
  <si>
    <t xml:space="preserve">Bad Axe Throwing </t>
  </si>
  <si>
    <t>11 a.m.–10 p.m.</t>
  </si>
  <si>
    <t>Paid for previous one</t>
  </si>
  <si>
    <t>Claude Pro</t>
  </si>
  <si>
    <t>Gladstone Commons</t>
  </si>
  <si>
    <t>https://www.newegg.ca/abs-cyclone-aqua-gaming-desktop-pc-geforce-rtx-5070-intel-core-ultra-7-265kf-32gb-ddr5-1tb-nvme-ssd-ca265kf5070/p/N82E16883360830</t>
  </si>
  <si>
    <t>As per</t>
  </si>
  <si>
    <t>Joses</t>
  </si>
  <si>
    <t>5–9 p.m.</t>
  </si>
  <si>
    <t xml:space="preserve">Money left </t>
  </si>
  <si>
    <t>Gladstone ommons date night for 2 --&gt; $88</t>
  </si>
  <si>
    <t>Take 5 is similar to this prolly more expensive</t>
  </si>
  <si>
    <t>IBKR</t>
  </si>
  <si>
    <t>Food Basics</t>
  </si>
  <si>
    <t>Belle Isle Park</t>
  </si>
  <si>
    <t>Detroit</t>
  </si>
  <si>
    <t>BMO</t>
  </si>
  <si>
    <t>Arbys</t>
  </si>
  <si>
    <t>The Skip</t>
  </si>
  <si>
    <t>5–11 p.m.</t>
  </si>
  <si>
    <t>Choose your new Corporate Membership Plan</t>
  </si>
  <si>
    <t>Closed</t>
  </si>
  <si>
    <t>ANBERNIC RG35XXSP</t>
  </si>
  <si>
    <t>1. Select a membership plan - payment frequency will be updated below after selection</t>
  </si>
  <si>
    <t>https://www.newegg.ca/gaming-desktop-pc-amd-radeon-rx-9070-xt-intel-core-i7-14700kf-32gb-ddr5-2tb-ssd-azzagerizim-ci79070xt/p/N82E16883989018?Item=N82E16883989018&amp;_gl=1*ax327f*_gcl_au*MTY2MzUwMDA4OC4xNzQ4OTcwMjQw*_ga*NjI1NDExMTk3LjE3NDg5NzAyNDE.*_ga_F2QP10CXSW*czE3NTU1MzA2MDEkbzIwJGcxJHQxNzU1NTMyNTk3JGo1MyRsMCRoMTQ5ODMwNTAzMw..*_fplc*JTJCUUcyNnZMUCUyRjg3Tm1xNDRRd3A0TmR5OUxnNVhYUjNHN05HRHNnaHhSWmlFOHN4WG41cFolMkZNUUZaTXdYdFE4TnYlMkZVTUdkJTJGTE5FSmVHQzZGeGIzVWVpUFRJZmJId1pIMEN0YU9SMDZlODFrZHclMkJZU0lKZGlubjNTTk0lMkJrdmclM0QlM0Q.</t>
  </si>
  <si>
    <t>Gerizim</t>
  </si>
  <si>
    <t>2. Choose a payment frequency best suited for you</t>
  </si>
  <si>
    <t>Yay for Strays</t>
  </si>
  <si>
    <t>ABS</t>
  </si>
  <si>
    <t>(Options/prices are shown based on your organization's partner agreement)</t>
  </si>
  <si>
    <t>Monday: 12:00 pm – 6:00 pm</t>
  </si>
  <si>
    <t>Performance</t>
  </si>
  <si>
    <t>Tuesday: Closed</t>
  </si>
  <si>
    <t>Access to Performance Programming (PEAK, Regymen), Hot Yoga, Group Fitness, Strength and Cardio equipment, MindDEN, Recovery Room, Squash, and On-Demand Plus. Includes Free Holds and Towel Service with access to all 200+ Clubs</t>
  </si>
  <si>
    <t>Wednesday: Closed</t>
  </si>
  <si>
    <t>OLED Monitor</t>
  </si>
  <si>
    <t>Thursday: 12:00 pm – 6:00 pm</t>
  </si>
  <si>
    <t>Friday: 12:00 pm – 6:00 pm</t>
  </si>
  <si>
    <t>(bi-weekly + tax)</t>
  </si>
  <si>
    <t>Saturday: 12:00 pm – 6:00 pm</t>
  </si>
  <si>
    <t>You’re saving $13.75</t>
  </si>
  <si>
    <t>Sunday: 12:00 pm – 6:00 pm</t>
  </si>
  <si>
    <t>Ultimate</t>
  </si>
  <si>
    <t>Access Group Fitness, Strength and Cardio equipment, MindDEN, Recovery Room, Squash, and On-Demand Plus. Includes Free Holds and Towel Service with access to all 200+ Clubs (Hot Yoga Not Included)</t>
  </si>
  <si>
    <t>You’re saving $10.00</t>
  </si>
  <si>
    <t>Premium</t>
  </si>
  <si>
    <t>Access to Strength and Cardio equipment, and On-Demand Basic. Includes access to all 200+ Clubs (Group Fitness Not Included)</t>
  </si>
  <si>
    <t>You’re saving $9.50</t>
  </si>
  <si>
    <t>Essential Zone B</t>
  </si>
  <si>
    <t>Access to Strength and Cardio Equipment, and On-Demand Basic (Home Club Only, Group Fitness Not Included)</t>
  </si>
  <si>
    <t>PC</t>
  </si>
  <si>
    <t>RAM</t>
  </si>
  <si>
    <t>GPU</t>
  </si>
  <si>
    <t>CPU</t>
  </si>
  <si>
    <t>PRICE</t>
  </si>
  <si>
    <t>Insiron</t>
  </si>
  <si>
    <t xml:space="preserve">32gb ram </t>
  </si>
  <si>
    <t>GTX 1650</t>
  </si>
  <si>
    <t>i5-10400</t>
  </si>
  <si>
    <t>Radeon RX 580</t>
  </si>
  <si>
    <t>i5-4590</t>
  </si>
  <si>
    <t>gtx 750TI</t>
  </si>
  <si>
    <t>i5-7400</t>
  </si>
  <si>
    <t>You’re saving $8.25</t>
  </si>
  <si>
    <t>HTX 1060 6g</t>
  </si>
  <si>
    <t>xeon w3680</t>
  </si>
  <si>
    <r>
      <rPr>
        <rFont val="proxima-nova, sans-serif"/>
        <b/>
        <strike/>
        <color rgb="FF1155CC"/>
        <u/>
      </rPr>
      <t>visit goodlifefitness.com to Learn more</t>
    </r>
  </si>
  <si>
    <t>Acer E15</t>
  </si>
  <si>
    <t>8gb ram</t>
  </si>
  <si>
    <t>Great</t>
  </si>
  <si>
    <t xml:space="preserve">Weekend </t>
  </si>
  <si>
    <t>Very well done</t>
  </si>
  <si>
    <t>LCBO</t>
  </si>
  <si>
    <t>Joy Wave</t>
  </si>
  <si>
    <t>Pizza Pizza</t>
  </si>
  <si>
    <t>Dispo</t>
  </si>
  <si>
    <t>City Cafe</t>
  </si>
  <si>
    <t>Dollarama</t>
  </si>
  <si>
    <t>Johnny Shotz</t>
  </si>
  <si>
    <t>Metro</t>
  </si>
  <si>
    <t>Wendys</t>
  </si>
  <si>
    <t>Parking</t>
  </si>
  <si>
    <t>Superstore</t>
  </si>
  <si>
    <t>Constant expenses</t>
  </si>
  <si>
    <t>*rough estimates</t>
  </si>
  <si>
    <t>bring down to 20?</t>
  </si>
  <si>
    <t>Cannabis</t>
  </si>
  <si>
    <t>40-80?</t>
  </si>
  <si>
    <t>Keep around 50</t>
  </si>
  <si>
    <t>around 70</t>
  </si>
  <si>
    <t>Vacatiohn</t>
  </si>
  <si>
    <t xml:space="preserve">Back </t>
  </si>
  <si>
    <t>RFUS</t>
  </si>
  <si>
    <t>Dunns</t>
  </si>
  <si>
    <t>Sushi</t>
  </si>
  <si>
    <t>Sonic Gaz Bar</t>
  </si>
  <si>
    <t>Van Houtte</t>
  </si>
  <si>
    <t>Longeuil</t>
  </si>
  <si>
    <t>Kebab</t>
  </si>
  <si>
    <t xml:space="preserve">Concordia </t>
  </si>
  <si>
    <t>Depanneur</t>
  </si>
  <si>
    <t>Durga</t>
  </si>
  <si>
    <t>STM Longeuil</t>
  </si>
  <si>
    <t>Le Fameux</t>
  </si>
  <si>
    <t>Freshco</t>
  </si>
  <si>
    <t xml:space="preserve">Mondo </t>
  </si>
  <si>
    <t>Car wash</t>
  </si>
  <si>
    <t xml:space="preserve">Pine Knob </t>
  </si>
  <si>
    <t>How to get their</t>
  </si>
  <si>
    <t>Parking or drop off?</t>
  </si>
  <si>
    <t>Order Summary</t>
  </si>
  <si>
    <r>
      <rPr>
        <color rgb="FF1155CC"/>
        <u/>
      </rPr>
      <t>ANBERNIC RG35XXSP</t>
    </r>
  </si>
  <si>
    <t>Alicyn?</t>
  </si>
  <si>
    <t>Item(s):$1,999.99</t>
  </si>
  <si>
    <t>Desktop for 2000</t>
  </si>
  <si>
    <t>Shipping:$47.10</t>
  </si>
  <si>
    <t>Shipping and taxes for ~ 300</t>
  </si>
  <si>
    <t>Rufus</t>
  </si>
  <si>
    <t>EHF: $3.75</t>
  </si>
  <si>
    <t>GST/HST: $266.61</t>
  </si>
  <si>
    <t xml:space="preserve">Gas </t>
  </si>
  <si>
    <t>Freedom</t>
  </si>
  <si>
    <t xml:space="preserve">Phone Bill </t>
  </si>
  <si>
    <t xml:space="preserve">Parking </t>
  </si>
  <si>
    <t>Eastwood</t>
  </si>
  <si>
    <t>Slinks</t>
  </si>
  <si>
    <t>Lions Head</t>
  </si>
  <si>
    <t>Seven 11</t>
  </si>
  <si>
    <t>Subway</t>
  </si>
  <si>
    <t>CURRENT SPENd</t>
  </si>
  <si>
    <t>VACATION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</si>
  <si>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</si>
  <si>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CAREER SUICIDE</t>
  </si>
  <si>
    <t>Chucks</t>
  </si>
  <si>
    <t>Value Village</t>
  </si>
  <si>
    <t>Rain stuff</t>
  </si>
  <si>
    <t>Taco Bell</t>
  </si>
  <si>
    <t>Marshalls</t>
  </si>
  <si>
    <t>GMA</t>
  </si>
  <si>
    <t>Owe Eric</t>
  </si>
  <si>
    <t>Cafe</t>
  </si>
  <si>
    <t xml:space="preserve">Rain owes 20 for this ounce( absolve) and 20 for this one </t>
  </si>
  <si>
    <t>Shoppers</t>
  </si>
  <si>
    <t xml:space="preserve">Candle Light --&gt; May </t>
  </si>
  <si>
    <t>Kona</t>
  </si>
  <si>
    <t xml:space="preserve">Jiu Jitsu Comp --&gt; June/July </t>
  </si>
  <si>
    <t>Comfort Inn</t>
  </si>
  <si>
    <t xml:space="preserve">Another trip in May </t>
  </si>
  <si>
    <t>Rufus Du Sol Tickets</t>
  </si>
  <si>
    <t>Flowewrs</t>
  </si>
  <si>
    <t>A&amp;W</t>
  </si>
  <si>
    <t>Citadin</t>
  </si>
  <si>
    <t>TRIP</t>
  </si>
  <si>
    <t>RedTag Port</t>
  </si>
  <si>
    <t>Gift</t>
  </si>
  <si>
    <t>TIKI MING</t>
  </si>
  <si>
    <t>PPL - GILLES</t>
  </si>
  <si>
    <t>La Banquise</t>
  </si>
  <si>
    <t>Dinner with Chris</t>
  </si>
  <si>
    <t>3 Amigos</t>
  </si>
  <si>
    <t>Le Magasin</t>
  </si>
  <si>
    <t>Tobermory</t>
  </si>
  <si>
    <t>Wasaga</t>
  </si>
  <si>
    <t>BIRTHDAY</t>
  </si>
  <si>
    <t xml:space="preserve">Snacks </t>
  </si>
  <si>
    <t xml:space="preserve">Confectionary </t>
  </si>
  <si>
    <t>Coca Cola Barrie</t>
  </si>
  <si>
    <t>Drinks</t>
  </si>
  <si>
    <t>Alicyn got me coffee</t>
  </si>
  <si>
    <t>Candies</t>
  </si>
  <si>
    <t xml:space="preserve">Rain </t>
  </si>
  <si>
    <t>Has $15 for Casino</t>
  </si>
  <si>
    <t>DIspo</t>
  </si>
  <si>
    <t>Liq dia cart</t>
  </si>
  <si>
    <t xml:space="preserve">Portable Monitor </t>
  </si>
  <si>
    <t>Stop 26</t>
  </si>
  <si>
    <t xml:space="preserve">High End </t>
  </si>
  <si>
    <t>Gaming PC</t>
  </si>
  <si>
    <t>Or Laptop</t>
  </si>
  <si>
    <t>Boss Bagel</t>
  </si>
  <si>
    <t>Might be 7 som</t>
  </si>
  <si>
    <t xml:space="preserve">Trading a day </t>
  </si>
  <si>
    <t>Investorline</t>
  </si>
  <si>
    <t>a week</t>
  </si>
  <si>
    <t>a month</t>
  </si>
  <si>
    <t>Placing all into ZSP now @ 66.4</t>
  </si>
  <si>
    <t>a year</t>
  </si>
  <si>
    <t>Make over year</t>
  </si>
  <si>
    <t>Lighter</t>
  </si>
  <si>
    <t>Car Wash</t>
  </si>
  <si>
    <t>TEMU</t>
  </si>
  <si>
    <t>Board Game</t>
  </si>
  <si>
    <t>Pharmacy</t>
  </si>
  <si>
    <t>New bowl</t>
  </si>
  <si>
    <t>Lighter gatorade</t>
  </si>
  <si>
    <t>Alo</t>
  </si>
  <si>
    <t>Rain</t>
  </si>
  <si>
    <t>Camping</t>
  </si>
  <si>
    <t>Frostbite</t>
  </si>
  <si>
    <t>Kettleby Esso</t>
  </si>
  <si>
    <t>KOA</t>
  </si>
  <si>
    <t>Pita Pit</t>
  </si>
  <si>
    <t xml:space="preserve">Juliana owes me a bagl </t>
  </si>
  <si>
    <t xml:space="preserve">Car Wash </t>
  </si>
  <si>
    <t xml:space="preserve">Metro </t>
  </si>
  <si>
    <t>Antonino</t>
  </si>
  <si>
    <t>GNC</t>
  </si>
  <si>
    <t>Owe Alan coffee</t>
  </si>
  <si>
    <t>Hot Tacos</t>
  </si>
  <si>
    <t xml:space="preserve">Loose Goose </t>
  </si>
  <si>
    <t xml:space="preserve">Dollarama </t>
  </si>
  <si>
    <t>Art in Park</t>
  </si>
  <si>
    <t xml:space="preserve">Fam </t>
  </si>
  <si>
    <t xml:space="preserve">Subway </t>
  </si>
  <si>
    <t>Caribbean</t>
  </si>
  <si>
    <t>Cinema</t>
  </si>
  <si>
    <t>Prime</t>
  </si>
  <si>
    <t>Creatine</t>
  </si>
  <si>
    <t xml:space="preserve">Freedom </t>
  </si>
  <si>
    <t>Temu</t>
  </si>
  <si>
    <t xml:space="preserve">Rain might owe like 15/20 for this ounce </t>
  </si>
  <si>
    <t xml:space="preserve">Cleaner </t>
  </si>
  <si>
    <t>The goat</t>
  </si>
  <si>
    <t xml:space="preserve">Dinner </t>
  </si>
  <si>
    <t>Keyboard</t>
  </si>
  <si>
    <t>Minecraft</t>
  </si>
  <si>
    <t>4 me</t>
  </si>
  <si>
    <t>4 Rain</t>
  </si>
  <si>
    <t>Actual new belt</t>
  </si>
  <si>
    <t>Jose's</t>
  </si>
  <si>
    <t>Legends</t>
  </si>
  <si>
    <t>Simon's Prime</t>
  </si>
  <si>
    <t xml:space="preserve">Shoppers </t>
  </si>
  <si>
    <t>Slushie</t>
  </si>
  <si>
    <t xml:space="preserve">Condoms, lube, chips </t>
  </si>
  <si>
    <t>Mi Casita</t>
  </si>
  <si>
    <t xml:space="preserve">Apples(r), kombucha, water </t>
  </si>
  <si>
    <t>Basil Court</t>
  </si>
  <si>
    <t>Stubhub</t>
  </si>
  <si>
    <t>Rufus Du Sol</t>
  </si>
  <si>
    <t>Belt</t>
  </si>
  <si>
    <t>Not needed</t>
  </si>
  <si>
    <t>Rain Necklace</t>
  </si>
  <si>
    <t>Wineology</t>
  </si>
  <si>
    <t>Udemy</t>
  </si>
  <si>
    <t>PMP courses</t>
  </si>
  <si>
    <t>Snapchat</t>
  </si>
  <si>
    <t>Flower n 2 cans</t>
  </si>
  <si>
    <t>Lemon Grill</t>
  </si>
  <si>
    <t>Massage Addict</t>
  </si>
  <si>
    <t>Water</t>
  </si>
  <si>
    <t>NAYAX</t>
  </si>
  <si>
    <t>Should be 5.50</t>
  </si>
  <si>
    <t>Ideas</t>
  </si>
  <si>
    <t xml:space="preserve">For </t>
  </si>
  <si>
    <t>Casino</t>
  </si>
  <si>
    <t>$20-$30</t>
  </si>
  <si>
    <t>Holiday</t>
  </si>
  <si>
    <t>Owe Alicyn coffee</t>
  </si>
  <si>
    <t>Bladee</t>
  </si>
  <si>
    <t>Concert</t>
  </si>
  <si>
    <t>dubcup w/ h20</t>
  </si>
  <si>
    <t>Lulu</t>
  </si>
  <si>
    <t>For her mom and I w/ timbits</t>
  </si>
  <si>
    <t>Sent 74</t>
  </si>
  <si>
    <t>keyboard, mouse, chains</t>
  </si>
  <si>
    <t>Conditioner</t>
  </si>
  <si>
    <t>2p1r</t>
  </si>
  <si>
    <t xml:space="preserve">Food Basics </t>
  </si>
  <si>
    <t>Water + trinity Kombucha(red)</t>
  </si>
  <si>
    <t>They al taste the same lol</t>
  </si>
  <si>
    <t>Drinks + Wine + Miller highlife</t>
  </si>
  <si>
    <t>Got beer back and didnt drink the wine</t>
  </si>
  <si>
    <t xml:space="preserve">Hat, charger, no gi </t>
  </si>
  <si>
    <t>This should give back $25 in a week</t>
  </si>
  <si>
    <t>For kids</t>
  </si>
  <si>
    <t>For me</t>
  </si>
  <si>
    <t xml:space="preserve">Drink + Candy </t>
  </si>
  <si>
    <t xml:space="preserve">14 month </t>
  </si>
  <si>
    <t>Harman</t>
  </si>
  <si>
    <t>Steamdeck charger at Rains dad's</t>
  </si>
  <si>
    <t>R accepted st ct c</t>
  </si>
  <si>
    <t>Milk+Turkey Bacon</t>
  </si>
  <si>
    <t>Got person behind me</t>
  </si>
  <si>
    <t>Movie</t>
  </si>
  <si>
    <t>Taxes Intuit</t>
  </si>
  <si>
    <t>Parking Ticket</t>
  </si>
  <si>
    <t xml:space="preserve">Cart, b40 strrawberry hydrid </t>
  </si>
  <si>
    <t>Ticket</t>
  </si>
  <si>
    <t>Got it Apr 4</t>
  </si>
  <si>
    <t>Paid APr 14</t>
  </si>
  <si>
    <t>Lakeshore Cinemas</t>
  </si>
  <si>
    <t>Frost Ice Cream</t>
  </si>
  <si>
    <t>Single Carrot</t>
  </si>
  <si>
    <t>L Fry</t>
  </si>
  <si>
    <t>Candy</t>
  </si>
  <si>
    <t>Coffee Rain and I</t>
  </si>
  <si>
    <t>Candy's</t>
  </si>
  <si>
    <t>What was this?</t>
  </si>
  <si>
    <t xml:space="preserve">Probably got alc but forgot </t>
  </si>
  <si>
    <t>Don't remember this</t>
  </si>
  <si>
    <t xml:space="preserve">Tims and Doughtnuts from Friday night </t>
  </si>
  <si>
    <t xml:space="preserve">Best weekend ever </t>
  </si>
  <si>
    <t>Where is my gi top?</t>
  </si>
  <si>
    <t xml:space="preserve">--&gt; found at jits </t>
  </si>
  <si>
    <t>R&amp;I</t>
  </si>
  <si>
    <t>Conditioner/Face wash</t>
  </si>
  <si>
    <t>Me</t>
  </si>
  <si>
    <t>Republik</t>
  </si>
  <si>
    <t>Waterbottles</t>
  </si>
  <si>
    <t>Platos</t>
  </si>
  <si>
    <t>Shirt</t>
  </si>
  <si>
    <t>Rain Kush</t>
  </si>
  <si>
    <t>Turkey+Chips</t>
  </si>
  <si>
    <t>Phone Case</t>
  </si>
  <si>
    <t>Gi</t>
  </si>
  <si>
    <t>Pay before May 2</t>
  </si>
  <si>
    <t>R and mostly me</t>
  </si>
  <si>
    <t>Water Bottle Case</t>
  </si>
  <si>
    <t xml:space="preserve">used points but still got charged wtf </t>
  </si>
  <si>
    <t>1P/2R</t>
  </si>
  <si>
    <t>Big Time</t>
  </si>
  <si>
    <t>Vit c Face</t>
  </si>
  <si>
    <t>Rain gift, tanning, food</t>
  </si>
  <si>
    <t>a new gi</t>
  </si>
  <si>
    <t>Left to New Market</t>
  </si>
  <si>
    <t>In New Market</t>
  </si>
  <si>
    <t xml:space="preserve">Leaving New Market </t>
  </si>
  <si>
    <t>WORST PERIOD YET</t>
  </si>
  <si>
    <t>Credit Transactions</t>
  </si>
  <si>
    <t>March 14 - 27</t>
  </si>
  <si>
    <t xml:space="preserve">Ounce </t>
  </si>
  <si>
    <t>New necklace</t>
  </si>
  <si>
    <t>Champs</t>
  </si>
  <si>
    <t>Jacket for self</t>
  </si>
  <si>
    <t>Starbucks</t>
  </si>
  <si>
    <t>Coffee 4 Rain</t>
  </si>
  <si>
    <t xml:space="preserve">Antonino's </t>
  </si>
  <si>
    <t>Piza for self</t>
  </si>
  <si>
    <t>Stacked</t>
  </si>
  <si>
    <t xml:space="preserve">Breakfast Rain and I </t>
  </si>
  <si>
    <t>Stop losing em lol</t>
  </si>
  <si>
    <t>Had no dinner, had to get something</t>
  </si>
  <si>
    <t>Paid Enwin with credit on 6th then they took money from Chequeing on 7th</t>
  </si>
  <si>
    <t>Phil and I</t>
  </si>
  <si>
    <t>Rain owes $50 for weed i grabbed last time</t>
  </si>
  <si>
    <t>Paid</t>
  </si>
  <si>
    <t>24 case water</t>
  </si>
  <si>
    <t>Rain will likely owe 40 for this ounce</t>
  </si>
  <si>
    <t>Rain and I</t>
  </si>
  <si>
    <t>Rain owes $40 for gas way back</t>
  </si>
  <si>
    <t>Paid 45</t>
  </si>
  <si>
    <t>Burger King</t>
  </si>
  <si>
    <t>Rain got me drink and sub, i got her fries</t>
  </si>
  <si>
    <t xml:space="preserve">River's Gift </t>
  </si>
  <si>
    <t>Guitar + Joints</t>
  </si>
  <si>
    <t>Booster Juice</t>
  </si>
  <si>
    <t>Halibut House</t>
  </si>
  <si>
    <t>Clif Bars</t>
  </si>
  <si>
    <t>Shell</t>
  </si>
  <si>
    <t>Superbowl</t>
  </si>
  <si>
    <t>Hudson's Bay</t>
  </si>
  <si>
    <t>Carlos's gift</t>
  </si>
  <si>
    <t>Gift bag</t>
  </si>
  <si>
    <t>Harbour House</t>
  </si>
  <si>
    <t>Dinner for Rain and I</t>
  </si>
  <si>
    <t>P and I</t>
  </si>
  <si>
    <t>Drink for Rain and I</t>
  </si>
  <si>
    <t>Ice cream and Fries for R and I</t>
  </si>
  <si>
    <t>Chatam Diner</t>
  </si>
  <si>
    <t>Credi Diff</t>
  </si>
  <si>
    <t>Last Balance</t>
  </si>
  <si>
    <t>Liq</t>
  </si>
  <si>
    <t>28 g</t>
  </si>
  <si>
    <t>1g infused</t>
  </si>
  <si>
    <t>MR</t>
  </si>
  <si>
    <t>Face cream</t>
  </si>
  <si>
    <t>Circle K</t>
  </si>
  <si>
    <t>Scratch ticket + pocorn</t>
  </si>
  <si>
    <t>Lighter(4)</t>
  </si>
  <si>
    <t xml:space="preserve">Chucks </t>
  </si>
  <si>
    <t>After tax</t>
  </si>
  <si>
    <t xml:space="preserve">Case of water </t>
  </si>
  <si>
    <t>Candys</t>
  </si>
  <si>
    <t>Bowl + 2 pops</t>
  </si>
  <si>
    <t>Bowl for JP</t>
  </si>
  <si>
    <t>Lentil Soup + Dr Pepper</t>
  </si>
  <si>
    <t xml:space="preserve">Marshalls </t>
  </si>
  <si>
    <t>Wilsons gift</t>
  </si>
  <si>
    <t>Wine for shea and 6 drinks for Rain and I</t>
  </si>
  <si>
    <t xml:space="preserve">Spicy chicken combo </t>
  </si>
  <si>
    <t>Lotion + 3 packs black ice tree's</t>
  </si>
  <si>
    <t>Expedia</t>
  </si>
  <si>
    <t>Gave 147</t>
  </si>
  <si>
    <t>Should be 5.49?</t>
  </si>
  <si>
    <t>Hotel</t>
  </si>
  <si>
    <t>Mary Brown</t>
  </si>
  <si>
    <t>Carry onto next pay period and pay with whatever is left from here</t>
  </si>
  <si>
    <t xml:space="preserve">Most of money spent this week on big stuff was for chicago and valentines day </t>
  </si>
  <si>
    <t>Reimbursed 21.82</t>
  </si>
  <si>
    <t>Chicago</t>
  </si>
  <si>
    <t xml:space="preserve">Have paid off </t>
  </si>
  <si>
    <t>Rain owes 112.59</t>
  </si>
  <si>
    <t>Valentines</t>
  </si>
  <si>
    <t xml:space="preserve">Spent alot on valentines day </t>
  </si>
  <si>
    <t>Popeyes</t>
  </si>
  <si>
    <t>y</t>
  </si>
  <si>
    <t>Planning trip 11th weekend or 18th</t>
  </si>
  <si>
    <t>Haircut got for $20</t>
  </si>
  <si>
    <t>Jan 31 - Feb 13</t>
  </si>
  <si>
    <t>Pizza</t>
  </si>
  <si>
    <t>Beer</t>
  </si>
  <si>
    <t>Wine</t>
  </si>
  <si>
    <t>Alan owes donut</t>
  </si>
  <si>
    <t>Walmart</t>
  </si>
  <si>
    <t>Vagisil + Tape</t>
  </si>
  <si>
    <t>Dental</t>
  </si>
  <si>
    <t>321 will be reimbursed</t>
  </si>
  <si>
    <t>318 was reimbursed</t>
  </si>
  <si>
    <t xml:space="preserve">Lighter!!! Shea took last one </t>
  </si>
  <si>
    <t>Enwin</t>
  </si>
  <si>
    <t>Bowling</t>
  </si>
  <si>
    <t>\</t>
  </si>
  <si>
    <t>Flower, card, chocolate, wine (V Day)</t>
  </si>
  <si>
    <t>Rain got me 1</t>
  </si>
  <si>
    <t>DISPO</t>
  </si>
  <si>
    <t>Keg</t>
  </si>
  <si>
    <t>Winners</t>
  </si>
  <si>
    <t>socks+ coffee</t>
  </si>
  <si>
    <t>Bowl</t>
  </si>
  <si>
    <t>Rain owes</t>
  </si>
  <si>
    <t xml:space="preserve">TIMS </t>
  </si>
  <si>
    <t>Credit Check</t>
  </si>
  <si>
    <t>Carrots n Dates</t>
  </si>
  <si>
    <t xml:space="preserve">$18.7 a day to hit 400 goal </t>
  </si>
  <si>
    <t>Jaques got me cofee</t>
  </si>
  <si>
    <t>Dad Gift</t>
  </si>
  <si>
    <t>Split with Harman 70?</t>
  </si>
  <si>
    <t>Lose some weight ya big boy</t>
  </si>
  <si>
    <t>Coffee Exchange</t>
  </si>
  <si>
    <t>Coffee with W/J</t>
  </si>
  <si>
    <t>Dads gift - 135.83</t>
  </si>
  <si>
    <t>Advil 4 Rain</t>
  </si>
  <si>
    <t>Gas - 70</t>
  </si>
  <si>
    <t>0.5g pre</t>
  </si>
  <si>
    <t>Cake/Cupcake</t>
  </si>
  <si>
    <t>Curtain, lighters, aloe water</t>
  </si>
  <si>
    <t xml:space="preserve">Paid </t>
  </si>
  <si>
    <t>Rain got T Bell</t>
  </si>
  <si>
    <t>Why did insurance go up 40 from 140 to 180</t>
  </si>
  <si>
    <t>3.5 pineapple express 6/10</t>
  </si>
  <si>
    <t>Hummus Face Wash</t>
  </si>
  <si>
    <t>Clif bars</t>
  </si>
  <si>
    <t xml:space="preserve">3.5 spinach </t>
  </si>
  <si>
    <t xml:space="preserve">Both </t>
  </si>
  <si>
    <t xml:space="preserve">Take out to some spot to eat </t>
  </si>
  <si>
    <t>Dads gift</t>
  </si>
  <si>
    <t>Watch for around 150-200</t>
  </si>
  <si>
    <t>Need new trimmer</t>
  </si>
  <si>
    <t>30-40</t>
  </si>
  <si>
    <t xml:space="preserve">found one but it kind of hurts still </t>
  </si>
  <si>
    <t xml:space="preserve">Wilson/Jer </t>
  </si>
  <si>
    <t>Bronco Key chain + ?</t>
  </si>
  <si>
    <t>26 + ?</t>
  </si>
  <si>
    <t>6 pack and 2L pop</t>
  </si>
  <si>
    <t>3.5 and 3 infused</t>
  </si>
  <si>
    <t xml:space="preserve">New shirts </t>
  </si>
  <si>
    <t>Rains grandma got me blanket, $25 tims card and lotto tickets</t>
  </si>
  <si>
    <t>Rain owes 30.48</t>
  </si>
  <si>
    <t>PAID</t>
  </si>
  <si>
    <t>New hat</t>
  </si>
  <si>
    <t>Crystal got me lotto ticket too</t>
  </si>
  <si>
    <t>both</t>
  </si>
  <si>
    <t>Trimmer</t>
  </si>
  <si>
    <t>***</t>
  </si>
  <si>
    <t>S Fries</t>
  </si>
  <si>
    <t>Cart</t>
  </si>
  <si>
    <t>Shampoo</t>
  </si>
  <si>
    <t>Tilbury Market</t>
  </si>
  <si>
    <t xml:space="preserve">15 pack of beer </t>
  </si>
  <si>
    <t>2 water</t>
  </si>
  <si>
    <t xml:space="preserve">both </t>
  </si>
  <si>
    <t>W/J Gift</t>
  </si>
  <si>
    <t xml:space="preserve">45 sent to Rain </t>
  </si>
  <si>
    <t>Tims</t>
  </si>
  <si>
    <t>2 infused</t>
  </si>
  <si>
    <t>Happy meal</t>
  </si>
  <si>
    <t>Flowers/Card</t>
  </si>
  <si>
    <t>Marina Fish</t>
  </si>
  <si>
    <t>Bday Dinner</t>
  </si>
  <si>
    <t>Casino/ Both</t>
  </si>
  <si>
    <t>Rains gift</t>
  </si>
  <si>
    <t>Pandora's</t>
  </si>
  <si>
    <t xml:space="preserve">spent 175 </t>
  </si>
  <si>
    <t>Mom a christmas gift?</t>
  </si>
  <si>
    <t xml:space="preserve">Gift Basket </t>
  </si>
  <si>
    <t>GREAT</t>
  </si>
  <si>
    <t>Dad christmas</t>
  </si>
  <si>
    <t>Mug and ?</t>
  </si>
  <si>
    <t xml:space="preserve">14.99 + </t>
  </si>
  <si>
    <t>Dec 6 to 19</t>
  </si>
  <si>
    <t>outside food needs to be brought down forsure</t>
  </si>
  <si>
    <t>this spread of weekend is good</t>
  </si>
  <si>
    <t>Ramen</t>
  </si>
  <si>
    <t xml:space="preserve">Me </t>
  </si>
  <si>
    <t xml:space="preserve">40ish brought over and 175 on rains gift, allotted 550 for this pay period </t>
  </si>
  <si>
    <t>3 infused</t>
  </si>
  <si>
    <t>Chips</t>
  </si>
  <si>
    <t>Urbn Planet</t>
  </si>
  <si>
    <t>2 shirts</t>
  </si>
  <si>
    <t xml:space="preserve">Dad and I </t>
  </si>
  <si>
    <t>Gum</t>
  </si>
  <si>
    <t>Mac's</t>
  </si>
  <si>
    <t xml:space="preserve">2 cans </t>
  </si>
  <si>
    <t>Add to total</t>
  </si>
  <si>
    <t>3.5 g</t>
  </si>
  <si>
    <t>Pandora</t>
  </si>
  <si>
    <t>John Max</t>
  </si>
  <si>
    <t>Drinks/Both</t>
  </si>
  <si>
    <t>Rain got dinner</t>
  </si>
  <si>
    <t>Bothh</t>
  </si>
  <si>
    <t>2 slices</t>
  </si>
  <si>
    <t>Ciao Caffe</t>
  </si>
  <si>
    <t>Justus and I</t>
  </si>
  <si>
    <t>Mom/Dad Gift</t>
  </si>
  <si>
    <t>Half is Rain</t>
  </si>
  <si>
    <t>gave 18</t>
  </si>
  <si>
    <t>Wine/Both</t>
  </si>
  <si>
    <t>Rain got drinks/chips</t>
  </si>
  <si>
    <t xml:space="preserve">Taco Bell </t>
  </si>
  <si>
    <t>Dad and I</t>
  </si>
  <si>
    <t>Rain got drinks and food at superbowl</t>
  </si>
  <si>
    <t>trip december 20th weekend somewhere?</t>
  </si>
  <si>
    <t>less outside food, start cooking</t>
  </si>
  <si>
    <t>Nov 22 to Dec 5</t>
  </si>
  <si>
    <t xml:space="preserve">try no spend after tommorow </t>
  </si>
  <si>
    <t>Cookie Bar</t>
  </si>
  <si>
    <t xml:space="preserve">Rain bought me coffee and got food at chucks for us </t>
  </si>
  <si>
    <t>random oill spill</t>
  </si>
  <si>
    <t xml:space="preserve">money for that </t>
  </si>
  <si>
    <t>me</t>
  </si>
  <si>
    <t>solid weekend i guess lol</t>
  </si>
  <si>
    <t>Casa Miro</t>
  </si>
  <si>
    <t xml:space="preserve">not an expensive weekend just had to fix car so that added and get gas </t>
  </si>
  <si>
    <t>spend ALOT on outside food</t>
  </si>
  <si>
    <t>once i get munchies i lose composure</t>
  </si>
  <si>
    <t>Pho</t>
  </si>
  <si>
    <t>Toto</t>
  </si>
  <si>
    <t xml:space="preserve">Wendys </t>
  </si>
  <si>
    <t>AMZN Charger</t>
  </si>
  <si>
    <t>Dad said he'd pay back</t>
  </si>
  <si>
    <t xml:space="preserve">dont do this in future </t>
  </si>
  <si>
    <t>wine and rose</t>
  </si>
  <si>
    <t xml:space="preserve">cheese burger and fries </t>
  </si>
  <si>
    <t>her</t>
  </si>
  <si>
    <t>J Shotz</t>
  </si>
  <si>
    <t>face cream</t>
  </si>
  <si>
    <t>probably once a month expense</t>
  </si>
  <si>
    <t xml:space="preserve">beer and winshield washer fluid </t>
  </si>
  <si>
    <t>c cabana</t>
  </si>
  <si>
    <t xml:space="preserve">last purchase was 12 days ago </t>
  </si>
  <si>
    <t>water bottle case</t>
  </si>
  <si>
    <t>Amazon</t>
  </si>
  <si>
    <t xml:space="preserve">Purchase for Rain that she paid back </t>
  </si>
  <si>
    <t>Fit4Less</t>
  </si>
  <si>
    <t>Straight up L</t>
  </si>
  <si>
    <t>Goodwill</t>
  </si>
  <si>
    <t>Book and stuff for mom</t>
  </si>
  <si>
    <t>Moms birthday gift</t>
  </si>
  <si>
    <t>Sweaters</t>
  </si>
  <si>
    <t>After gas</t>
  </si>
  <si>
    <t xml:space="preserve">wihout after gas </t>
  </si>
  <si>
    <t>like to eat out</t>
  </si>
  <si>
    <t>--------------&gt;</t>
  </si>
  <si>
    <t>cook more</t>
  </si>
  <si>
    <t>money on rain</t>
  </si>
  <si>
    <t>split more or go out less</t>
  </si>
  <si>
    <t>TIMS Instances</t>
  </si>
  <si>
    <t>Nov 8 to Nov 22</t>
  </si>
  <si>
    <t>Already almost done cart in 4 days, way too quick need to reel back</t>
  </si>
  <si>
    <t>Greentown</t>
  </si>
  <si>
    <t>les try to eat out less and drink less coffee</t>
  </si>
  <si>
    <t>Stopped buying cart, at 4 days without it now, is hard but can be done</t>
  </si>
  <si>
    <t>Do not spend money with the thought of getting something back in return</t>
  </si>
  <si>
    <t xml:space="preserve">You will alway6s be disappointed </t>
  </si>
  <si>
    <t>5 Guys</t>
  </si>
  <si>
    <t>Oven 360</t>
  </si>
  <si>
    <t>Shawarma</t>
  </si>
  <si>
    <t>Ray/Kims</t>
  </si>
  <si>
    <t>Petro</t>
  </si>
  <si>
    <t>KONA</t>
  </si>
  <si>
    <t>Moms gift</t>
  </si>
  <si>
    <t>Reitmans</t>
  </si>
  <si>
    <t>my sweaters</t>
  </si>
  <si>
    <t>Osmows</t>
  </si>
  <si>
    <t>Discounted</t>
  </si>
  <si>
    <t>Used $20 cash from sold phone for new grinder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</si>
</sst>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"/>
    <numFmt numFmtId="165" formatCode="mmm d"/>
    <numFmt numFmtId="166" formatCode="&quot;$&quot;#,##0"/>
    <numFmt numFmtId="167" formatCode="mmmd"/>
    <numFmt numFmtId="168" formatCode="mmm dd"/>
    <numFmt numFmtId="169" formatCode="mmmm d"/>
    <numFmt numFmtId="170" formatCode="&quot;$&quot;#,##0.00"/>
    <numFmt numFmtId="171" formatCode="dddd mmm d"/>
  </numFmts>
  <fonts count="41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F1F1F"/>
      <name val="&quot;Google Sans&quot;"/>
    </font>
    <font>
      <color theme="1"/>
      <name val="Arial"/>
    </font>
    <font>
      <sz val="30.0"/>
      <color rgb="FF001928"/>
      <name val="Heebo"/>
    </font>
    <font>
      <b/>
      <color theme="1"/>
      <name val="Arial"/>
      <scheme val="minor"/>
    </font>
    <font>
      <b/>
      <i/>
      <color theme="1"/>
      <name val="Arial"/>
      <scheme val="minor"/>
    </font>
    <font>
      <color rgb="FFFF0000"/>
      <name val="Arial"/>
      <scheme val="minor"/>
    </font>
    <font>
      <color rgb="FF000000"/>
      <name val="Arial"/>
      <scheme val="minor"/>
    </font>
    <font>
      <color rgb="FF00FF00"/>
      <name val="Arial"/>
      <scheme val="minor"/>
    </font>
    <font>
      <sz val="9.0"/>
      <color theme="1"/>
      <name val="&quot;Google Sans Mono&quot;"/>
    </font>
    <font>
      <sz val="9.0"/>
      <color rgb="FF000000"/>
      <name val="&quot;Google Sans Mono&quot;"/>
    </font>
    <font>
      <color rgb="FFE06666"/>
      <name val="Arial"/>
      <scheme val="minor"/>
    </font>
    <font>
      <color rgb="FF000000"/>
      <name val="Arial"/>
    </font>
    <font>
      <color rgb="FFCC0000"/>
      <name val="Arial"/>
      <scheme val="minor"/>
    </font>
    <font>
      <sz val="11.0"/>
      <color rgb="FF1F1F1F"/>
      <name val="Arial"/>
    </font>
    <font>
      <b/>
      <color rgb="FF1F1F1F"/>
      <name val="Arial"/>
    </font>
    <font>
      <color rgb="FF1F1F1F"/>
      <name val="Arial"/>
    </font>
    <font>
      <color rgb="FFFF0000"/>
      <name val="Arial"/>
    </font>
    <font>
      <u/>
      <color rgb="FF0000FF"/>
    </font>
    <font>
      <b/>
      <sz val="11.0"/>
      <color rgb="FF1F1F1F"/>
      <name val="Arial"/>
    </font>
    <font>
      <sz val="11.0"/>
      <color rgb="FF474747"/>
      <name val="Arial"/>
    </font>
    <font>
      <b/>
      <color rgb="FFC92C21"/>
      <name val="Proxima-nova"/>
    </font>
    <font>
      <b/>
      <sz val="15.0"/>
      <color rgb="FF212121"/>
      <name val="&quot;Open Sans&quot;"/>
    </font>
    <font>
      <b/>
      <color rgb="FF212121"/>
      <name val="Inherit"/>
    </font>
    <font>
      <u/>
      <color rgb="FF0000FF"/>
    </font>
    <font>
      <sz val="11.0"/>
      <color rgb="FF1A0DAB"/>
      <name val="Arial"/>
    </font>
    <font>
      <color rgb="FFC92C21"/>
      <name val="Proxima-nova"/>
    </font>
    <font>
      <b/>
      <color rgb="FF2E3031"/>
      <name val="Inherit"/>
    </font>
    <font>
      <b/>
      <color theme="1"/>
      <name val="Proxima-nova"/>
    </font>
    <font>
      <color rgb="FF484A52"/>
      <name val="Proxima-nova"/>
    </font>
    <font>
      <strike/>
      <color rgb="FF959595"/>
      <name val="Proxima-nova"/>
    </font>
    <font>
      <b/>
      <strike/>
      <color rgb="FFC92C21"/>
      <name val="Proxima-nova"/>
    </font>
    <font>
      <b/>
      <strike/>
      <color rgb="FF484A52"/>
      <name val="Proxima-nova"/>
    </font>
    <font>
      <b/>
      <strike/>
      <color theme="1"/>
      <name val="Proxima-nova"/>
    </font>
    <font>
      <strike/>
      <color rgb="FF484A52"/>
      <name val="Proxima-nova"/>
    </font>
    <font>
      <b/>
      <strike/>
      <u/>
      <color rgb="FF484A52"/>
      <name val="Proxima-nova"/>
    </font>
    <font>
      <u/>
      <color rgb="FF0000FF"/>
    </font>
    <font>
      <u/>
      <color rgb="FF0000FF"/>
    </font>
    <font>
      <color theme="0"/>
      <name val="Arial"/>
      <scheme val="minor"/>
    </font>
    <font>
      <color rgb="FFFFFFFF"/>
      <name val="Arial"/>
      <scheme val="minor"/>
    </font>
  </fonts>
  <fills count="4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3C78D8"/>
        <bgColor rgb="FF3C78D8"/>
      </patternFill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rgb="FF8E7CC3"/>
        <bgColor rgb="FF8E7CC3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theme="9"/>
        <bgColor theme="9"/>
      </patternFill>
    </fill>
    <fill>
      <patternFill patternType="solid">
        <fgColor rgb="FFEA4335"/>
        <bgColor rgb="FFEA4335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A64D79"/>
        <bgColor rgb="FFA64D79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1C232"/>
        <bgColor rgb="FFF1C232"/>
      </patternFill>
    </fill>
    <fill>
      <patternFill patternType="solid">
        <fgColor rgb="FFCC4125"/>
        <bgColor rgb="FFCC4125"/>
      </patternFill>
    </fill>
    <fill>
      <patternFill patternType="solid">
        <fgColor rgb="FFDD7E6B"/>
        <bgColor rgb="FFDD7E6B"/>
      </patternFill>
    </fill>
    <fill>
      <patternFill patternType="solid">
        <fgColor rgb="FF9FC5E8"/>
        <bgColor rgb="FF9FC5E8"/>
      </patternFill>
    </fill>
    <fill>
      <patternFill patternType="solid">
        <fgColor rgb="FFFF00FF"/>
        <bgColor rgb="FFFF00FF"/>
      </patternFill>
    </fill>
    <fill>
      <patternFill patternType="solid">
        <fgColor rgb="FFF6B26B"/>
        <bgColor rgb="FFF6B26B"/>
      </patternFill>
    </fill>
    <fill>
      <patternFill patternType="solid">
        <fgColor rgb="FFE6B8AF"/>
        <bgColor rgb="FFE6B8AF"/>
      </patternFill>
    </fill>
    <fill>
      <patternFill patternType="solid">
        <fgColor rgb="FFF4F5F7"/>
        <bgColor rgb="FFF4F5F7"/>
      </patternFill>
    </fill>
    <fill>
      <patternFill patternType="solid">
        <fgColor rgb="FFF5F5F5"/>
        <bgColor rgb="FFF5F5F5"/>
      </patternFill>
    </fill>
    <fill>
      <patternFill patternType="solid">
        <fgColor rgb="FFF5F6F7"/>
        <bgColor rgb="FFF5F6F7"/>
      </patternFill>
    </fill>
    <fill>
      <patternFill patternType="solid">
        <fgColor rgb="FFD9D9D9"/>
        <bgColor rgb="FFD9D9D9"/>
      </patternFill>
    </fill>
    <fill>
      <patternFill patternType="solid">
        <fgColor rgb="FFA61C00"/>
        <bgColor rgb="FFA61C00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2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164" xfId="0" applyAlignment="1" applyFill="1" applyFont="1" applyNumberForma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 shrinkToFit="0" wrapText="0"/>
    </xf>
    <xf borderId="0" fillId="5" fontId="1" numFmtId="4" xfId="0" applyFont="1" applyNumberFormat="1"/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5" fontId="2" numFmtId="4" xfId="0" applyAlignment="1" applyFont="1" applyNumberForma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1" numFmtId="0" xfId="0" applyAlignment="1" applyFont="1">
      <alignment readingOrder="0"/>
    </xf>
    <xf borderId="0" fillId="9" fontId="3" numFmtId="0" xfId="0" applyAlignment="1" applyFill="1" applyFont="1">
      <alignment vertical="bottom"/>
    </xf>
    <xf borderId="0" fillId="3" fontId="1" numFmtId="4" xfId="0" applyAlignment="1" applyFont="1" applyNumberFormat="1">
      <alignment readingOrder="0"/>
    </xf>
    <xf borderId="0" fillId="10" fontId="3" numFmtId="0" xfId="0" applyAlignment="1" applyFill="1" applyFont="1">
      <alignment vertical="bottom"/>
    </xf>
    <xf borderId="0" fillId="11" fontId="1" numFmtId="0" xfId="0" applyAlignment="1" applyFill="1" applyFont="1">
      <alignment readingOrder="0"/>
    </xf>
    <xf borderId="0" fillId="11" fontId="1" numFmtId="0" xfId="0" applyFont="1"/>
    <xf borderId="0" fillId="0" fontId="3" numFmtId="0" xfId="0" applyAlignment="1" applyFont="1">
      <alignment vertical="bottom"/>
    </xf>
    <xf borderId="0" fillId="11" fontId="1" numFmtId="165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10" fontId="3" numFmtId="0" xfId="0" applyAlignment="1" applyFont="1">
      <alignment readingOrder="0" vertical="bottom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0" fontId="1" numFmtId="0" xfId="0" applyFont="1"/>
    <xf borderId="0" fillId="10" fontId="3" numFmtId="0" xfId="0" applyAlignment="1" applyFont="1">
      <alignment vertical="bottom"/>
    </xf>
    <xf borderId="0" fillId="9" fontId="3" numFmtId="0" xfId="0" applyAlignment="1" applyFont="1">
      <alignment horizontal="right" readingOrder="0" vertical="bottom"/>
    </xf>
    <xf borderId="0" fillId="11" fontId="3" numFmtId="0" xfId="0" applyAlignment="1" applyFont="1">
      <alignment readingOrder="0" vertical="bottom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9" fontId="1" numFmtId="0" xfId="0" applyAlignment="1" applyFont="1">
      <alignment readingOrder="0"/>
    </xf>
    <xf borderId="0" fillId="14" fontId="1" numFmtId="0" xfId="0" applyFont="1"/>
    <xf borderId="0" fillId="17" fontId="1" numFmtId="0" xfId="0" applyFill="1" applyFont="1"/>
    <xf borderId="0" fillId="18" fontId="1" numFmtId="0" xfId="0" applyFill="1" applyFont="1"/>
    <xf borderId="0" fillId="19" fontId="1" numFmtId="4" xfId="0" applyAlignment="1" applyFill="1" applyFont="1" applyNumberFormat="1">
      <alignment readingOrder="0"/>
    </xf>
    <xf borderId="0" fillId="20" fontId="1" numFmtId="0" xfId="0" applyAlignment="1" applyFill="1" applyFont="1">
      <alignment readingOrder="0"/>
    </xf>
    <xf borderId="0" fillId="20" fontId="1" numFmtId="0" xfId="0" applyFont="1"/>
    <xf borderId="0" fillId="21" fontId="1" numFmtId="0" xfId="0" applyAlignment="1" applyFill="1" applyFont="1">
      <alignment readingOrder="0"/>
    </xf>
    <xf borderId="0" fillId="14" fontId="1" numFmtId="4" xfId="0" applyFont="1" applyNumberFormat="1"/>
    <xf borderId="0" fillId="22" fontId="4" numFmtId="4" xfId="0" applyAlignment="1" applyFill="1" applyFont="1" applyNumberFormat="1">
      <alignment readingOrder="0"/>
    </xf>
    <xf borderId="0" fillId="14" fontId="5" numFmtId="0" xfId="0" applyAlignment="1" applyFont="1">
      <alignment readingOrder="0"/>
    </xf>
    <xf borderId="0" fillId="23" fontId="1" numFmtId="4" xfId="0" applyFill="1" applyFont="1" applyNumberFormat="1"/>
    <xf borderId="0" fillId="16" fontId="1" numFmtId="0" xfId="0" applyFont="1"/>
    <xf borderId="0" fillId="5" fontId="3" numFmtId="0" xfId="0" applyAlignment="1" applyFont="1">
      <alignment vertical="bottom"/>
    </xf>
    <xf borderId="0" fillId="24" fontId="1" numFmtId="0" xfId="0" applyFill="1" applyFont="1"/>
    <xf borderId="0" fillId="5" fontId="3" numFmtId="0" xfId="0" applyAlignment="1" applyFont="1">
      <alignment vertical="bottom"/>
    </xf>
    <xf borderId="0" fillId="25" fontId="3" numFmtId="0" xfId="0" applyAlignment="1" applyFill="1" applyFont="1">
      <alignment horizontal="right" readingOrder="0" vertical="bottom"/>
    </xf>
    <xf borderId="0" fillId="25" fontId="3" numFmtId="0" xfId="0" applyAlignment="1" applyFont="1">
      <alignment horizontal="right" vertical="bottom"/>
    </xf>
    <xf borderId="0" fillId="0" fontId="1" numFmtId="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9" fontId="1" numFmtId="0" xfId="0" applyFont="1"/>
    <xf borderId="0" fillId="26" fontId="1" numFmtId="0" xfId="0" applyAlignment="1" applyFill="1" applyFont="1">
      <alignment readingOrder="0"/>
    </xf>
    <xf borderId="0" fillId="27" fontId="1" numFmtId="164" xfId="0" applyAlignment="1" applyFill="1" applyFont="1" applyNumberFormat="1">
      <alignment readingOrder="0"/>
    </xf>
    <xf borderId="0" fillId="18" fontId="1" numFmtId="0" xfId="0" applyAlignment="1" applyFont="1">
      <alignment readingOrder="0"/>
    </xf>
    <xf borderId="0" fillId="27" fontId="1" numFmtId="0" xfId="0" applyAlignment="1" applyFont="1">
      <alignment readingOrder="0"/>
    </xf>
    <xf borderId="0" fillId="27" fontId="1" numFmtId="0" xfId="0" applyFont="1"/>
    <xf borderId="0" fillId="28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29" fontId="1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16" fontId="8" numFmtId="0" xfId="0" applyAlignment="1" applyFont="1">
      <alignment readingOrder="0"/>
    </xf>
    <xf borderId="0" fillId="0" fontId="8" numFmtId="0" xfId="0" applyFont="1"/>
    <xf borderId="0" fillId="0" fontId="1" numFmtId="166" xfId="0" applyAlignment="1" applyFont="1" applyNumberFormat="1">
      <alignment readingOrder="0"/>
    </xf>
    <xf borderId="0" fillId="2" fontId="7" numFmtId="0" xfId="0" applyFont="1"/>
    <xf borderId="0" fillId="9" fontId="9" numFmtId="0" xfId="0" applyAlignment="1" applyFont="1">
      <alignment readingOrder="0"/>
    </xf>
    <xf borderId="0" fillId="2" fontId="1" numFmtId="0" xfId="0" applyFont="1"/>
    <xf borderId="0" fillId="16" fontId="7" numFmtId="0" xfId="0" applyFont="1"/>
    <xf borderId="0" fillId="0" fontId="9" numFmtId="0" xfId="0" applyAlignment="1" applyFont="1">
      <alignment readingOrder="0"/>
    </xf>
    <xf borderId="0" fillId="12" fontId="1" numFmtId="165" xfId="0" applyAlignment="1" applyFont="1" applyNumberFormat="1">
      <alignment readingOrder="0"/>
    </xf>
    <xf borderId="0" fillId="12" fontId="1" numFmtId="167" xfId="0" applyAlignment="1" applyFont="1" applyNumberFormat="1">
      <alignment readingOrder="0"/>
    </xf>
    <xf borderId="0" fillId="4" fontId="1" numFmtId="0" xfId="0" applyFont="1"/>
    <xf borderId="0" fillId="23" fontId="1" numFmtId="0" xfId="0" applyFont="1"/>
    <xf borderId="0" fillId="10" fontId="8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0" fillId="30" fontId="1" numFmtId="0" xfId="0" applyAlignment="1" applyFill="1" applyFont="1">
      <alignment readingOrder="0"/>
    </xf>
    <xf borderId="0" fillId="31" fontId="1" numFmtId="0" xfId="0" applyFill="1" applyFont="1"/>
    <xf borderId="0" fillId="3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6" fontId="8" numFmtId="0" xfId="0" applyAlignment="1" applyFont="1">
      <alignment readingOrder="0"/>
    </xf>
    <xf borderId="0" fillId="32" fontId="1" numFmtId="0" xfId="0" applyFill="1" applyFont="1"/>
    <xf borderId="0" fillId="10" fontId="1" numFmtId="0" xfId="0" applyAlignment="1" applyFont="1">
      <alignment readingOrder="0"/>
    </xf>
    <xf borderId="0" fillId="10" fontId="1" numFmtId="0" xfId="0" applyFont="1"/>
    <xf borderId="0" fillId="4" fontId="12" numFmtId="0" xfId="0" applyAlignment="1" applyFont="1">
      <alignment readingOrder="0"/>
    </xf>
    <xf borderId="0" fillId="7" fontId="12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32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33" fontId="1" numFmtId="0" xfId="0" applyAlignment="1" applyFill="1" applyFont="1">
      <alignment readingOrder="0"/>
    </xf>
    <xf borderId="0" fillId="32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9" fontId="3" numFmtId="0" xfId="0" applyAlignment="1" applyFont="1">
      <alignment readingOrder="0" vertical="bottom"/>
    </xf>
    <xf borderId="0" fillId="22" fontId="15" numFmtId="0" xfId="0" applyAlignment="1" applyFont="1">
      <alignment horizontal="left" readingOrder="0" shrinkToFit="0" wrapText="0"/>
    </xf>
    <xf borderId="0" fillId="22" fontId="16" numFmtId="0" xfId="0" applyAlignment="1" applyFont="1">
      <alignment horizontal="left" readingOrder="0" shrinkToFit="0" wrapText="0"/>
    </xf>
    <xf borderId="0" fillId="22" fontId="16" numFmtId="0" xfId="0" applyAlignment="1" applyFont="1">
      <alignment horizontal="right" readingOrder="0" shrinkToFit="0" wrapText="0"/>
    </xf>
    <xf borderId="0" fillId="34" fontId="1" numFmtId="0" xfId="0" applyAlignment="1" applyFill="1" applyFont="1">
      <alignment readingOrder="0"/>
    </xf>
    <xf borderId="0" fillId="22" fontId="17" numFmtId="0" xfId="0" applyAlignment="1" applyFont="1">
      <alignment horizontal="left" readingOrder="0" shrinkToFit="0" wrapText="0"/>
    </xf>
    <xf borderId="0" fillId="22" fontId="17" numFmtId="0" xfId="0" applyAlignment="1" applyFont="1">
      <alignment horizontal="right" readingOrder="0" shrinkToFit="0" wrapText="0"/>
    </xf>
    <xf borderId="0" fillId="35" fontId="1" numFmtId="0" xfId="0" applyAlignment="1" applyFill="1" applyFont="1">
      <alignment readingOrder="0"/>
    </xf>
    <xf borderId="0" fillId="36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166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37" fontId="1" numFmtId="0" xfId="0" applyFill="1" applyFont="1"/>
    <xf borderId="0" fillId="37" fontId="1" numFmtId="0" xfId="0" applyAlignment="1" applyFont="1">
      <alignment readingOrder="0"/>
    </xf>
    <xf borderId="0" fillId="9" fontId="3" numFmtId="165" xfId="0" applyAlignment="1" applyFont="1" applyNumberFormat="1">
      <alignment horizontal="right" readingOrder="0" vertical="bottom"/>
    </xf>
    <xf borderId="0" fillId="0" fontId="18" numFmtId="0" xfId="0" applyAlignment="1" applyFont="1">
      <alignment readingOrder="0" vertical="bottom"/>
    </xf>
    <xf borderId="0" fillId="0" fontId="18" numFmtId="165" xfId="0" applyAlignment="1" applyFont="1" applyNumberFormat="1">
      <alignment horizontal="right" readingOrder="0" vertical="bottom"/>
    </xf>
    <xf borderId="0" fillId="0" fontId="18" numFmtId="0" xfId="0" applyAlignment="1" applyFont="1">
      <alignment horizontal="right" readingOrder="0" vertical="bottom"/>
    </xf>
    <xf borderId="0" fillId="38" fontId="3" numFmtId="0" xfId="0" applyAlignment="1" applyFill="1" applyFont="1">
      <alignment readingOrder="0" vertical="bottom"/>
    </xf>
    <xf borderId="0" fillId="38" fontId="3" numFmtId="0" xfId="0" applyAlignment="1" applyFont="1">
      <alignment horizontal="right" readingOrder="0" vertical="bottom"/>
    </xf>
    <xf borderId="0" fillId="38" fontId="3" numFmtId="165" xfId="0" applyAlignment="1" applyFont="1" applyNumberFormat="1">
      <alignment horizontal="right" readingOrder="0" vertical="bottom"/>
    </xf>
    <xf borderId="0" fillId="38" fontId="13" numFmtId="0" xfId="0" applyAlignment="1" applyFont="1">
      <alignment readingOrder="0" vertical="bottom"/>
    </xf>
    <xf borderId="0" fillId="38" fontId="1" numFmtId="0" xfId="0" applyFont="1"/>
    <xf borderId="0" fillId="0" fontId="1" numFmtId="168" xfId="0" applyAlignment="1" applyFont="1" applyNumberFormat="1">
      <alignment readingOrder="0"/>
    </xf>
    <xf borderId="0" fillId="22" fontId="15" numFmtId="0" xfId="0" applyAlignment="1" applyFont="1">
      <alignment readingOrder="0"/>
    </xf>
    <xf borderId="0" fillId="3" fontId="19" numFmtId="0" xfId="0" applyAlignment="1" applyFont="1">
      <alignment readingOrder="0"/>
    </xf>
    <xf borderId="0" fillId="10" fontId="1" numFmtId="4" xfId="0" applyAlignment="1" applyFont="1" applyNumberFormat="1">
      <alignment readingOrder="0"/>
    </xf>
    <xf borderId="0" fillId="22" fontId="20" numFmtId="0" xfId="0" applyAlignment="1" applyFont="1">
      <alignment readingOrder="0" vertical="top"/>
    </xf>
    <xf borderId="0" fillId="39" fontId="1" numFmtId="0" xfId="0" applyAlignment="1" applyFill="1" applyFont="1">
      <alignment readingOrder="0"/>
    </xf>
    <xf borderId="0" fillId="36" fontId="1" numFmtId="165" xfId="0" applyAlignment="1" applyFont="1" applyNumberFormat="1">
      <alignment readingOrder="0"/>
    </xf>
    <xf borderId="0" fillId="22" fontId="21" numFmtId="0" xfId="0" applyAlignment="1" applyFont="1">
      <alignment readingOrder="0" vertical="top"/>
    </xf>
    <xf borderId="0" fillId="31" fontId="1" numFmtId="0" xfId="0" applyAlignment="1" applyFont="1">
      <alignment readingOrder="0"/>
    </xf>
    <xf borderId="0" fillId="23" fontId="1" numFmtId="0" xfId="0" applyAlignment="1" applyFont="1">
      <alignment readingOrder="0"/>
    </xf>
    <xf borderId="0" fillId="16" fontId="1" numFmtId="4" xfId="0" applyFont="1" applyNumberFormat="1"/>
    <xf borderId="0" fillId="22" fontId="1" numFmtId="0" xfId="0" applyAlignment="1" applyFont="1">
      <alignment readingOrder="0"/>
    </xf>
    <xf borderId="0" fillId="40" fontId="1" numFmtId="0" xfId="0" applyFill="1" applyFont="1"/>
    <xf borderId="0" fillId="38" fontId="7" numFmtId="0" xfId="0" applyAlignment="1" applyFont="1">
      <alignment readingOrder="0"/>
    </xf>
    <xf borderId="0" fillId="22" fontId="1" numFmtId="0" xfId="0" applyFont="1"/>
    <xf borderId="0" fillId="38" fontId="1" numFmtId="0" xfId="0" applyAlignment="1" applyFont="1">
      <alignment readingOrder="0"/>
    </xf>
    <xf borderId="0" fillId="22" fontId="22" numFmtId="0" xfId="0" applyAlignment="1" applyFont="1">
      <alignment readingOrder="0"/>
    </xf>
    <xf borderId="0" fillId="41" fontId="23" numFmtId="0" xfId="0" applyAlignment="1" applyFill="1" applyFont="1">
      <alignment readingOrder="0"/>
    </xf>
    <xf borderId="0" fillId="41" fontId="24" numFmtId="4" xfId="0" applyAlignment="1" applyFont="1" applyNumberFormat="1">
      <alignment readingOrder="0"/>
    </xf>
    <xf borderId="0" fillId="3" fontId="25" numFmtId="0" xfId="0" applyAlignment="1" applyFont="1">
      <alignment readingOrder="0"/>
    </xf>
    <xf borderId="0" fillId="0" fontId="5" numFmtId="0" xfId="0" applyAlignment="1" applyFont="1">
      <alignment readingOrder="0"/>
    </xf>
    <xf borderId="0" fillId="22" fontId="26" numFmtId="0" xfId="0" applyAlignment="1" applyFont="1">
      <alignment readingOrder="0" vertical="bottom"/>
    </xf>
    <xf borderId="0" fillId="0" fontId="5" numFmtId="4" xfId="0" applyAlignment="1" applyFont="1" applyNumberFormat="1">
      <alignment readingOrder="0"/>
    </xf>
    <xf borderId="0" fillId="22" fontId="27" numFmtId="0" xfId="0" applyAlignment="1" applyFont="1">
      <alignment readingOrder="0"/>
    </xf>
    <xf borderId="0" fillId="42" fontId="28" numFmtId="0" xfId="0" applyAlignment="1" applyFill="1" applyFont="1">
      <alignment readingOrder="0"/>
    </xf>
    <xf borderId="0" fillId="41" fontId="24" numFmtId="0" xfId="0" applyAlignment="1" applyFont="1">
      <alignment readingOrder="0"/>
    </xf>
    <xf borderId="0" fillId="0" fontId="1" numFmtId="169" xfId="0" applyAlignment="1" applyFont="1" applyNumberFormat="1">
      <alignment readingOrder="0"/>
    </xf>
    <xf borderId="0" fillId="22" fontId="29" numFmtId="0" xfId="0" applyAlignment="1" applyFont="1">
      <alignment readingOrder="0"/>
    </xf>
    <xf borderId="0" fillId="0" fontId="24" numFmtId="0" xfId="0" applyAlignment="1" applyFont="1">
      <alignment readingOrder="0"/>
    </xf>
    <xf borderId="0" fillId="22" fontId="30" numFmtId="0" xfId="0" applyAlignment="1" applyFont="1">
      <alignment readingOrder="0"/>
    </xf>
    <xf borderId="0" fillId="0" fontId="3" numFmtId="168" xfId="0" applyAlignment="1" applyFont="1" applyNumberFormat="1">
      <alignment horizontal="right" readingOrder="0" vertical="bottom"/>
    </xf>
    <xf borderId="0" fillId="43" fontId="31" numFmtId="170" xfId="0" applyAlignment="1" applyFill="1" applyFont="1" applyNumberFormat="1">
      <alignment horizontal="left" readingOrder="0"/>
    </xf>
    <xf borderId="0" fillId="43" fontId="32" numFmtId="170" xfId="0" applyAlignment="1" applyFont="1" applyNumberFormat="1">
      <alignment horizontal="left" readingOrder="0" vertical="top"/>
    </xf>
    <xf borderId="0" fillId="43" fontId="33" numFmtId="0" xfId="0" applyAlignment="1" applyFont="1">
      <alignment horizontal="left" readingOrder="0" shrinkToFit="0" vertical="top" wrapText="0"/>
    </xf>
    <xf borderId="0" fillId="43" fontId="34" numFmtId="0" xfId="0" applyAlignment="1" applyFont="1">
      <alignment horizontal="left" readingOrder="0" shrinkToFit="0" vertical="top" wrapText="0"/>
    </xf>
    <xf borderId="0" fillId="43" fontId="35" numFmtId="0" xfId="0" applyAlignment="1" applyFont="1">
      <alignment horizontal="left" readingOrder="0" shrinkToFit="0" vertical="top" wrapText="0"/>
    </xf>
    <xf borderId="0" fillId="43" fontId="31" numFmtId="170" xfId="0" applyAlignment="1" applyFont="1" applyNumberFormat="1">
      <alignment horizontal="left" readingOrder="0" shrinkToFit="0" vertical="top" wrapText="0"/>
    </xf>
    <xf borderId="0" fillId="43" fontId="32" numFmtId="170" xfId="0" applyAlignment="1" applyFont="1" applyNumberFormat="1">
      <alignment horizontal="left" readingOrder="0" shrinkToFit="0" vertical="top" wrapText="0"/>
    </xf>
    <xf borderId="0" fillId="43" fontId="36" numFmtId="0" xfId="0" applyAlignment="1" applyFont="1">
      <alignment horizontal="left" readingOrder="0" shrinkToFit="0" vertical="top" wrapText="0"/>
    </xf>
    <xf borderId="0" fillId="16" fontId="9" numFmtId="0" xfId="0" applyAlignment="1" applyFont="1">
      <alignment readingOrder="0"/>
    </xf>
    <xf borderId="0" fillId="0" fontId="3" numFmtId="169" xfId="0" applyAlignment="1" applyFont="1" applyNumberFormat="1">
      <alignment horizontal="right" readingOrder="0" vertical="bottom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/>
    </xf>
    <xf borderId="0" fillId="9" fontId="7" numFmtId="0" xfId="0" applyFont="1"/>
    <xf borderId="0" fillId="0" fontId="39" numFmtId="0" xfId="0" applyFont="1"/>
    <xf borderId="0" fillId="0" fontId="3" numFmtId="0" xfId="0" applyAlignment="1" applyFont="1">
      <alignment horizontal="right" vertical="bottom"/>
    </xf>
    <xf borderId="0" fillId="22" fontId="7" numFmtId="0" xfId="0" applyAlignment="1" applyFont="1">
      <alignment readingOrder="0"/>
    </xf>
    <xf borderId="0" fillId="39" fontId="1" numFmtId="0" xfId="0" applyFont="1"/>
    <xf borderId="0" fillId="0" fontId="1" numFmtId="14" xfId="0" applyAlignment="1" applyFont="1" applyNumberFormat="1">
      <alignment readingOrder="0"/>
    </xf>
    <xf borderId="0" fillId="0" fontId="7" numFmtId="0" xfId="0" applyFont="1"/>
    <xf borderId="0" fillId="16" fontId="7" numFmtId="0" xfId="0" applyAlignment="1" applyFont="1">
      <alignment readingOrder="0"/>
    </xf>
    <xf borderId="0" fillId="9" fontId="9" numFmtId="0" xfId="0" applyFont="1"/>
    <xf borderId="0" fillId="0" fontId="1" numFmtId="171" xfId="0" applyAlignment="1" applyFont="1" applyNumberFormat="1">
      <alignment readingOrder="0"/>
    </xf>
    <xf borderId="0" fillId="2" fontId="9" numFmtId="0" xfId="0" applyFont="1"/>
    <xf borderId="0" fillId="0" fontId="3" numFmtId="168" xfId="0" applyAlignment="1" applyFont="1" applyNumberFormat="1">
      <alignment horizontal="right" vertical="bottom"/>
    </xf>
    <xf borderId="0" fillId="9" fontId="7" numFmtId="0" xfId="0" applyAlignment="1" applyFont="1">
      <alignment readingOrder="0"/>
    </xf>
    <xf borderId="0" fillId="35" fontId="1" numFmtId="0" xfId="0" applyFont="1"/>
    <xf borderId="0" fillId="9" fontId="3" numFmtId="0" xfId="0" applyAlignment="1" applyFont="1">
      <alignment horizontal="right" vertical="bottom"/>
    </xf>
    <xf borderId="0" fillId="16" fontId="3" numFmtId="0" xfId="0" applyAlignment="1" applyFont="1">
      <alignment horizontal="right" readingOrder="0" vertical="bottom"/>
    </xf>
    <xf borderId="0" fillId="16" fontId="3" numFmtId="0" xfId="0" applyAlignment="1" applyFont="1">
      <alignment readingOrder="0" vertical="bottom"/>
    </xf>
    <xf borderId="0" fillId="3" fontId="1" numFmtId="0" xfId="0" applyFont="1"/>
    <xf borderId="0" fillId="16" fontId="9" numFmtId="0" xfId="0" applyFont="1"/>
    <xf borderId="0" fillId="33" fontId="1" numFmtId="0" xfId="0" applyFont="1"/>
    <xf borderId="0" fillId="0" fontId="3" numFmtId="165" xfId="0" applyAlignment="1" applyFont="1" applyNumberFormat="1">
      <alignment horizontal="right" vertical="bottom"/>
    </xf>
    <xf borderId="0" fillId="0" fontId="9" numFmtId="0" xfId="0" applyFont="1"/>
    <xf borderId="0" fillId="23" fontId="10" numFmtId="0" xfId="0" applyFont="1"/>
    <xf borderId="0" fillId="23" fontId="3" numFmtId="0" xfId="0" applyAlignment="1" applyFont="1">
      <alignment readingOrder="0" vertical="bottom"/>
    </xf>
    <xf borderId="0" fillId="16" fontId="3" numFmtId="0" xfId="0" applyAlignment="1" applyFont="1">
      <alignment horizontal="right" vertical="bottom"/>
    </xf>
    <xf borderId="0" fillId="16" fontId="3" numFmtId="165" xfId="0" applyAlignment="1" applyFont="1" applyNumberFormat="1">
      <alignment horizontal="right" readingOrder="0" vertical="bottom"/>
    </xf>
    <xf borderId="0" fillId="2" fontId="7" numFmtId="0" xfId="0" applyAlignment="1" applyFont="1">
      <alignment readingOrder="0"/>
    </xf>
    <xf borderId="0" fillId="15" fontId="9" numFmtId="0" xfId="0" applyFont="1"/>
    <xf borderId="0" fillId="15" fontId="1" numFmtId="0" xfId="0" applyFont="1"/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horizontal="right" readingOrder="0" vertical="bottom"/>
    </xf>
    <xf borderId="0" fillId="13" fontId="8" numFmtId="0" xfId="0" applyAlignment="1" applyFont="1">
      <alignment readingOrder="0"/>
    </xf>
    <xf borderId="0" fillId="22" fontId="3" numFmtId="0" xfId="0" applyAlignment="1" applyFont="1">
      <alignment readingOrder="0" vertical="bottom"/>
    </xf>
    <xf borderId="0" fillId="22" fontId="3" numFmtId="0" xfId="0" applyAlignment="1" applyFont="1">
      <alignment horizontal="right" readingOrder="0" vertical="bottom"/>
    </xf>
    <xf borderId="0" fillId="22" fontId="1" numFmtId="165" xfId="0" applyAlignment="1" applyFont="1" applyNumberFormat="1">
      <alignment readingOrder="0"/>
    </xf>
    <xf borderId="0" fillId="22" fontId="8" numFmtId="0" xfId="0" applyAlignment="1" applyFont="1">
      <alignment readingOrder="0"/>
    </xf>
    <xf borderId="0" fillId="22" fontId="8" numFmtId="165" xfId="0" applyAlignment="1" applyFont="1" applyNumberFormat="1">
      <alignment readingOrder="0"/>
    </xf>
    <xf borderId="0" fillId="9" fontId="10" numFmtId="0" xfId="0" applyFont="1"/>
    <xf borderId="0" fillId="39" fontId="11" numFmtId="0" xfId="0" applyFont="1"/>
    <xf borderId="0" fillId="35" fontId="11" numFmtId="0" xfId="0" applyFont="1"/>
    <xf borderId="0" fillId="22" fontId="11" numFmtId="0" xfId="0" applyFont="1"/>
    <xf borderId="0" fillId="0" fontId="12" numFmtId="0" xfId="0" applyAlignment="1" applyFont="1">
      <alignment readingOrder="0"/>
    </xf>
    <xf borderId="0" fillId="16" fontId="13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22" fontId="3" numFmtId="0" xfId="0" applyAlignment="1" applyFont="1">
      <alignment vertical="bottom"/>
    </xf>
    <xf borderId="0" fillId="16" fontId="3" numFmtId="0" xfId="0" applyAlignment="1" applyFont="1">
      <alignment vertical="bottom"/>
    </xf>
    <xf borderId="0" fillId="2" fontId="13" numFmtId="0" xfId="0" applyAlignment="1" applyFont="1">
      <alignment readingOrder="0" vertical="bottom"/>
    </xf>
    <xf borderId="0" fillId="30" fontId="1" numFmtId="0" xfId="0" applyFont="1"/>
    <xf borderId="0" fillId="30" fontId="1" numFmtId="165" xfId="0" applyAlignment="1" applyFont="1" applyNumberFormat="1">
      <alignment readingOrder="0"/>
    </xf>
    <xf borderId="0" fillId="0" fontId="40" numFmtId="0" xfId="0" applyAlignment="1" applyFont="1">
      <alignment readingOrder="0"/>
    </xf>
    <xf borderId="0" fillId="0" fontId="39" numFmtId="0" xfId="0" applyAlignment="1" applyFont="1">
      <alignment readingOrder="0"/>
    </xf>
    <xf borderId="0" fillId="44" fontId="1" numFmtId="0" xfId="0" applyFill="1" applyFont="1"/>
    <xf borderId="0" fillId="22" fontId="3" numFmtId="165" xfId="0" applyAlignment="1" applyFont="1" applyNumberFormat="1">
      <alignment horizontal="right" readingOrder="0" vertical="bottom"/>
    </xf>
    <xf borderId="0" fillId="4" fontId="11" numFmtId="0" xfId="0" applyFont="1"/>
    <xf borderId="0" fillId="22" fontId="3" numFmtId="0" xfId="0" applyAlignment="1" applyFont="1">
      <alignment vertical="bottom"/>
    </xf>
    <xf borderId="0" fillId="22" fontId="3" numFmtId="0" xfId="0" applyAlignment="1" applyFont="1">
      <alignment horizontal="right" vertical="bottom"/>
    </xf>
    <xf borderId="0" fillId="22" fontId="3" numFmtId="0" xfId="0" applyAlignment="1" applyFont="1">
      <alignment horizontal="right" vertical="bottom"/>
    </xf>
    <xf borderId="0" fillId="22" fontId="4" numFmtId="0" xfId="0" applyAlignment="1" applyFont="1">
      <alignment readingOrder="0"/>
    </xf>
    <xf borderId="0" fillId="9" fontId="8" numFmtId="0" xfId="0" applyAlignment="1" applyFont="1">
      <alignment readingOrder="0"/>
    </xf>
    <xf borderId="0" fillId="45" fontId="1" numFmtId="0" xfId="0" applyFill="1" applyFont="1"/>
    <xf borderId="0" fillId="46" fontId="1" numFmtId="0" xfId="0" applyAlignment="1" applyFill="1" applyFont="1">
      <alignment readingOrder="0"/>
    </xf>
    <xf borderId="0" fillId="2" fontId="3" numFmtId="0" xfId="0" applyAlignment="1" applyFont="1">
      <alignment vertical="bottom"/>
    </xf>
    <xf borderId="0" fillId="9" fontId="1" numFmtId="165" xfId="0" applyAlignment="1" applyFont="1" applyNumberFormat="1">
      <alignment readingOrder="0"/>
    </xf>
    <xf borderId="0" fillId="0" fontId="7" numFmtId="165" xfId="0" applyAlignment="1" applyFont="1" applyNumberFormat="1">
      <alignment readingOrder="0"/>
    </xf>
  </cellXfs>
  <cellStyles count="1">
    <cellStyle xfId="0" name="Normal" builtinId="0"/>
  </cellStyles>
  <dxfs count="7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CC4125"/>
          <bgColor rgb="FFCC4125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ewegg.ca/abs-cyclone-aqua-gaming-desktop-pc-geforce-rtx-5070-intel-core-ultra-7-265kf-32gb-ddr5-1tb-nvme-ssd-ca265kf5070/p/N82E16883360830" TargetMode="External"/><Relationship Id="rId2" Type="http://schemas.openxmlformats.org/officeDocument/2006/relationships/hyperlink" Target="https://anbernic.com/en-ca/products/rg35xxsp?variant=45132487196929" TargetMode="External"/><Relationship Id="rId3" Type="http://schemas.openxmlformats.org/officeDocument/2006/relationships/hyperlink" Target="https://www.newegg.ca/gaming-desktop-pc-amd-radeon-rx-9070-xt-intel-core-i7-14700kf-32gb-ddr5-2tb-ssd-azzagerizim-ci79070xt/p/N82E16883989018?Item=N82E16883989018&amp;_gl=1*ax327f*_gcl_au*MTY2MzUwMDA4OC4xNzQ4OTcwMjQw*_ga*NjI1NDExMTk3LjE3NDg5NzAyNDE.*_ga_F2QP10CXSW*czE3NTU1MzA2MDEkbzIwJGcxJHQxNzU1NTMyNTk3JGo1MyRsMCRoMTQ5ODMwNTAzMw..*_fplc*JTJCUUcyNnZMUCUyRjg3Tm1xNDRRd3A0TmR5OUxnNVhYUjNHN05HRHNnaHhSWmlFOHN4WG41cFolMkZNUUZaTXdYdFE4TnYlMkZVTUdkJTJGTE5FSmVHQzZGeGIzVWVpUFRJZmJId1pIMEN0YU9SMDZlODFrZHclMkJZU0lKZGlubjNTTk0lMkJrdmclM0QlM0Q." TargetMode="External"/><Relationship Id="rId4" Type="http://schemas.openxmlformats.org/officeDocument/2006/relationships/hyperlink" Target="https://www.newegg.ca/abs-cyclone-aqua-gaming-desktop-pc-geforce-rtx-5070-intel-core-ultra-7-265kf-32gb-ddr5-1tb-nvme-ssd-ca265kf5070/p/N82E16883360830" TargetMode="External"/><Relationship Id="rId5" Type="http://schemas.openxmlformats.org/officeDocument/2006/relationships/hyperlink" Target="https://www.goodlifefitness.com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ewegg.ca/abs-cyclone-aqua-gaming-desktop-pc-geforce-rtx-5070-intel-core-ultra-7-265kf-32gb-ddr5-1tb-nvme-ssd-ca265kf5070/p/N82E16883360830" TargetMode="External"/><Relationship Id="rId2" Type="http://schemas.openxmlformats.org/officeDocument/2006/relationships/hyperlink" Target="https://anbernic.com/en-ca/products/rg35xxsp?variant=45132487196929" TargetMode="External"/><Relationship Id="rId3" Type="http://schemas.openxmlformats.org/officeDocument/2006/relationships/hyperlink" Target="https://www.newegg.ca/gaming-desktop-pc-amd-radeon-rx-9070-xt-intel-core-i7-14700kf-32gb-ddr5-2tb-ssd-azzagerizim-ci79070xt/p/N82E16883989018?Item=N82E16883989018&amp;_gl=1*ax327f*_gcl_au*MTY2MzUwMDA4OC4xNzQ4OTcwMjQw*_ga*NjI1NDExMTk3LjE3NDg5NzAyNDE.*_ga_F2QP10CXSW*czE3NTU1MzA2MDEkbzIwJGcxJHQxNzU1NTMyNTk3JGo1MyRsMCRoMTQ5ODMwNTAzMw..*_fplc*JTJCUUcyNnZMUCUyRjg3Tm1xNDRRd3A0TmR5OUxnNVhYUjNHN05HRHNnaHhSWmlFOHN4WG41cFolMkZNUUZaTXdYdFE4TnYlMkZVTUdkJTJGTE5FSmVHQzZGeGIzVWVpUFRJZmJId1pIMEN0YU9SMDZlODFrZHclMkJZU0lKZGlubjNTTk0lMkJrdmclM0QlM0Q." TargetMode="External"/><Relationship Id="rId4" Type="http://schemas.openxmlformats.org/officeDocument/2006/relationships/hyperlink" Target="https://www.newegg.ca/abs-cyclone-aqua-gaming-desktop-pc-geforce-rtx-5070-intel-core-ultra-7-265kf-32gb-ddr5-1tb-nvme-ssd-ca265kf5070/p/N82E16883360830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ewegg.ca/abs-cyclone-aqua-gaming-desktop-pc-geforce-rtx-5070-intel-core-ultra-7-265kf-32gb-ddr5-1tb-nvme-ssd-ca265kf5070/p/N82E16883360830" TargetMode="External"/><Relationship Id="rId2" Type="http://schemas.openxmlformats.org/officeDocument/2006/relationships/hyperlink" Target="https://www.newegg.ca/abs-cyclone-aqua-gaming-desktop-pc-geforce-rtx-5070-intel-core-ultra-7-265kf-32gb-ddr5-1tb-nvme-ssd-ca265kf5070/p/N82E16883360830" TargetMode="External"/><Relationship Id="rId3" Type="http://schemas.openxmlformats.org/officeDocument/2006/relationships/hyperlink" Target="https://anbernic.com/en-ca/products/rg35xxsp?variant=45132487196929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ewegg.ca/abs-cyclone-aqua-gaming-desktop-pc-geforce-rtx-5070-intel-core-ultra-7-265kf-32gb-ddr5-1tb-nvme-ssd-ca265kf5070/p/N82E16883360830" TargetMode="External"/><Relationship Id="rId2" Type="http://schemas.openxmlformats.org/officeDocument/2006/relationships/hyperlink" Target="https://www.newegg.ca/abs-cyclone-aqua-gaming-desktop-pc-geforce-rtx-5070-intel-core-ultra-7-265kf-32gb-ddr5-1tb-nvme-ssd-ca265kf5070/p/N82E16883360830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4" max="4" width="24.25"/>
    <col customWidth="1" min="6" max="6" width="17.0"/>
    <col customWidth="1" min="7" max="7" width="16.63"/>
    <col customWidth="1" min="8" max="8" width="18.63"/>
    <col customWidth="1" min="11" max="11" width="16.88"/>
  </cols>
  <sheetData>
    <row r="1">
      <c r="A1" s="1" t="s">
        <v>0</v>
      </c>
      <c r="B1" s="2">
        <v>45876.0</v>
      </c>
      <c r="D1" s="3" t="s">
        <v>1</v>
      </c>
      <c r="E1" s="4">
        <f>F3</f>
        <v>119369.01</v>
      </c>
      <c r="F1" s="3" t="s">
        <v>2</v>
      </c>
      <c r="G1" s="5">
        <f>E2-E1</f>
        <v>17521.18</v>
      </c>
      <c r="H1" s="6" t="s">
        <v>3</v>
      </c>
      <c r="I1" s="7">
        <v>1.0</v>
      </c>
      <c r="K1" s="8" t="s">
        <v>4</v>
      </c>
      <c r="L1" s="9">
        <v>3846.93</v>
      </c>
      <c r="N1" s="4">
        <v>118127.29</v>
      </c>
    </row>
    <row r="2">
      <c r="A2" s="1" t="s">
        <v>5</v>
      </c>
      <c r="B2" s="10">
        <v>0.0</v>
      </c>
      <c r="D2" s="3" t="s">
        <v>6</v>
      </c>
      <c r="E2" s="11">
        <f>B4+B5+B6+B3</f>
        <v>136890.19</v>
      </c>
      <c r="F2" s="11">
        <v>116655.05</v>
      </c>
      <c r="G2" s="12"/>
      <c r="H2" s="6" t="s">
        <v>7</v>
      </c>
      <c r="I2" s="7">
        <v>500.0</v>
      </c>
      <c r="K2" s="8" t="s">
        <v>8</v>
      </c>
      <c r="L2" s="9">
        <v>427.08</v>
      </c>
    </row>
    <row r="3">
      <c r="A3" s="1" t="s">
        <v>9</v>
      </c>
      <c r="B3" s="13">
        <v>284.13</v>
      </c>
      <c r="D3" s="14" t="s">
        <v>10</v>
      </c>
      <c r="F3" s="4">
        <f>119369.01</f>
        <v>119369.01</v>
      </c>
      <c r="H3" s="6" t="s">
        <v>11</v>
      </c>
      <c r="I3" s="7">
        <v>0.0</v>
      </c>
      <c r="K3" s="8" t="s">
        <v>7</v>
      </c>
      <c r="L3" s="9">
        <v>1000.0</v>
      </c>
    </row>
    <row r="4">
      <c r="A4" s="1" t="s">
        <v>12</v>
      </c>
      <c r="B4" s="15">
        <v>36886.21</v>
      </c>
      <c r="D4" s="16" t="s">
        <v>13</v>
      </c>
      <c r="E4" s="17">
        <v>15.91</v>
      </c>
      <c r="F4" s="17" t="s">
        <v>14</v>
      </c>
      <c r="G4" s="17">
        <v>13.55</v>
      </c>
      <c r="H4" s="18">
        <f>E4*2</f>
        <v>31.82</v>
      </c>
      <c r="I4" s="10" t="s">
        <v>15</v>
      </c>
      <c r="K4" s="8" t="s">
        <v>16</v>
      </c>
      <c r="L4" s="9">
        <v>2419.85</v>
      </c>
    </row>
    <row r="5">
      <c r="A5" s="1" t="s">
        <v>17</v>
      </c>
      <c r="B5" s="15">
        <v>99489.85</v>
      </c>
      <c r="D5" s="16" t="s">
        <v>18</v>
      </c>
      <c r="E5" s="17" t="s">
        <v>19</v>
      </c>
      <c r="F5" s="18"/>
      <c r="G5" s="17">
        <v>69.88</v>
      </c>
      <c r="H5" s="18"/>
      <c r="I5" s="10" t="s">
        <v>20</v>
      </c>
      <c r="N5" s="10" t="s">
        <v>21</v>
      </c>
      <c r="O5" s="10" t="s">
        <v>22</v>
      </c>
    </row>
    <row r="6">
      <c r="A6" s="1" t="s">
        <v>23</v>
      </c>
      <c r="B6" s="15">
        <v>230.0</v>
      </c>
      <c r="D6" s="16" t="s">
        <v>24</v>
      </c>
      <c r="E6" s="17">
        <v>185.0</v>
      </c>
      <c r="F6" s="17" t="s">
        <v>25</v>
      </c>
      <c r="G6" s="18"/>
      <c r="H6" s="18"/>
      <c r="I6" s="10" t="s">
        <v>20</v>
      </c>
    </row>
    <row r="7">
      <c r="A7" s="19" t="s">
        <v>26</v>
      </c>
      <c r="B7" s="19" t="s">
        <v>20</v>
      </c>
      <c r="C7" s="19"/>
      <c r="D7" s="16" t="s">
        <v>27</v>
      </c>
      <c r="E7" s="17"/>
      <c r="F7" s="18"/>
      <c r="G7" s="17">
        <v>160.0</v>
      </c>
      <c r="H7" s="18"/>
      <c r="I7" s="10" t="s">
        <v>15</v>
      </c>
    </row>
    <row r="8">
      <c r="A8" s="19" t="s">
        <v>13</v>
      </c>
      <c r="B8" s="19" t="s">
        <v>13</v>
      </c>
      <c r="C8" s="19"/>
      <c r="D8" s="16" t="s">
        <v>28</v>
      </c>
      <c r="E8" s="17"/>
      <c r="F8" s="18"/>
      <c r="G8" s="17">
        <v>27.0</v>
      </c>
      <c r="H8" s="18"/>
    </row>
    <row r="9">
      <c r="A9" s="19" t="s">
        <v>29</v>
      </c>
      <c r="B9" s="19" t="s">
        <v>18</v>
      </c>
      <c r="C9" s="19"/>
      <c r="D9" s="16" t="s">
        <v>29</v>
      </c>
      <c r="E9" s="17"/>
      <c r="F9" s="17"/>
      <c r="G9" s="17">
        <v>180.0</v>
      </c>
      <c r="H9" s="20">
        <v>45632.0</v>
      </c>
      <c r="I9" s="10" t="s">
        <v>26</v>
      </c>
      <c r="J9" s="10" t="s">
        <v>30</v>
      </c>
    </row>
    <row r="10">
      <c r="A10" s="19" t="s">
        <v>31</v>
      </c>
      <c r="B10" s="19" t="s">
        <v>32</v>
      </c>
      <c r="C10" s="19"/>
      <c r="D10" s="16" t="s">
        <v>31</v>
      </c>
      <c r="E10" s="17"/>
      <c r="F10" s="18"/>
      <c r="G10" s="17">
        <v>45.2</v>
      </c>
      <c r="H10" s="20">
        <v>45635.0</v>
      </c>
    </row>
    <row r="11">
      <c r="A11" s="21" t="s">
        <v>33</v>
      </c>
      <c r="B11" s="10" t="s">
        <v>34</v>
      </c>
      <c r="C11" s="10"/>
      <c r="D11" s="22" t="s">
        <v>35</v>
      </c>
      <c r="E11" s="17"/>
      <c r="F11" s="18"/>
      <c r="G11" s="17">
        <v>37.74</v>
      </c>
      <c r="H11" s="17" t="s">
        <v>36</v>
      </c>
      <c r="K11" s="10"/>
      <c r="L11" s="10"/>
    </row>
    <row r="12">
      <c r="A12" s="10" t="s">
        <v>37</v>
      </c>
      <c r="B12" s="10"/>
      <c r="C12" s="10"/>
      <c r="D12" s="16"/>
      <c r="E12" s="17"/>
      <c r="F12" s="18"/>
      <c r="G12" s="17"/>
      <c r="H12" s="18"/>
      <c r="K12" s="10"/>
      <c r="L12" s="10"/>
    </row>
    <row r="13">
      <c r="A13" s="10"/>
      <c r="B13" s="10"/>
      <c r="C13" s="10"/>
      <c r="D13" s="16"/>
      <c r="E13" s="17"/>
      <c r="F13" s="18"/>
      <c r="G13" s="17"/>
      <c r="H13" s="18"/>
      <c r="K13" s="10"/>
      <c r="L13" s="10"/>
    </row>
    <row r="14">
      <c r="A14" s="23">
        <f>G4+G9+G10+G15+G14</f>
        <v>2042.09</v>
      </c>
      <c r="B14" s="23">
        <f>G4+G5+E6+G11</f>
        <v>306.17</v>
      </c>
      <c r="C14" s="24">
        <f t="shared" ref="C14:C15" si="1">A14+B14</f>
        <v>2348.26</v>
      </c>
      <c r="D14" s="22" t="s">
        <v>37</v>
      </c>
      <c r="E14" s="17"/>
      <c r="F14" s="18"/>
      <c r="G14" s="17">
        <v>427.35</v>
      </c>
      <c r="H14" s="17" t="s">
        <v>38</v>
      </c>
      <c r="K14" s="10"/>
      <c r="L14" s="10"/>
    </row>
    <row r="15">
      <c r="A15" s="25">
        <v>2000.0</v>
      </c>
      <c r="B15" s="25">
        <v>320.0</v>
      </c>
      <c r="C15" s="24">
        <f t="shared" si="1"/>
        <v>2320</v>
      </c>
      <c r="D15" s="22" t="s">
        <v>33</v>
      </c>
      <c r="E15" s="17" t="s">
        <v>39</v>
      </c>
      <c r="F15" s="18"/>
      <c r="G15" s="17">
        <v>1375.99</v>
      </c>
      <c r="H15" s="18"/>
      <c r="K15" s="10"/>
      <c r="L15" s="10"/>
    </row>
    <row r="16">
      <c r="A16" s="10" t="s">
        <v>40</v>
      </c>
      <c r="D16" s="22" t="s">
        <v>41</v>
      </c>
      <c r="E16" s="17" t="s">
        <v>42</v>
      </c>
      <c r="F16" s="18"/>
      <c r="G16" s="18"/>
      <c r="H16" s="18"/>
    </row>
    <row r="17">
      <c r="A17" s="10" t="s">
        <v>43</v>
      </c>
      <c r="B17" s="26">
        <f>B15-B14</f>
        <v>13.83</v>
      </c>
      <c r="C17" s="10" t="s">
        <v>44</v>
      </c>
      <c r="D17" s="27" t="s">
        <v>45</v>
      </c>
      <c r="E17" s="28">
        <v>427.08</v>
      </c>
      <c r="F17" s="29" t="s">
        <v>46</v>
      </c>
      <c r="G17" s="18"/>
      <c r="H17" s="18"/>
    </row>
    <row r="18">
      <c r="A18" s="30" t="s">
        <v>47</v>
      </c>
      <c r="B18" s="30" t="s">
        <v>48</v>
      </c>
      <c r="C18" s="30" t="s">
        <v>49</v>
      </c>
    </row>
    <row r="19">
      <c r="A19" s="17" t="s">
        <v>50</v>
      </c>
      <c r="B19" s="31">
        <v>521.51</v>
      </c>
      <c r="C19" s="32">
        <v>-21.51</v>
      </c>
      <c r="F19" s="30" t="s">
        <v>51</v>
      </c>
      <c r="G19" s="30" t="s">
        <v>52</v>
      </c>
    </row>
    <row r="20">
      <c r="A20" s="17" t="s">
        <v>53</v>
      </c>
      <c r="B20" s="31">
        <v>555.73</v>
      </c>
      <c r="C20" s="32">
        <v>-55.73</v>
      </c>
      <c r="D20" s="10" t="s">
        <v>54</v>
      </c>
      <c r="F20" s="33">
        <f>DATEDIF(DATEVALUE(LEFT(A19, FIND("-", A19) - 2) &amp; " 2024"), TODAY(), "d")
</f>
        <v>301</v>
      </c>
      <c r="G20" s="34">
        <f>B19+B20+B21+B22+B23+B24+B25+B26</f>
        <v>4547.61</v>
      </c>
    </row>
    <row r="21">
      <c r="A21" s="17" t="s">
        <v>55</v>
      </c>
      <c r="B21" s="31">
        <v>604.57</v>
      </c>
      <c r="C21" s="32">
        <v>-4.57</v>
      </c>
      <c r="D21" s="10" t="s">
        <v>56</v>
      </c>
      <c r="F21" s="30" t="s">
        <v>57</v>
      </c>
      <c r="G21" s="35">
        <f>G20/F20</f>
        <v>15.10833887</v>
      </c>
      <c r="L21" s="10" t="s">
        <v>58</v>
      </c>
      <c r="M21" s="10" t="s">
        <v>59</v>
      </c>
    </row>
    <row r="22">
      <c r="A22" s="17" t="s">
        <v>60</v>
      </c>
      <c r="B22" s="31">
        <v>500.0</v>
      </c>
      <c r="C22" s="31">
        <v>0.0</v>
      </c>
      <c r="J22" s="10" t="s">
        <v>61</v>
      </c>
      <c r="K22" s="31" t="s">
        <v>62</v>
      </c>
      <c r="L22" s="36">
        <v>2428.07</v>
      </c>
      <c r="N22" s="37" t="s">
        <v>63</v>
      </c>
      <c r="O22" s="38"/>
      <c r="P22" s="33">
        <f>G4+G9+G10</f>
        <v>238.75</v>
      </c>
      <c r="Q22" s="10" t="s">
        <v>64</v>
      </c>
    </row>
    <row r="23">
      <c r="A23" s="17" t="s">
        <v>65</v>
      </c>
      <c r="B23" s="31">
        <v>442.14</v>
      </c>
      <c r="C23" s="31">
        <v>27.86</v>
      </c>
      <c r="F23" s="37" t="s">
        <v>66</v>
      </c>
      <c r="G23" s="38">
        <f>SUM(C19:C28)</f>
        <v>162.63</v>
      </c>
      <c r="I23" s="10" t="s">
        <v>67</v>
      </c>
      <c r="J23" s="10" t="s">
        <v>68</v>
      </c>
      <c r="K23" s="31" t="s">
        <v>69</v>
      </c>
      <c r="L23" s="39">
        <f t="array" ref="L23">INDEX(B:B, MATCH(9^9, B:B))</f>
        <v>330.84</v>
      </c>
      <c r="N23" s="37" t="s">
        <v>70</v>
      </c>
      <c r="O23" s="38"/>
      <c r="P23" s="33">
        <f>G4+G5+G9+G9+G11</f>
        <v>481.17</v>
      </c>
    </row>
    <row r="24">
      <c r="A24" s="17" t="s">
        <v>71</v>
      </c>
      <c r="B24" s="31">
        <v>697.74</v>
      </c>
      <c r="C24" s="32">
        <v>-2.88</v>
      </c>
      <c r="D24" s="10" t="s">
        <v>72</v>
      </c>
      <c r="K24" s="31" t="s">
        <v>73</v>
      </c>
      <c r="L24" s="40">
        <f>L22-L23</f>
        <v>2097.23</v>
      </c>
    </row>
    <row r="25">
      <c r="A25" s="17" t="s">
        <v>74</v>
      </c>
      <c r="B25" s="31">
        <v>743.68</v>
      </c>
      <c r="C25" s="31">
        <v>20.07</v>
      </c>
      <c r="E25" s="41"/>
      <c r="K25" s="31" t="s">
        <v>75</v>
      </c>
      <c r="L25" s="42">
        <v>260.0</v>
      </c>
      <c r="M25" s="25">
        <f> 500 + 60</f>
        <v>560</v>
      </c>
    </row>
    <row r="26">
      <c r="A26" s="17" t="s">
        <v>76</v>
      </c>
      <c r="B26" s="31">
        <v>482.24</v>
      </c>
      <c r="C26" s="31">
        <v>164.76</v>
      </c>
      <c r="D26" s="10" t="s">
        <v>77</v>
      </c>
      <c r="F26" s="10" t="s">
        <v>78</v>
      </c>
      <c r="H26" s="10" t="s">
        <v>79</v>
      </c>
      <c r="K26" s="31" t="s">
        <v>80</v>
      </c>
      <c r="L26" s="43">
        <f>L24-L25</f>
        <v>1837.23</v>
      </c>
      <c r="M26" s="43">
        <f>L24-M25</f>
        <v>1537.23</v>
      </c>
    </row>
    <row r="27">
      <c r="A27" s="17" t="s">
        <v>81</v>
      </c>
      <c r="B27" s="31">
        <v>451.77</v>
      </c>
      <c r="C27" s="44">
        <f>500-B27</f>
        <v>48.23</v>
      </c>
      <c r="D27" s="10" t="s">
        <v>82</v>
      </c>
      <c r="F27" s="10" t="s">
        <v>33</v>
      </c>
      <c r="G27" s="10">
        <v>1375.99</v>
      </c>
      <c r="H27" s="10" t="s">
        <v>28</v>
      </c>
      <c r="I27" s="10">
        <v>13.55</v>
      </c>
      <c r="K27" s="44"/>
      <c r="O27" s="45" t="s">
        <v>83</v>
      </c>
      <c r="P27" s="19" t="s">
        <v>84</v>
      </c>
      <c r="Q27" s="19"/>
    </row>
    <row r="28">
      <c r="A28" s="17" t="s">
        <v>85</v>
      </c>
      <c r="B28" s="31">
        <v>738.6</v>
      </c>
      <c r="C28" s="32">
        <v>-13.6</v>
      </c>
      <c r="D28" s="10" t="s">
        <v>86</v>
      </c>
      <c r="F28" s="10" t="s">
        <v>37</v>
      </c>
      <c r="G28" s="10">
        <v>427.35</v>
      </c>
      <c r="H28" s="10" t="s">
        <v>18</v>
      </c>
      <c r="I28" s="10">
        <v>69.88</v>
      </c>
      <c r="K28" s="31" t="s">
        <v>87</v>
      </c>
      <c r="L28" s="46">
        <f>ROUND(L26*(P28/100), 2)</f>
        <v>1598.39</v>
      </c>
      <c r="M28" s="46">
        <f> ROUND( M26*(P28/100), 2)</f>
        <v>1337.39</v>
      </c>
      <c r="O28" s="47" t="s">
        <v>87</v>
      </c>
      <c r="P28" s="48">
        <v>87.0</v>
      </c>
      <c r="Q28" s="19"/>
    </row>
    <row r="29">
      <c r="A29" s="17" t="s">
        <v>88</v>
      </c>
      <c r="B29" s="31">
        <v>496.69</v>
      </c>
      <c r="C29" s="31">
        <v>7.15</v>
      </c>
      <c r="F29" s="10" t="s">
        <v>89</v>
      </c>
      <c r="G29" s="10">
        <v>125.0</v>
      </c>
      <c r="H29" s="10" t="s">
        <v>32</v>
      </c>
      <c r="I29" s="10">
        <v>185.0</v>
      </c>
      <c r="K29" s="31" t="s">
        <v>90</v>
      </c>
      <c r="L29" s="46">
        <f>ROUND(L26*(P29/100), 2)</f>
        <v>0</v>
      </c>
      <c r="M29" s="46">
        <f> ROUND( M26*(P29/100), 2)</f>
        <v>0</v>
      </c>
      <c r="O29" s="47" t="s">
        <v>90</v>
      </c>
      <c r="P29" s="48">
        <v>0.0</v>
      </c>
      <c r="Q29" s="19"/>
    </row>
    <row r="30">
      <c r="A30" s="17" t="s">
        <v>91</v>
      </c>
      <c r="B30" s="31">
        <v>362.18</v>
      </c>
      <c r="C30" s="31">
        <v>105.66</v>
      </c>
      <c r="D30" s="10" t="s">
        <v>92</v>
      </c>
      <c r="F30" s="10" t="s">
        <v>93</v>
      </c>
      <c r="G30" s="10">
        <v>0.0</v>
      </c>
      <c r="H30" s="10" t="s">
        <v>94</v>
      </c>
      <c r="I30" s="10">
        <v>45.2</v>
      </c>
      <c r="K30" s="31" t="s">
        <v>95</v>
      </c>
      <c r="L30" s="46">
        <f>ROUND(L26*(P30/100), 2)</f>
        <v>238.84</v>
      </c>
      <c r="M30" s="46">
        <f> ROUND( M26*(P30/100), 2)</f>
        <v>199.84</v>
      </c>
      <c r="O30" s="47" t="s">
        <v>96</v>
      </c>
      <c r="P30" s="49">
        <f>100-(P28+P29)</f>
        <v>13</v>
      </c>
      <c r="Q30" s="19"/>
    </row>
    <row r="31">
      <c r="A31" s="17" t="s">
        <v>97</v>
      </c>
      <c r="B31" s="31">
        <v>710.72</v>
      </c>
      <c r="C31" s="32">
        <v>10.72</v>
      </c>
      <c r="D31" s="50"/>
      <c r="H31" s="10" t="s">
        <v>98</v>
      </c>
      <c r="I31" s="10">
        <v>0.0</v>
      </c>
      <c r="O31" s="10"/>
    </row>
    <row r="32">
      <c r="A32" s="17" t="s">
        <v>99</v>
      </c>
      <c r="B32" s="31">
        <v>616.85</v>
      </c>
      <c r="C32" s="31">
        <v>29.49</v>
      </c>
      <c r="D32" s="50"/>
      <c r="F32" s="10" t="s">
        <v>28</v>
      </c>
      <c r="G32" s="10">
        <v>13.55</v>
      </c>
      <c r="I32" s="10" t="s">
        <v>100</v>
      </c>
      <c r="K32" s="51"/>
      <c r="L32" s="51"/>
    </row>
    <row r="33">
      <c r="A33" s="17" t="s">
        <v>101</v>
      </c>
      <c r="B33" s="31">
        <v>504.63</v>
      </c>
      <c r="C33" s="31">
        <v>30.37</v>
      </c>
      <c r="G33" s="26">
        <f>SUM(G27:G32)</f>
        <v>1941.89</v>
      </c>
      <c r="I33" s="26">
        <f>SUM(I27:I32)</f>
        <v>313.63</v>
      </c>
      <c r="K33" s="52"/>
      <c r="L33" s="52"/>
      <c r="M33" s="52"/>
      <c r="N33" s="52"/>
      <c r="O33" s="52"/>
      <c r="P33" s="52"/>
      <c r="Q33" s="52"/>
    </row>
    <row r="34">
      <c r="A34" s="17" t="s">
        <v>102</v>
      </c>
      <c r="B34" s="31">
        <v>532.41</v>
      </c>
      <c r="C34" s="31">
        <v>17.59</v>
      </c>
      <c r="K34" s="10"/>
      <c r="L34" s="10"/>
    </row>
    <row r="35">
      <c r="A35" s="17" t="s">
        <v>103</v>
      </c>
      <c r="B35" s="31">
        <v>377.87</v>
      </c>
      <c r="C35" s="31">
        <v>175.82</v>
      </c>
      <c r="D35" s="10" t="s">
        <v>104</v>
      </c>
      <c r="K35" s="10"/>
      <c r="L35" s="10"/>
    </row>
    <row r="36">
      <c r="A36" s="17" t="s">
        <v>105</v>
      </c>
      <c r="B36" s="31">
        <v>399.46</v>
      </c>
      <c r="C36" s="44">
        <f>500-B36</f>
        <v>100.54</v>
      </c>
      <c r="D36" s="10" t="s">
        <v>106</v>
      </c>
      <c r="K36" s="10"/>
      <c r="L36" s="10"/>
    </row>
    <row r="37">
      <c r="A37" s="17" t="s">
        <v>107</v>
      </c>
      <c r="B37" s="31">
        <v>1342.65</v>
      </c>
      <c r="C37" s="53">
        <f>1158.2-1352.65</f>
        <v>-194.45</v>
      </c>
      <c r="D37" s="10" t="s">
        <v>108</v>
      </c>
    </row>
    <row r="38">
      <c r="A38" s="17" t="s">
        <v>109</v>
      </c>
      <c r="B38" s="31">
        <v>528.08</v>
      </c>
      <c r="C38" s="31">
        <v>21.92</v>
      </c>
      <c r="D38" s="10" t="s">
        <v>110</v>
      </c>
    </row>
    <row r="39">
      <c r="A39" s="17" t="s">
        <v>111</v>
      </c>
      <c r="B39" s="31">
        <v>330.84</v>
      </c>
      <c r="C39" s="31">
        <v>169.16</v>
      </c>
      <c r="D39" s="10" t="s">
        <v>112</v>
      </c>
    </row>
    <row r="40">
      <c r="A40" s="17" t="s">
        <v>113</v>
      </c>
      <c r="B40" s="44"/>
    </row>
    <row r="41">
      <c r="A41" s="17" t="s">
        <v>113</v>
      </c>
      <c r="B41" s="44"/>
    </row>
    <row r="42">
      <c r="A42" s="17" t="s">
        <v>113</v>
      </c>
      <c r="B42" s="44"/>
    </row>
    <row r="43">
      <c r="A43" s="17" t="s">
        <v>113</v>
      </c>
      <c r="B43" s="44"/>
    </row>
    <row r="44">
      <c r="A44" s="17" t="s">
        <v>113</v>
      </c>
      <c r="B44" s="44"/>
    </row>
  </sheetData>
  <conditionalFormatting sqref="G23">
    <cfRule type="cellIs" dxfId="0" priority="1" operator="greaterThan">
      <formula>0</formula>
    </cfRule>
  </conditionalFormatting>
  <conditionalFormatting sqref="G23">
    <cfRule type="cellIs" dxfId="1" priority="2" operator="lessThan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13"/>
      <c r="C1" s="1"/>
      <c r="E1" s="54" t="s">
        <v>114</v>
      </c>
      <c r="F1" s="55">
        <f>TODAY()
</f>
        <v>45905</v>
      </c>
      <c r="H1" s="56" t="s">
        <v>115</v>
      </c>
      <c r="I1" s="32">
        <f>SUM(IFERROR(16:16, 0)) -R4 
</f>
        <v>305.21</v>
      </c>
      <c r="K1" s="57"/>
      <c r="L1" s="58"/>
      <c r="M1" s="57"/>
      <c r="O1" s="7" t="s">
        <v>116</v>
      </c>
      <c r="P1" s="59" t="s">
        <v>117</v>
      </c>
    </row>
    <row r="2">
      <c r="E2" s="10" t="s">
        <v>118</v>
      </c>
      <c r="F2" s="60">
        <v>45911.0</v>
      </c>
      <c r="H2" s="56" t="s">
        <v>119</v>
      </c>
      <c r="I2" s="61">
        <f>500</f>
        <v>500</v>
      </c>
      <c r="R2" s="10"/>
      <c r="S2" s="10"/>
    </row>
    <row r="3">
      <c r="C3" s="62"/>
      <c r="E3" s="10" t="s">
        <v>120</v>
      </c>
      <c r="F3" s="26">
        <f>F2-F1+1
</f>
        <v>7</v>
      </c>
      <c r="H3" s="24" t="s">
        <v>80</v>
      </c>
      <c r="I3" s="56">
        <f>I2-I1
</f>
        <v>194.79</v>
      </c>
      <c r="O3" s="10" t="s">
        <v>121</v>
      </c>
      <c r="R3" s="10"/>
      <c r="S3" s="10"/>
    </row>
    <row r="4">
      <c r="C4" s="62"/>
      <c r="E4" s="10" t="s">
        <v>49</v>
      </c>
      <c r="F4" s="26">
        <f>I2-I1
</f>
        <v>194.79</v>
      </c>
      <c r="H4" s="63"/>
      <c r="I4" s="63"/>
    </row>
    <row r="5">
      <c r="C5" s="62"/>
      <c r="E5" s="10" t="s">
        <v>122</v>
      </c>
      <c r="H5" s="64" t="s">
        <v>123</v>
      </c>
      <c r="I5" s="64">
        <f>I3/F3
</f>
        <v>27.82714286</v>
      </c>
    </row>
    <row r="6">
      <c r="C6" s="62"/>
      <c r="K6" s="65"/>
      <c r="R6" s="66"/>
    </row>
    <row r="7">
      <c r="A7" s="31"/>
      <c r="B7" s="1"/>
      <c r="C7" s="67"/>
      <c r="D7" s="68"/>
      <c r="E7" s="32"/>
      <c r="F7" s="69"/>
      <c r="G7" s="70"/>
      <c r="H7" s="10"/>
      <c r="I7" s="10"/>
      <c r="J7" s="71"/>
      <c r="P7" s="10" t="s">
        <v>124</v>
      </c>
    </row>
    <row r="8">
      <c r="A8" s="72">
        <v>45898.0</v>
      </c>
      <c r="B8" s="72">
        <v>45899.0</v>
      </c>
      <c r="C8" s="73">
        <v>45900.0</v>
      </c>
      <c r="D8" s="72">
        <v>45901.0</v>
      </c>
      <c r="E8" s="72">
        <v>45902.0</v>
      </c>
      <c r="F8" s="72">
        <v>45903.0</v>
      </c>
      <c r="G8" s="72">
        <v>45904.0</v>
      </c>
      <c r="H8" s="72">
        <v>45905.0</v>
      </c>
      <c r="I8" s="72">
        <v>45906.0</v>
      </c>
      <c r="J8" s="72">
        <v>45907.0</v>
      </c>
      <c r="K8" s="72">
        <v>45908.0</v>
      </c>
      <c r="L8" s="72">
        <v>45909.0</v>
      </c>
      <c r="M8" s="72">
        <v>45910.0</v>
      </c>
      <c r="N8" s="72">
        <v>45911.0</v>
      </c>
      <c r="O8" s="74"/>
      <c r="P8" s="10" t="s">
        <v>125</v>
      </c>
      <c r="Q8" s="75"/>
      <c r="R8" s="10" t="s">
        <v>47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  <c r="O9" s="53"/>
      <c r="P9" s="10" t="s">
        <v>133</v>
      </c>
    </row>
    <row r="10">
      <c r="A10" s="26" t="str">
        <f>IFERROR(__xludf.DUMMYFUNCTION("FILTER(G17:G52, I17:I52=A8)
"),"Macs")</f>
        <v>Macs</v>
      </c>
      <c r="B10" s="10" t="str">
        <f>IFERROR(__xludf.DUMMYFUNCTION("FILTER(G17:G52, I17:I52=B8)
"),"TIMS")</f>
        <v>TIMS</v>
      </c>
      <c r="C10" s="10" t="str">
        <f>IFERROR(__xludf.DUMMYFUNCTION("FILTER(G17:G52, I17:I52=C8)
"),"TIMS")</f>
        <v>TIMS</v>
      </c>
      <c r="D10" s="26" t="str">
        <f>IFERROR(__xludf.DUMMYFUNCTION("FILTER(G17:G52, I17:I52=D8)
"),"Wal Mart")</f>
        <v>Wal Mart</v>
      </c>
      <c r="E10" s="26" t="str">
        <f>IFERROR(__xludf.DUMMYFUNCTION("FILTER(G17:G52, I17:I52=E8)
"),"TIMS")</f>
        <v>TIMS</v>
      </c>
      <c r="F10" s="26" t="str">
        <f>IFERROR(__xludf.DUMMYFUNCTION("FILTER(G17:G52, I17:I52=F8)
"),"TIMS")</f>
        <v>TIMS</v>
      </c>
      <c r="G10" s="26" t="str">
        <f>IFERROR(__xludf.DUMMYFUNCTION("FILTER(G17:G52, I17:I52=G8)
"),"TIMS")</f>
        <v>TIMS</v>
      </c>
      <c r="H10" s="26" t="str">
        <f>IFERROR(__xludf.DUMMYFUNCTION("FILTER(G17:G52, I17:I52=H8)
"),"#N/A")</f>
        <v>#N/A</v>
      </c>
      <c r="I10" s="10" t="str">
        <f>IFERROR(__xludf.DUMMYFUNCTION("FILTER(G16:G51, I16:I51=I8)
"),"#N/A")</f>
        <v>#N/A</v>
      </c>
      <c r="J10" s="26" t="str">
        <f>IFERROR(__xludf.DUMMYFUNCTION("FILTER(G15:G100, I15:I100=J8)
"),"#N/A")</f>
        <v>#N/A</v>
      </c>
      <c r="K10" s="26" t="str">
        <f>IFERROR(__xludf.DUMMYFUNCTION("FILTER(G15:G100, I15:I100=K8)
"),"#N/A")</f>
        <v>#N/A</v>
      </c>
      <c r="L10" s="26" t="str">
        <f>IFERROR(__xludf.DUMMYFUNCTION("FILTER(G15:G100, I15:I100=L8)
"),"#N/A")</f>
        <v>#N/A</v>
      </c>
      <c r="M10" s="10" t="str">
        <f>IFERROR(__xludf.DUMMYFUNCTION("FILTER(G15:G100, I15:I100=M8)
"),"#N/A")</f>
        <v>#N/A</v>
      </c>
      <c r="N10" s="26" t="str">
        <f>IFERROR(__xludf.DUMMYFUNCTION("FILTER(G15:G100, I15:I100=N8)
"),"#N/A")</f>
        <v>#N/A</v>
      </c>
      <c r="P10" s="10" t="s">
        <v>134</v>
      </c>
    </row>
    <row r="11">
      <c r="A11" s="26" t="str">
        <f>IFERROR(__xludf.DUMMYFUNCTION("""COMPUTED_VALUE"""),"Parks &amp; Rec")</f>
        <v>Parks &amp; Rec</v>
      </c>
      <c r="B11" s="26" t="str">
        <f>IFERROR(__xludf.DUMMYFUNCTION("""COMPUTED_VALUE"""),"Oreos")</f>
        <v>Oreos</v>
      </c>
      <c r="C11" s="26" t="str">
        <f>IFERROR(__xludf.DUMMYFUNCTION("""COMPUTED_VALUE"""),"Dominos")</f>
        <v>Dominos</v>
      </c>
      <c r="D11" s="26" t="str">
        <f>IFERROR(__xludf.DUMMYFUNCTION("""COMPUTED_VALUE"""),"Gas")</f>
        <v>Gas</v>
      </c>
      <c r="E11" s="26" t="str">
        <f>IFERROR(__xludf.DUMMYFUNCTION("""COMPUTED_VALUE"""),"Joses")</f>
        <v>Joses</v>
      </c>
      <c r="F11" s="26" t="str">
        <f>IFERROR(__xludf.DUMMYFUNCTION("""COMPUTED_VALUE"""),"Food Basics")</f>
        <v>Food Basics</v>
      </c>
    </row>
    <row r="12">
      <c r="B12" s="26" t="str">
        <f>IFERROR(__xludf.DUMMYFUNCTION("""COMPUTED_VALUE"""),"Macs")</f>
        <v>Macs</v>
      </c>
      <c r="C12" s="26" t="str">
        <f>IFERROR(__xludf.DUMMYFUNCTION("""COMPUTED_VALUE"""),"Claude Pro")</f>
        <v>Claude Pro</v>
      </c>
      <c r="D12" s="26" t="str">
        <f>IFERROR(__xludf.DUMMYFUNCTION("""COMPUTED_VALUE"""),"TIMS")</f>
        <v>TIMS</v>
      </c>
      <c r="F12" s="26" t="str">
        <f>IFERROR(__xludf.DUMMYFUNCTION("""COMPUTED_VALUE"""),"Arbys")</f>
        <v>Arbys</v>
      </c>
    </row>
    <row r="13">
      <c r="A13" s="77"/>
      <c r="B13" s="77"/>
      <c r="D13" s="26" t="str">
        <f>IFERROR(__xludf.DUMMYFUNCTION("""COMPUTED_VALUE"""),"TIMS")</f>
        <v>TIMS</v>
      </c>
    </row>
    <row r="14">
      <c r="A14" s="77"/>
      <c r="B14" s="77"/>
      <c r="K14" s="10" t="s">
        <v>122</v>
      </c>
    </row>
    <row r="15">
      <c r="A15" s="78"/>
      <c r="B15" s="78"/>
    </row>
    <row r="16">
      <c r="A16" s="56">
        <f>IFERROR(__xludf.DUMMYFUNCTION("SUM(FILTER(H17:H52, I17:I52=A8))
"),18.7)</f>
        <v>18.7</v>
      </c>
      <c r="B16" s="56">
        <f>IFERROR(__xludf.DUMMYFUNCTION("SUM(FILTER(H17:H52, I17:I52=B8))
"),41.05)</f>
        <v>41.05</v>
      </c>
      <c r="C16" s="56">
        <f>IFERROR(__xludf.DUMMYFUNCTION("SUM(FILTER(H17:H52, I17:I52=C8))
"),48.97)</f>
        <v>48.97</v>
      </c>
      <c r="D16" s="56">
        <f>IFERROR(__xludf.DUMMYFUNCTION("SUM(FILTER(H17:H52, I17:I52=D8))
"),90.81)</f>
        <v>90.81</v>
      </c>
      <c r="E16" s="56">
        <f>IFERROR(__xludf.DUMMYFUNCTION("SUM(FILTER(H17:H52, I17:I52=E8))
"),69.38)</f>
        <v>69.38</v>
      </c>
      <c r="F16" s="56">
        <f>IFERROR(__xludf.DUMMYFUNCTION("SUM(FILTER(H17:H52, I17:I52=F8))
"),34.13)</f>
        <v>34.13</v>
      </c>
      <c r="G16" s="56">
        <f>IFERROR(__xludf.DUMMYFUNCTION("SUM(FILTER(H17:H52, I17:I52=G8))
"),2.17)</f>
        <v>2.17</v>
      </c>
      <c r="H16" s="56" t="str">
        <f>IFERROR(__xludf.DUMMYFUNCTION("SUM(FILTER(H17:H52, I17:I52=H8))
"),"#N/A")</f>
        <v>#N/A</v>
      </c>
      <c r="I16" s="56" t="str">
        <f>IFERROR(__xludf.DUMMYFUNCTION("SUM(FILTER(H17:H52, I17:I52=I8))
"),"#N/A")</f>
        <v>#N/A</v>
      </c>
      <c r="J16" s="56" t="str">
        <f>IFERROR(__xludf.DUMMYFUNCTION("SUM(FILTER(H17:H52, I17:I52=J8))
"),"#N/A")</f>
        <v>#N/A</v>
      </c>
      <c r="K16" s="56" t="str">
        <f>IFERROR(__xludf.DUMMYFUNCTION("SUM(FILTER(H17:H100, I17:I100=K8))
"),"#N/A")</f>
        <v>#N/A</v>
      </c>
      <c r="L16" s="56" t="str">
        <f>IFERROR(__xludf.DUMMYFUNCTION("SUM(FILTER(H17:H100, I17:I100=L8))
"),"#N/A")</f>
        <v>#N/A</v>
      </c>
      <c r="M16" s="56" t="str">
        <f>IFERROR(__xludf.DUMMYFUNCTION("SUM(FILTER(H17:H100, I17:I100=M8))
"),"#N/A")</f>
        <v>#N/A</v>
      </c>
      <c r="N16" s="35" t="str">
        <f>IFERROR(__xludf.DUMMYFUNCTION("SUM(FILTER(H17:H100, I17:I100=N8))
"),"#N/A")</f>
        <v>#N/A</v>
      </c>
    </row>
    <row r="17">
      <c r="A17" s="10"/>
      <c r="E17" s="79" t="s">
        <v>135</v>
      </c>
      <c r="F17" s="80">
        <f>COUNTIF(G18:G1002, "TIMS")+COUNTIF(G18:G1002, "Casa Miro")+COUNTIF(G18:G1002, "Toto")+COUNTIF(G18:G1002, "Coffee Exchange")+COUNTIF(G18:G1002, "Ciao Caffe")
</f>
        <v>7</v>
      </c>
      <c r="G17" s="81"/>
      <c r="H17" s="81"/>
      <c r="I17" s="82"/>
      <c r="J17" s="83" t="s">
        <v>136</v>
      </c>
      <c r="K17" s="84"/>
      <c r="L17" s="84"/>
      <c r="M17" s="84"/>
      <c r="N17" s="84"/>
    </row>
    <row r="18">
      <c r="A18" s="85" t="s">
        <v>137</v>
      </c>
      <c r="B18" s="86"/>
      <c r="C18" s="86"/>
      <c r="E18" s="87" t="s">
        <v>138</v>
      </c>
      <c r="F18" s="88">
        <f>SUMIF(G18:G50, "Dispo", H18:H50)+SUMIF(G18:G50, "c cabana", H18:H50)</f>
        <v>0</v>
      </c>
      <c r="G18" s="10" t="s">
        <v>139</v>
      </c>
      <c r="H18" s="10">
        <v>2.7</v>
      </c>
      <c r="I18" s="62">
        <v>45898.0</v>
      </c>
      <c r="J18" s="89"/>
      <c r="K18" s="90"/>
      <c r="L18" s="19" t="s">
        <v>140</v>
      </c>
      <c r="M18" s="19"/>
      <c r="N18" s="19" t="s">
        <v>141</v>
      </c>
      <c r="O18" s="91"/>
      <c r="P18" s="10" t="s">
        <v>142</v>
      </c>
      <c r="Q18" s="10" t="s">
        <v>143</v>
      </c>
      <c r="R18" s="10">
        <v>2000.0</v>
      </c>
    </row>
    <row r="19">
      <c r="A19" s="85" t="s">
        <v>144</v>
      </c>
      <c r="B19" s="86"/>
      <c r="C19" s="86"/>
      <c r="E19" s="92" t="s">
        <v>145</v>
      </c>
      <c r="F19" s="92">
        <f>SUMIF(G18:G50, "Republik", H18:H50)+SUMIF(G18:G50, "Stacked", H18:H50)+SUMIF(G18:G50, "Halibut House", H18:H50)+SUMIF(G18:G50, "Keg", H18:H50)+SUMIF(G18:G50, "Ramen", H18:H50)+SUMIF(G18:G50, "Pizza", H18:H50) +SUMIF(G18:G50, "A&amp;W", H18:H50) + SUMIF(G18:G50, "Chucks", H18:H50) + SUMIF(G18:G50, "Cookie Bar", H18:H50) + SUMIF(G18:G50, "Burger King", H18:H50) + SUMIF(G18:G50, "Pho", H18:H50)+SUMIF(G18:G50, "Wendys", H18:H50)+SUMIF(G18:G50, "Hot Tacos", H18:H50)+SUMIF(G18:G50, "Popeyes", H18:H50)+SUMIF(G18:G50, "Chucks", H18:H50)</f>
        <v>0</v>
      </c>
      <c r="G19" s="10" t="s">
        <v>146</v>
      </c>
      <c r="H19" s="10">
        <v>16.0</v>
      </c>
      <c r="I19" s="62">
        <v>45898.0</v>
      </c>
      <c r="J19" s="93"/>
      <c r="K19" s="90"/>
      <c r="L19" s="21" t="s">
        <v>147</v>
      </c>
      <c r="M19" s="94">
        <v>40.0</v>
      </c>
      <c r="N19" s="19"/>
      <c r="O19" s="10" t="s">
        <v>148</v>
      </c>
      <c r="P19" s="10" t="s">
        <v>96</v>
      </c>
      <c r="Q19" s="10" t="s">
        <v>149</v>
      </c>
    </row>
    <row r="20">
      <c r="E20" s="54" t="s">
        <v>27</v>
      </c>
      <c r="F20" s="95">
        <f>SUMIF(G18:G60, "Gas", H18:H60)</f>
        <v>64.2</v>
      </c>
      <c r="G20" s="10" t="s">
        <v>150</v>
      </c>
      <c r="H20" s="10">
        <f>4.68 + 0.11</f>
        <v>4.79</v>
      </c>
      <c r="I20" s="62">
        <v>45899.0</v>
      </c>
      <c r="J20" s="93"/>
      <c r="K20" s="96"/>
      <c r="L20" s="19" t="s">
        <v>151</v>
      </c>
      <c r="M20" s="97">
        <v>120.0</v>
      </c>
      <c r="N20" s="19" t="s">
        <v>152</v>
      </c>
      <c r="P20" s="10">
        <v>732.0</v>
      </c>
      <c r="Q20" s="10">
        <v>997.45</v>
      </c>
      <c r="R20" s="26">
        <f>R18-Q20
</f>
        <v>1002.55</v>
      </c>
    </row>
    <row r="21">
      <c r="A21" s="85" t="s">
        <v>153</v>
      </c>
      <c r="B21" s="85" t="s">
        <v>154</v>
      </c>
      <c r="C21" s="86"/>
      <c r="E21" s="85" t="s">
        <v>155</v>
      </c>
      <c r="F21" s="86">
        <f>SUMIF(G18:G50, "McDonalds", H18:H50) </f>
        <v>0</v>
      </c>
      <c r="G21" s="10" t="s">
        <v>156</v>
      </c>
      <c r="H21" s="10">
        <v>5.0</v>
      </c>
      <c r="I21" s="62">
        <v>45899.0</v>
      </c>
      <c r="J21" s="93"/>
      <c r="K21" s="90"/>
      <c r="L21" s="98" t="s">
        <v>157</v>
      </c>
      <c r="M21" s="94">
        <v>1000.0</v>
      </c>
      <c r="N21" s="19"/>
    </row>
    <row r="22">
      <c r="A22" s="85" t="s">
        <v>158</v>
      </c>
      <c r="B22" s="85" t="s">
        <v>159</v>
      </c>
      <c r="C22" s="86"/>
      <c r="E22" s="10" t="s">
        <v>160</v>
      </c>
      <c r="F22" s="10">
        <f>SUMIF(G18:G50, "Urbn Planet", H18:H50)+SUMIF(G18:G50, "Winners", H18:H50) +SUMIF(G18:G50, "Platos", H18:H50) </f>
        <v>0</v>
      </c>
      <c r="G22" s="10" t="s">
        <v>139</v>
      </c>
      <c r="H22" s="10">
        <v>31.26</v>
      </c>
      <c r="I22" s="62">
        <v>45899.0</v>
      </c>
      <c r="J22" s="93" t="s">
        <v>161</v>
      </c>
      <c r="K22" s="90"/>
      <c r="L22" s="21" t="s">
        <v>162</v>
      </c>
      <c r="M22" s="97"/>
      <c r="N22" s="19"/>
      <c r="O22" s="99" t="s">
        <v>163</v>
      </c>
      <c r="Q22" s="99" t="s">
        <v>164</v>
      </c>
    </row>
    <row r="23">
      <c r="A23" s="85" t="s">
        <v>165</v>
      </c>
      <c r="B23" s="85" t="s">
        <v>166</v>
      </c>
      <c r="C23" s="86"/>
      <c r="E23" s="10" t="s">
        <v>117</v>
      </c>
      <c r="F23" s="26">
        <f>0</f>
        <v>0</v>
      </c>
      <c r="G23" s="10" t="s">
        <v>150</v>
      </c>
      <c r="H23" s="10">
        <v>4.68</v>
      </c>
      <c r="I23" s="62">
        <v>45900.0</v>
      </c>
      <c r="J23" s="89"/>
      <c r="K23" s="90"/>
      <c r="L23" s="21" t="s">
        <v>167</v>
      </c>
      <c r="M23" s="94">
        <v>30.0</v>
      </c>
      <c r="N23" s="19"/>
      <c r="O23" s="100" t="s">
        <v>130</v>
      </c>
      <c r="P23" s="101" t="s">
        <v>168</v>
      </c>
      <c r="Q23" s="100" t="s">
        <v>130</v>
      </c>
      <c r="R23" s="101" t="s">
        <v>169</v>
      </c>
    </row>
    <row r="24">
      <c r="E24" s="102" t="s">
        <v>170</v>
      </c>
      <c r="F24" s="33">
        <f>SUMIF(G18:G50, "LCBO", H18:H50) + SUMIF(G18:G50, "Beer Store", H18:H50)+ SUMIF(G18:G50, "Drinks", H18:H50)+SUMIF(G18:G50, "Beer", H18:H50)+SUMIF(G18:G50, "Wine", H18:H50)</f>
        <v>0</v>
      </c>
      <c r="G24" s="10" t="s">
        <v>171</v>
      </c>
      <c r="H24" s="10">
        <v>19.16</v>
      </c>
      <c r="I24" s="62">
        <v>45901.0</v>
      </c>
      <c r="J24" s="89"/>
      <c r="K24" s="90"/>
      <c r="L24" s="19"/>
      <c r="M24" s="97"/>
      <c r="N24" s="19"/>
      <c r="O24" s="103" t="s">
        <v>131</v>
      </c>
      <c r="P24" s="104" t="s">
        <v>168</v>
      </c>
      <c r="Q24" s="103" t="s">
        <v>131</v>
      </c>
      <c r="R24" s="104" t="s">
        <v>169</v>
      </c>
    </row>
    <row r="25">
      <c r="A25" s="13" t="s">
        <v>172</v>
      </c>
      <c r="E25" s="105" t="s">
        <v>173</v>
      </c>
      <c r="F25" s="106">
        <f>SUMIF(G18:G50, "TIMS", H18:H50) + SUMIF(G18:G50, "Casa Miro", H18:H50) + SUMIF(G18:G50, "Toto", H18:H50) + SUMIF(G18:G50, "Coffee Exchange", H18:H50)+ SUMIF(G18:G50, "Ciao Caffe", H18:H50)+ SUMIF(G18:G50, "Starbucks", H18:H50)
</f>
        <v>23.43</v>
      </c>
      <c r="G25" s="10" t="s">
        <v>27</v>
      </c>
      <c r="H25" s="10">
        <v>64.2</v>
      </c>
      <c r="I25" s="62">
        <v>45901.0</v>
      </c>
      <c r="J25" s="93"/>
      <c r="K25" s="19"/>
      <c r="L25" s="19"/>
      <c r="M25" s="107"/>
      <c r="N25" s="19"/>
      <c r="O25" s="103" t="s">
        <v>132</v>
      </c>
      <c r="P25" s="104" t="s">
        <v>168</v>
      </c>
      <c r="Q25" s="103" t="s">
        <v>132</v>
      </c>
      <c r="R25" s="104" t="s">
        <v>169</v>
      </c>
    </row>
    <row r="26">
      <c r="A26" s="21"/>
      <c r="B26" s="108"/>
      <c r="C26" s="109"/>
      <c r="D26" s="19"/>
      <c r="E26" s="79" t="s">
        <v>52</v>
      </c>
      <c r="F26" s="110">
        <f>SUM(F18:F25)
</f>
        <v>87.63</v>
      </c>
      <c r="G26" s="10" t="s">
        <v>150</v>
      </c>
      <c r="H26" s="10">
        <v>2.17</v>
      </c>
      <c r="I26" s="62">
        <v>45901.0</v>
      </c>
      <c r="J26" s="89"/>
      <c r="K26" s="21" t="s">
        <v>174</v>
      </c>
      <c r="L26" s="19" t="s">
        <v>52</v>
      </c>
      <c r="M26" s="97">
        <f>M20++M19+M21+M22+M24+M23+M25</f>
        <v>1190</v>
      </c>
      <c r="O26" s="103" t="s">
        <v>126</v>
      </c>
      <c r="P26" s="104" t="s">
        <v>175</v>
      </c>
      <c r="Q26" s="103" t="s">
        <v>126</v>
      </c>
      <c r="R26" s="104" t="s">
        <v>176</v>
      </c>
    </row>
    <row r="27">
      <c r="C27" s="94"/>
      <c r="D27" s="21"/>
      <c r="E27" s="79" t="s">
        <v>177</v>
      </c>
      <c r="F27" s="111">
        <f>I1/(15-F3)</f>
        <v>38.15125</v>
      </c>
      <c r="G27" s="10" t="s">
        <v>150</v>
      </c>
      <c r="H27" s="10">
        <v>5.28</v>
      </c>
      <c r="I27" s="62">
        <v>45901.0</v>
      </c>
      <c r="J27" s="89"/>
      <c r="K27" s="21" t="s">
        <v>164</v>
      </c>
      <c r="L27" s="10"/>
      <c r="O27" s="103" t="s">
        <v>127</v>
      </c>
      <c r="P27" s="104" t="s">
        <v>175</v>
      </c>
      <c r="Q27" s="103" t="s">
        <v>127</v>
      </c>
      <c r="R27" s="104" t="s">
        <v>178</v>
      </c>
    </row>
    <row r="28">
      <c r="A28" s="98" t="s">
        <v>179</v>
      </c>
      <c r="B28" s="28"/>
      <c r="C28" s="112">
        <v>45895.0</v>
      </c>
      <c r="D28" s="19"/>
      <c r="E28" s="10" t="s">
        <v>180</v>
      </c>
      <c r="F28" s="26">
        <f>I1-F26
</f>
        <v>217.58</v>
      </c>
      <c r="G28" s="10" t="s">
        <v>181</v>
      </c>
      <c r="H28" s="10">
        <v>12.65</v>
      </c>
      <c r="I28" s="62">
        <v>45900.0</v>
      </c>
      <c r="J28" s="89"/>
      <c r="K28" s="21" t="s">
        <v>182</v>
      </c>
      <c r="O28" s="103" t="s">
        <v>128</v>
      </c>
      <c r="P28" s="104" t="s">
        <v>168</v>
      </c>
      <c r="Q28" s="103" t="s">
        <v>128</v>
      </c>
      <c r="R28" s="104" t="s">
        <v>183</v>
      </c>
    </row>
    <row r="29">
      <c r="A29" s="113"/>
      <c r="B29" s="114">
        <v>45898.0</v>
      </c>
      <c r="C29" s="115" t="s">
        <v>184</v>
      </c>
      <c r="D29" s="19"/>
      <c r="E29" s="10" t="s">
        <v>171</v>
      </c>
      <c r="F29" s="26">
        <f>SUMIF(G18:G60, "Wal Mart", H18:H60) </f>
        <v>19.16</v>
      </c>
      <c r="G29" s="10" t="s">
        <v>185</v>
      </c>
      <c r="H29" s="10">
        <v>31.64</v>
      </c>
      <c r="I29" s="62">
        <v>45900.0</v>
      </c>
      <c r="J29" s="89"/>
      <c r="O29" s="103" t="s">
        <v>129</v>
      </c>
      <c r="P29" s="104" t="s">
        <v>168</v>
      </c>
      <c r="Q29" s="103" t="s">
        <v>129</v>
      </c>
      <c r="R29" s="104" t="s">
        <v>169</v>
      </c>
    </row>
    <row r="30">
      <c r="A30" s="116"/>
      <c r="B30" s="117"/>
      <c r="C30" s="118"/>
      <c r="D30" s="119"/>
      <c r="E30" s="120"/>
      <c r="F30" s="120"/>
      <c r="G30" s="10" t="s">
        <v>150</v>
      </c>
      <c r="H30" s="10">
        <v>2.17</v>
      </c>
      <c r="I30" s="121">
        <v>45902.0</v>
      </c>
      <c r="J30" s="21"/>
      <c r="Q30" s="122" t="s">
        <v>186</v>
      </c>
    </row>
    <row r="31">
      <c r="A31" s="123" t="s">
        <v>187</v>
      </c>
      <c r="B31" s="10" t="s">
        <v>142</v>
      </c>
      <c r="C31" s="85" t="s">
        <v>143</v>
      </c>
      <c r="D31" s="124">
        <v>2317.45</v>
      </c>
      <c r="E31" s="10" t="s">
        <v>188</v>
      </c>
      <c r="F31" s="120"/>
      <c r="G31" s="21" t="s">
        <v>189</v>
      </c>
      <c r="H31" s="94">
        <v>67.21</v>
      </c>
      <c r="I31" s="109">
        <v>45902.0</v>
      </c>
      <c r="J31" s="21"/>
      <c r="Q31" s="125" t="s">
        <v>130</v>
      </c>
      <c r="R31" s="125" t="s">
        <v>190</v>
      </c>
    </row>
    <row r="32">
      <c r="A32" s="31" t="s">
        <v>148</v>
      </c>
      <c r="B32" s="79" t="s">
        <v>96</v>
      </c>
      <c r="C32" s="126" t="s">
        <v>149</v>
      </c>
      <c r="D32" s="24" t="s">
        <v>191</v>
      </c>
      <c r="E32" s="127">
        <v>45881.0</v>
      </c>
      <c r="F32" s="120"/>
      <c r="G32" s="21" t="s">
        <v>150</v>
      </c>
      <c r="H32" s="94">
        <v>2.17</v>
      </c>
      <c r="I32" s="109">
        <v>45903.0</v>
      </c>
      <c r="J32" s="93"/>
      <c r="K32" s="10" t="s">
        <v>192</v>
      </c>
      <c r="N32" s="10" t="s">
        <v>193</v>
      </c>
      <c r="Q32" s="128" t="s">
        <v>131</v>
      </c>
      <c r="R32" s="128" t="s">
        <v>190</v>
      </c>
    </row>
    <row r="33">
      <c r="A33" s="3" t="s">
        <v>194</v>
      </c>
      <c r="B33" s="129"/>
      <c r="C33" s="129">
        <f> 1357</f>
        <v>1357</v>
      </c>
      <c r="D33" s="130" t="s">
        <v>149</v>
      </c>
      <c r="E33" s="131">
        <f>D31-C36
</f>
        <v>829.6605162</v>
      </c>
      <c r="F33" s="120"/>
      <c r="G33" s="21" t="s">
        <v>195</v>
      </c>
      <c r="H33" s="94">
        <v>16.04</v>
      </c>
      <c r="I33" s="109">
        <v>45903.0</v>
      </c>
      <c r="J33" s="93"/>
      <c r="K33" s="132" t="s">
        <v>196</v>
      </c>
      <c r="L33" s="10" t="s">
        <v>197</v>
      </c>
      <c r="Q33" s="128" t="s">
        <v>132</v>
      </c>
      <c r="R33" s="128" t="s">
        <v>190</v>
      </c>
    </row>
    <row r="34">
      <c r="A34" s="3" t="s">
        <v>198</v>
      </c>
      <c r="B34" s="129">
        <v>94.44</v>
      </c>
      <c r="C34" s="133"/>
      <c r="D34" s="130" t="s">
        <v>96</v>
      </c>
      <c r="E34" s="44">
        <f>IFERROR(__xludf.DUMMYFUNCTION("E33*GOOGLEFINANCE(""CURRENCY:CADUSD"")"),599.078281248819)</f>
        <v>599.0782812</v>
      </c>
      <c r="F34" s="134"/>
      <c r="G34" s="21" t="s">
        <v>199</v>
      </c>
      <c r="H34" s="94">
        <v>15.92</v>
      </c>
      <c r="I34" s="109">
        <v>45903.0</v>
      </c>
      <c r="J34" s="93"/>
      <c r="K34" s="132" t="s">
        <v>200</v>
      </c>
      <c r="L34" s="10" t="s">
        <v>197</v>
      </c>
      <c r="Q34" s="128" t="s">
        <v>126</v>
      </c>
      <c r="R34" s="128" t="s">
        <v>201</v>
      </c>
    </row>
    <row r="35">
      <c r="A35" s="3" t="s">
        <v>52</v>
      </c>
      <c r="B35" s="80">
        <f>B33+B34</f>
        <v>94.44</v>
      </c>
      <c r="C35" s="133">
        <f>IFERROR(__xludf.DUMMYFUNCTION("B35*GOOGLEFINANCE(""CURRENCY:USDCAD"")"),130.7894838)</f>
        <v>130.7894838</v>
      </c>
      <c r="E35" s="135"/>
      <c r="F35" s="136"/>
      <c r="G35" s="21" t="s">
        <v>150</v>
      </c>
      <c r="H35" s="94">
        <v>2.17</v>
      </c>
      <c r="I35" s="109">
        <v>45904.0</v>
      </c>
      <c r="J35" s="93"/>
      <c r="K35" s="132"/>
      <c r="Q35" s="128" t="s">
        <v>127</v>
      </c>
      <c r="R35" s="128" t="s">
        <v>201</v>
      </c>
    </row>
    <row r="36">
      <c r="C36" s="26">
        <f>C35+C33</f>
        <v>1487.789484</v>
      </c>
      <c r="F36" s="120"/>
      <c r="I36" s="62"/>
      <c r="M36" s="137" t="s">
        <v>202</v>
      </c>
      <c r="Q36" s="128" t="s">
        <v>128</v>
      </c>
      <c r="R36" s="128" t="s">
        <v>203</v>
      </c>
    </row>
    <row r="37">
      <c r="A37" s="138"/>
      <c r="F37" s="120"/>
      <c r="I37" s="62"/>
      <c r="J37" s="93"/>
      <c r="K37" s="123" t="s">
        <v>204</v>
      </c>
      <c r="M37" s="137" t="s">
        <v>205</v>
      </c>
      <c r="Q37" s="128" t="s">
        <v>129</v>
      </c>
      <c r="R37" s="128" t="s">
        <v>203</v>
      </c>
    </row>
    <row r="38">
      <c r="A38" s="139">
        <v>2298.11</v>
      </c>
      <c r="B38" s="140" t="s">
        <v>206</v>
      </c>
      <c r="C38" s="141" t="s">
        <v>207</v>
      </c>
      <c r="E38" s="10"/>
      <c r="F38" s="136"/>
      <c r="I38" s="62"/>
      <c r="J38" s="93"/>
      <c r="K38" s="135"/>
      <c r="M38" s="137" t="s">
        <v>208</v>
      </c>
      <c r="Q38" s="142" t="s">
        <v>209</v>
      </c>
    </row>
    <row r="39">
      <c r="A39" s="143">
        <v>2317.45</v>
      </c>
      <c r="B39" s="123" t="s">
        <v>187</v>
      </c>
      <c r="C39" s="141" t="s">
        <v>210</v>
      </c>
      <c r="E39" s="10"/>
      <c r="F39" s="120"/>
      <c r="I39" s="62"/>
      <c r="J39" s="93"/>
      <c r="K39" s="132"/>
      <c r="M39" s="144" t="s">
        <v>211</v>
      </c>
      <c r="Q39" s="145" t="s">
        <v>212</v>
      </c>
    </row>
    <row r="40">
      <c r="A40" s="146"/>
      <c r="E40" s="10"/>
      <c r="I40" s="147"/>
      <c r="J40" s="93"/>
      <c r="K40" s="132"/>
      <c r="M40" s="148" t="s">
        <v>213</v>
      </c>
      <c r="Q40" s="145" t="s">
        <v>214</v>
      </c>
    </row>
    <row r="41">
      <c r="A41" s="149"/>
      <c r="I41" s="62"/>
      <c r="J41" s="93"/>
      <c r="K41" s="132"/>
      <c r="M41" s="150" t="s">
        <v>215</v>
      </c>
      <c r="Q41" s="145" t="s">
        <v>216</v>
      </c>
    </row>
    <row r="42">
      <c r="A42" s="10" t="s">
        <v>217</v>
      </c>
      <c r="B42" s="10"/>
      <c r="C42" s="10"/>
      <c r="F42" s="10"/>
      <c r="G42" s="21"/>
      <c r="H42" s="94"/>
      <c r="I42" s="151"/>
      <c r="M42" s="152">
        <v>54.99</v>
      </c>
      <c r="Q42" s="145" t="s">
        <v>218</v>
      </c>
    </row>
    <row r="43">
      <c r="A43" s="10"/>
      <c r="B43" s="10"/>
      <c r="C43" s="91"/>
      <c r="F43" s="10"/>
      <c r="G43" s="10"/>
      <c r="H43" s="94"/>
      <c r="I43" s="151"/>
      <c r="M43" s="153">
        <v>41.24</v>
      </c>
      <c r="Q43" s="145" t="s">
        <v>219</v>
      </c>
    </row>
    <row r="44">
      <c r="A44" s="10"/>
      <c r="B44" s="10"/>
      <c r="C44" s="91"/>
      <c r="F44" s="10"/>
      <c r="I44" s="151"/>
      <c r="M44" s="154" t="s">
        <v>220</v>
      </c>
      <c r="Q44" s="145" t="s">
        <v>221</v>
      </c>
    </row>
    <row r="45">
      <c r="A45" s="10"/>
      <c r="B45" s="10"/>
      <c r="C45" s="91"/>
      <c r="F45" s="10"/>
      <c r="I45" s="62"/>
      <c r="M45" s="154" t="s">
        <v>222</v>
      </c>
      <c r="Q45" s="145" t="s">
        <v>223</v>
      </c>
    </row>
    <row r="46">
      <c r="A46" s="10"/>
      <c r="B46" s="10"/>
      <c r="C46" s="91"/>
      <c r="F46" s="10"/>
      <c r="G46" s="10"/>
      <c r="I46" s="62"/>
      <c r="M46" s="155" t="s">
        <v>224</v>
      </c>
    </row>
    <row r="47">
      <c r="A47" s="10"/>
      <c r="B47" s="10"/>
      <c r="C47" s="10"/>
      <c r="F47" s="10"/>
      <c r="I47" s="62"/>
      <c r="M47" s="156" t="s">
        <v>225</v>
      </c>
    </row>
    <row r="48">
      <c r="M48" s="157">
        <v>39.99</v>
      </c>
    </row>
    <row r="49">
      <c r="I49" s="62"/>
      <c r="M49" s="158">
        <v>29.99</v>
      </c>
    </row>
    <row r="50">
      <c r="I50" s="62"/>
      <c r="M50" s="154" t="s">
        <v>220</v>
      </c>
    </row>
    <row r="51">
      <c r="I51" s="62"/>
      <c r="M51" s="154" t="s">
        <v>226</v>
      </c>
    </row>
    <row r="52">
      <c r="C52" s="91"/>
      <c r="I52" s="62"/>
      <c r="M52" s="155" t="s">
        <v>227</v>
      </c>
    </row>
    <row r="53">
      <c r="C53" s="91"/>
      <c r="I53" s="62"/>
      <c r="M53" s="156" t="s">
        <v>228</v>
      </c>
    </row>
    <row r="54">
      <c r="I54" s="147"/>
      <c r="M54" s="157">
        <v>37.99</v>
      </c>
    </row>
    <row r="55">
      <c r="I55" s="62"/>
      <c r="M55" s="158">
        <v>28.49</v>
      </c>
    </row>
    <row r="56">
      <c r="I56" s="121"/>
      <c r="M56" s="154" t="s">
        <v>220</v>
      </c>
    </row>
    <row r="57">
      <c r="I57" s="121"/>
      <c r="M57" s="154" t="s">
        <v>229</v>
      </c>
    </row>
    <row r="58">
      <c r="I58" s="121"/>
      <c r="M58" s="155" t="s">
        <v>230</v>
      </c>
    </row>
    <row r="59">
      <c r="I59" s="121"/>
      <c r="M59" s="156" t="s">
        <v>231</v>
      </c>
    </row>
    <row r="60">
      <c r="A60" s="10" t="s">
        <v>232</v>
      </c>
      <c r="B60" s="10" t="s">
        <v>233</v>
      </c>
      <c r="C60" s="10" t="s">
        <v>234</v>
      </c>
      <c r="D60" s="10" t="s">
        <v>235</v>
      </c>
      <c r="E60" s="10" t="s">
        <v>236</v>
      </c>
      <c r="I60" s="121"/>
      <c r="M60" s="157">
        <v>32.99</v>
      </c>
    </row>
    <row r="61">
      <c r="A61" s="10" t="s">
        <v>237</v>
      </c>
      <c r="B61" s="10" t="s">
        <v>238</v>
      </c>
      <c r="C61" s="10" t="s">
        <v>239</v>
      </c>
      <c r="D61" s="10" t="s">
        <v>240</v>
      </c>
      <c r="E61" s="10">
        <v>350.0</v>
      </c>
      <c r="I61" s="121"/>
      <c r="M61" s="158">
        <v>24.74</v>
      </c>
    </row>
    <row r="62">
      <c r="B62" s="10">
        <v>16.0</v>
      </c>
      <c r="C62" s="10" t="s">
        <v>241</v>
      </c>
      <c r="D62" s="10" t="s">
        <v>242</v>
      </c>
      <c r="E62" s="10">
        <v>150.0</v>
      </c>
      <c r="I62" s="121"/>
      <c r="M62" s="154" t="s">
        <v>220</v>
      </c>
    </row>
    <row r="63">
      <c r="B63" s="10">
        <v>16.0</v>
      </c>
      <c r="C63" s="10" t="s">
        <v>243</v>
      </c>
      <c r="D63" s="10" t="s">
        <v>244</v>
      </c>
      <c r="E63" s="10">
        <v>70.0</v>
      </c>
      <c r="I63" s="121"/>
      <c r="M63" s="154" t="s">
        <v>245</v>
      </c>
    </row>
    <row r="64">
      <c r="B64" s="10">
        <v>24.0</v>
      </c>
      <c r="C64" s="10" t="s">
        <v>246</v>
      </c>
      <c r="D64" s="10" t="s">
        <v>247</v>
      </c>
      <c r="E64" s="10">
        <v>300.0</v>
      </c>
      <c r="I64" s="121"/>
      <c r="M64" s="159" t="s">
        <v>248</v>
      </c>
    </row>
    <row r="65">
      <c r="A65" s="10" t="s">
        <v>249</v>
      </c>
      <c r="B65" s="10" t="s">
        <v>250</v>
      </c>
      <c r="I65" s="121"/>
    </row>
  </sheetData>
  <conditionalFormatting sqref="I1">
    <cfRule type="notContainsBlanks" dxfId="2" priority="1">
      <formula>LEN(TRIM(I1))&gt;0</formula>
    </cfRule>
  </conditionalFormatting>
  <conditionalFormatting sqref="A9:N15">
    <cfRule type="cellIs" dxfId="3" priority="2" operator="equal">
      <formula>"TIMS"</formula>
    </cfRule>
  </conditionalFormatting>
  <conditionalFormatting sqref="A9:N15">
    <cfRule type="cellIs" dxfId="4" priority="3" operator="equal">
      <formula>"Dispo"</formula>
    </cfRule>
  </conditionalFormatting>
  <conditionalFormatting sqref="A9:N15">
    <cfRule type="cellIs" dxfId="1" priority="4" operator="equal">
      <formula>"Gas"</formula>
    </cfRule>
  </conditionalFormatting>
  <conditionalFormatting sqref="G18:G31 A26 A30 G33:G50 H51:H52 G54:G56 G59:G60">
    <cfRule type="cellIs" dxfId="3" priority="5" operator="equal">
      <formula>"TIMS"</formula>
    </cfRule>
  </conditionalFormatting>
  <conditionalFormatting sqref="G18:G31 A26 A30 G33:G50 H51:H52 G54:G56 G59:G60">
    <cfRule type="cellIs" dxfId="4" priority="6" operator="equal">
      <formula>"Dispo"</formula>
    </cfRule>
  </conditionalFormatting>
  <conditionalFormatting sqref="G18:G31 A26 A30 G33:G50 H51:H52 G54:G56 G59:G60">
    <cfRule type="cellIs" dxfId="5" priority="7" operator="equal">
      <formula>"McDonalds"</formula>
    </cfRule>
  </conditionalFormatting>
  <conditionalFormatting sqref="H18:H26 B26 B28 H28:H29 B30 H31 H33:H42 H44:H60">
    <cfRule type="cellIs" dxfId="1" priority="8" operator="greaterThan">
      <formula>60</formula>
    </cfRule>
  </conditionalFormatting>
  <conditionalFormatting sqref="H18:H26 B26 B28 H28:H29 B30 H31 H33:H42 H44:H60">
    <cfRule type="cellIs" dxfId="6" priority="9" operator="between">
      <formula>30</formula>
      <formula>60</formula>
    </cfRule>
  </conditionalFormatting>
  <conditionalFormatting sqref="I5">
    <cfRule type="cellIs" dxfId="0" priority="10" operator="greaterThan">
      <formula>0</formula>
    </cfRule>
  </conditionalFormatting>
  <conditionalFormatting sqref="I5">
    <cfRule type="cellIs" dxfId="1" priority="11" operator="lessThanOrEqual">
      <formula>0</formula>
    </cfRule>
  </conditionalFormatting>
  <conditionalFormatting sqref="K16">
    <cfRule type="notContainsBlanks" dxfId="2" priority="12">
      <formula>LEN(TRIM(K16))&gt;0</formula>
    </cfRule>
  </conditionalFormatting>
  <hyperlinks>
    <hyperlink r:id="rId1" ref="A31"/>
    <hyperlink r:id="rId2" ref="K37"/>
    <hyperlink r:id="rId3" ref="B38"/>
    <hyperlink r:id="rId4" ref="B39"/>
    <hyperlink r:id="rId5" ref="M64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13"/>
      <c r="C1" s="1"/>
      <c r="E1" s="54" t="s">
        <v>114</v>
      </c>
      <c r="F1" s="55">
        <f>TODAY()
</f>
        <v>45905</v>
      </c>
      <c r="H1" s="56" t="s">
        <v>115</v>
      </c>
      <c r="I1" s="32">
        <f>SUM(IFERROR(16:16, 0)) -R4 
</f>
        <v>330.84</v>
      </c>
      <c r="K1" s="57"/>
      <c r="L1" s="58"/>
      <c r="M1" s="57"/>
      <c r="O1" s="7" t="s">
        <v>116</v>
      </c>
      <c r="P1" s="59" t="s">
        <v>117</v>
      </c>
    </row>
    <row r="2">
      <c r="E2" s="10" t="s">
        <v>118</v>
      </c>
      <c r="F2" s="60">
        <v>45897.0</v>
      </c>
      <c r="H2" s="56" t="s">
        <v>119</v>
      </c>
      <c r="I2" s="61">
        <f>500</f>
        <v>500</v>
      </c>
      <c r="R2" s="10"/>
      <c r="S2" s="10"/>
    </row>
    <row r="3">
      <c r="C3" s="62"/>
      <c r="E3" s="10" t="s">
        <v>120</v>
      </c>
      <c r="F3" s="26">
        <f>F2-F1+1
</f>
        <v>-7</v>
      </c>
      <c r="H3" s="24" t="s">
        <v>80</v>
      </c>
      <c r="I3" s="56">
        <f>I2-I1
</f>
        <v>169.16</v>
      </c>
      <c r="O3" s="10" t="s">
        <v>121</v>
      </c>
      <c r="R3" s="10"/>
      <c r="S3" s="10"/>
    </row>
    <row r="4">
      <c r="C4" s="62"/>
      <c r="E4" s="10" t="s">
        <v>49</v>
      </c>
      <c r="F4" s="26">
        <f>I2-I1
</f>
        <v>169.16</v>
      </c>
      <c r="H4" s="63"/>
      <c r="I4" s="63"/>
    </row>
    <row r="5">
      <c r="C5" s="62"/>
      <c r="E5" s="10" t="s">
        <v>122</v>
      </c>
      <c r="H5" s="64" t="s">
        <v>123</v>
      </c>
      <c r="I5" s="64">
        <f>I3/F3
</f>
        <v>-24.16571429</v>
      </c>
    </row>
    <row r="6">
      <c r="C6" s="62"/>
      <c r="K6" s="65"/>
      <c r="R6" s="66"/>
    </row>
    <row r="7">
      <c r="A7" s="1"/>
      <c r="B7" s="32"/>
      <c r="C7" s="70"/>
      <c r="D7" s="68"/>
      <c r="E7" s="31"/>
      <c r="F7" s="44"/>
      <c r="G7" s="70"/>
      <c r="H7" s="31" t="s">
        <v>251</v>
      </c>
      <c r="I7" s="31" t="s">
        <v>252</v>
      </c>
      <c r="J7" s="160"/>
      <c r="K7" s="44"/>
      <c r="L7" s="69"/>
      <c r="M7" s="44"/>
      <c r="N7" s="44"/>
      <c r="O7" s="10" t="s">
        <v>253</v>
      </c>
      <c r="P7" s="10" t="s">
        <v>124</v>
      </c>
    </row>
    <row r="8">
      <c r="A8" s="72">
        <v>45884.0</v>
      </c>
      <c r="B8" s="72">
        <v>45885.0</v>
      </c>
      <c r="C8" s="73">
        <v>45886.0</v>
      </c>
      <c r="D8" s="72">
        <v>45887.0</v>
      </c>
      <c r="E8" s="72">
        <v>45888.0</v>
      </c>
      <c r="F8" s="72">
        <v>45889.0</v>
      </c>
      <c r="G8" s="72">
        <v>45890.0</v>
      </c>
      <c r="H8" s="72">
        <v>45891.0</v>
      </c>
      <c r="I8" s="72">
        <v>45892.0</v>
      </c>
      <c r="J8" s="72">
        <v>45893.0</v>
      </c>
      <c r="K8" s="72">
        <v>45894.0</v>
      </c>
      <c r="L8" s="72">
        <v>45895.0</v>
      </c>
      <c r="M8" s="72">
        <v>45896.0</v>
      </c>
      <c r="N8" s="72">
        <v>45897.0</v>
      </c>
      <c r="O8" s="74"/>
      <c r="P8" s="10" t="s">
        <v>125</v>
      </c>
      <c r="Q8" s="75"/>
      <c r="R8" s="10" t="s">
        <v>47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  <c r="O9" s="53"/>
      <c r="P9" s="10" t="s">
        <v>133</v>
      </c>
    </row>
    <row r="10">
      <c r="A10" s="26" t="str">
        <f>IFERROR(__xludf.DUMMYFUNCTION("FILTER(G17:G52, I17:I52=A8)
"),"TIMS")</f>
        <v>TIMS</v>
      </c>
      <c r="B10" s="10" t="str">
        <f>IFERROR(__xludf.DUMMYFUNCTION("FILTER(G17:G52, I17:I52=B8)
"),"Pizza Pizza")</f>
        <v>Pizza Pizza</v>
      </c>
      <c r="C10" s="10" t="str">
        <f>IFERROR(__xludf.DUMMYFUNCTION("FILTER(G17:G52, I17:I52=C8)
"),"Wal Mart")</f>
        <v>Wal Mart</v>
      </c>
      <c r="D10" s="26" t="str">
        <f>IFERROR(__xludf.DUMMYFUNCTION("FILTER(G17:G52, I17:I52=D8)
"),"TIMS")</f>
        <v>TIMS</v>
      </c>
      <c r="E10" s="26" t="str">
        <f>IFERROR(__xludf.DUMMYFUNCTION("FILTER(G17:G52, I17:I52=E8)
"),"TIMS")</f>
        <v>TIMS</v>
      </c>
      <c r="F10" s="26" t="str">
        <f>IFERROR(__xludf.DUMMYFUNCTION("FILTER(G17:G52, I17:I52=F8)
"),"Wal Mart")</f>
        <v>Wal Mart</v>
      </c>
      <c r="G10" s="26" t="str">
        <f>IFERROR(__xludf.DUMMYFUNCTION("FILTER(G17:G52, I17:I52=G8)
"),"Dollarama")</f>
        <v>Dollarama</v>
      </c>
      <c r="H10" s="26" t="str">
        <f>IFERROR(__xludf.DUMMYFUNCTION("FILTER(G17:G52, I17:I52=H8)
"),"TIMS")</f>
        <v>TIMS</v>
      </c>
      <c r="I10" s="10" t="str">
        <f>IFERROR(__xludf.DUMMYFUNCTION("FILTER(G16:G51, I16:I51=I8)
"),"TIMS")</f>
        <v>TIMS</v>
      </c>
      <c r="J10" s="26" t="str">
        <f>IFERROR(__xludf.DUMMYFUNCTION("FILTER(G15:G100, I15:I100=J8)
"),"McDonalds")</f>
        <v>McDonalds</v>
      </c>
      <c r="K10" s="26" t="str">
        <f>IFERROR(__xludf.DUMMYFUNCTION("FILTER(G15:G100, I15:I100=K8)
"),"TIMS")</f>
        <v>TIMS</v>
      </c>
      <c r="L10" s="26" t="str">
        <f>IFERROR(__xludf.DUMMYFUNCTION("FILTER(G15:G100, I15:I100=L8)
"),"TIMS")</f>
        <v>TIMS</v>
      </c>
      <c r="M10" s="10" t="str">
        <f>IFERROR(__xludf.DUMMYFUNCTION("FILTER(G15:G100, I15:I100=M8)
"),"TIMS")</f>
        <v>TIMS</v>
      </c>
      <c r="N10" s="26" t="str">
        <f>IFERROR(__xludf.DUMMYFUNCTION("FILTER(G15:G100, I15:I100=N8)
"),"TIMS")</f>
        <v>TIMS</v>
      </c>
      <c r="P10" s="10" t="s">
        <v>134</v>
      </c>
    </row>
    <row r="11">
      <c r="A11" s="26" t="str">
        <f>IFERROR(__xludf.DUMMYFUNCTION("""COMPUTED_VALUE"""),"LCBO")</f>
        <v>LCBO</v>
      </c>
      <c r="B11" s="26" t="str">
        <f>IFERROR(__xludf.DUMMYFUNCTION("""COMPUTED_VALUE"""),"TIMS")</f>
        <v>TIMS</v>
      </c>
      <c r="C11" s="26" t="str">
        <f>IFERROR(__xludf.DUMMYFUNCTION("""COMPUTED_VALUE"""),"Wal Mart")</f>
        <v>Wal Mart</v>
      </c>
      <c r="D11" s="26" t="str">
        <f>IFERROR(__xludf.DUMMYFUNCTION("""COMPUTED_VALUE"""),"City Cafe")</f>
        <v>City Cafe</v>
      </c>
      <c r="H11" s="26" t="str">
        <f>IFERROR(__xludf.DUMMYFUNCTION("""COMPUTED_VALUE"""),"TIMS")</f>
        <v>TIMS</v>
      </c>
      <c r="I11" s="26" t="str">
        <f>IFERROR(__xludf.DUMMYFUNCTION("""COMPUTED_VALUE"""),"Metro")</f>
        <v>Metro</v>
      </c>
      <c r="J11" s="26" t="str">
        <f>IFERROR(__xludf.DUMMYFUNCTION("""COMPUTED_VALUE"""),"TIMS")</f>
        <v>TIMS</v>
      </c>
      <c r="K11" s="26" t="str">
        <f>IFERROR(__xludf.DUMMYFUNCTION("""COMPUTED_VALUE"""),"Parking")</f>
        <v>Parking</v>
      </c>
      <c r="L11" s="26" t="str">
        <f>IFERROR(__xludf.DUMMYFUNCTION("""COMPUTED_VALUE"""),"McDonalds")</f>
        <v>McDonalds</v>
      </c>
      <c r="M11" s="26" t="str">
        <f>IFERROR(__xludf.DUMMYFUNCTION("""COMPUTED_VALUE"""),"Superstore")</f>
        <v>Superstore</v>
      </c>
    </row>
    <row r="12">
      <c r="A12" s="26" t="str">
        <f>IFERROR(__xludf.DUMMYFUNCTION("""COMPUTED_VALUE"""),"Joy Wave")</f>
        <v>Joy Wave</v>
      </c>
      <c r="B12" s="26" t="str">
        <f>IFERROR(__xludf.DUMMYFUNCTION("""COMPUTED_VALUE"""),"Dispo")</f>
        <v>Dispo</v>
      </c>
      <c r="D12" s="26" t="str">
        <f>IFERROR(__xludf.DUMMYFUNCTION("""COMPUTED_VALUE"""),"Dominos")</f>
        <v>Dominos</v>
      </c>
      <c r="H12" s="26" t="str">
        <f>IFERROR(__xludf.DUMMYFUNCTION("""COMPUTED_VALUE"""),"Johnny Shotz")</f>
        <v>Johnny Shotz</v>
      </c>
      <c r="I12" s="26" t="str">
        <f>IFERROR(__xludf.DUMMYFUNCTION("""COMPUTED_VALUE"""),"LCBO")</f>
        <v>LCBO</v>
      </c>
      <c r="J12" s="26" t="str">
        <f>IFERROR(__xludf.DUMMYFUNCTION("""COMPUTED_VALUE"""),"Wendys")</f>
        <v>Wendys</v>
      </c>
      <c r="L12" s="26" t="str">
        <f>IFERROR(__xludf.DUMMYFUNCTION("""COMPUTED_VALUE"""),"Dispo")</f>
        <v>Dispo</v>
      </c>
    </row>
    <row r="13">
      <c r="A13" s="77"/>
      <c r="B13" s="77"/>
      <c r="D13" s="26" t="str">
        <f>IFERROR(__xludf.DUMMYFUNCTION("""COMPUTED_VALUE"""),"Gas")</f>
        <v>Gas</v>
      </c>
      <c r="L13" s="26" t="str">
        <f>IFERROR(__xludf.DUMMYFUNCTION("""COMPUTED_VALUE"""),"LCBO")</f>
        <v>LCBO</v>
      </c>
    </row>
    <row r="14">
      <c r="A14" s="77"/>
      <c r="B14" s="77"/>
      <c r="K14" s="10" t="s">
        <v>122</v>
      </c>
    </row>
    <row r="15">
      <c r="A15" s="78"/>
      <c r="B15" s="78"/>
    </row>
    <row r="16">
      <c r="A16" s="56">
        <f>IFERROR(__xludf.DUMMYFUNCTION("SUM(FILTER(H17:H52, I17:I52=A8))
"),35.01)</f>
        <v>35.01</v>
      </c>
      <c r="B16" s="56">
        <f>IFERROR(__xludf.DUMMYFUNCTION("SUM(FILTER(H17:H52, I17:I52=B8))
"),60.01)</f>
        <v>60.01</v>
      </c>
      <c r="C16" s="56">
        <f>IFERROR(__xludf.DUMMYFUNCTION("SUM(FILTER(H17:H52, I17:I52=C8))
"),18.78)</f>
        <v>18.78</v>
      </c>
      <c r="D16" s="56">
        <f>IFERROR(__xludf.DUMMYFUNCTION("SUM(FILTER(H17:H52, I17:I52=D8))
"),74.06)</f>
        <v>74.06</v>
      </c>
      <c r="E16" s="56">
        <f>IFERROR(__xludf.DUMMYFUNCTION("SUM(FILTER(H17:H52, I17:I52=E8))
"),2.29)</f>
        <v>2.29</v>
      </c>
      <c r="F16" s="56">
        <f>IFERROR(__xludf.DUMMYFUNCTION("SUM(FILTER(H17:H52, I17:I52=F8))
"),19.05)</f>
        <v>19.05</v>
      </c>
      <c r="G16" s="56">
        <f>IFERROR(__xludf.DUMMYFUNCTION("SUM(FILTER(H17:H52, I17:I52=G8))
"),11.9)</f>
        <v>11.9</v>
      </c>
      <c r="H16" s="56">
        <f>IFERROR(__xludf.DUMMYFUNCTION("SUM(FILTER(H17:H52, I17:I52=H8))
"),16.9)</f>
        <v>16.9</v>
      </c>
      <c r="I16" s="56">
        <f>IFERROR(__xludf.DUMMYFUNCTION("SUM(FILTER(H17:H52, I17:I52=I8))
"),21.720000000000002)</f>
        <v>21.72</v>
      </c>
      <c r="J16" s="56">
        <f>IFERROR(__xludf.DUMMYFUNCTION("SUM(FILTER(H17:H52, I17:I52=J8))
"),12.09)</f>
        <v>12.09</v>
      </c>
      <c r="K16" s="56">
        <f>IFERROR(__xludf.DUMMYFUNCTION("SUM(FILTER(H17:H100, I17:I100=K8))
"),3.44)</f>
        <v>3.44</v>
      </c>
      <c r="L16" s="56">
        <f>IFERROR(__xludf.DUMMYFUNCTION("SUM(FILTER(H17:H100, I17:I100=L8))
"),37.120000000000005)</f>
        <v>37.12</v>
      </c>
      <c r="M16" s="56">
        <f>IFERROR(__xludf.DUMMYFUNCTION("SUM(FILTER(H17:H100, I17:I100=M8))
"),16.3)</f>
        <v>16.3</v>
      </c>
      <c r="N16" s="35">
        <f>IFERROR(__xludf.DUMMYFUNCTION("SUM(FILTER(H17:H100, I17:I100=N8))
"),2.17)</f>
        <v>2.17</v>
      </c>
    </row>
    <row r="17">
      <c r="A17" s="10"/>
      <c r="E17" s="79" t="s">
        <v>135</v>
      </c>
      <c r="F17" s="80">
        <f>COUNTIF(G18:G1002, "TIMS")+COUNTIF(G18:G1002, "Casa Miro")+COUNTIF(G18:G1002, "Toto")+COUNTIF(G18:G1002, "Coffee Exchange")+COUNTIF(G18:G1002, "Ciao Caffe")
</f>
        <v>12</v>
      </c>
      <c r="G17" s="81"/>
      <c r="H17" s="81"/>
      <c r="I17" s="82"/>
      <c r="J17" s="83" t="s">
        <v>136</v>
      </c>
      <c r="K17" s="84"/>
      <c r="L17" s="84"/>
      <c r="M17" s="84"/>
      <c r="N17" s="84"/>
    </row>
    <row r="18">
      <c r="A18" s="85" t="s">
        <v>137</v>
      </c>
      <c r="B18" s="86"/>
      <c r="C18" s="86"/>
      <c r="E18" s="87" t="s">
        <v>138</v>
      </c>
      <c r="F18" s="88">
        <f>SUMIF(G18:G50, "Dispo", H18:H50)+SUMIF(G18:G50, "c cabana", H18:H50)</f>
        <v>64.24</v>
      </c>
      <c r="G18" s="10" t="s">
        <v>150</v>
      </c>
      <c r="H18" s="10">
        <v>2.17</v>
      </c>
      <c r="I18" s="62">
        <v>45884.0</v>
      </c>
      <c r="J18" s="89"/>
      <c r="K18" s="90"/>
      <c r="L18" s="19" t="s">
        <v>140</v>
      </c>
      <c r="M18" s="19"/>
      <c r="N18" s="19" t="s">
        <v>141</v>
      </c>
      <c r="O18" s="91"/>
    </row>
    <row r="19">
      <c r="A19" s="85" t="s">
        <v>144</v>
      </c>
      <c r="B19" s="86"/>
      <c r="C19" s="86"/>
      <c r="E19" s="92" t="s">
        <v>145</v>
      </c>
      <c r="F19" s="92">
        <f>SUMIF(G18:G50, "Republik", H18:H50)+SUMIF(G18:G50, "Stacked", H18:H50)+SUMIF(G18:G50, "Halibut House", H18:H50)+SUMIF(G18:G50, "Keg", H18:H50)+SUMIF(G18:G50, "Ramen", H18:H50)+SUMIF(G18:G50, "Pizza", H18:H50) +SUMIF(G18:G50, "A&amp;W", H18:H50) + SUMIF(G18:G50, "Chucks", H18:H50) + SUMIF(G18:G50, "Cookie Bar", H18:H50) + SUMIF(G18:G50, "Burger King", H18:H50) + SUMIF(G18:G50, "Pho", H18:H50)+SUMIF(G18:G50, "Wendys", H18:H50)+SUMIF(G18:G50, "Hot Tacos", H18:H50)+SUMIF(G18:G50, "Popeyes", H18:H50)+SUMIF(G18:G50, "Chucks", H18:H50)</f>
        <v>2.82</v>
      </c>
      <c r="G19" s="10" t="s">
        <v>254</v>
      </c>
      <c r="H19" s="10">
        <v>23.4</v>
      </c>
      <c r="I19" s="62">
        <v>45884.0</v>
      </c>
      <c r="J19" s="93"/>
      <c r="K19" s="90"/>
      <c r="L19" s="21" t="s">
        <v>147</v>
      </c>
      <c r="M19" s="94">
        <v>40.0</v>
      </c>
      <c r="N19" s="19"/>
    </row>
    <row r="20">
      <c r="E20" s="54" t="s">
        <v>27</v>
      </c>
      <c r="F20" s="95">
        <f>SUMIF(G18:G60, "Gas", H18:H60)</f>
        <v>57.72</v>
      </c>
      <c r="G20" s="10" t="s">
        <v>255</v>
      </c>
      <c r="H20" s="10">
        <v>9.44</v>
      </c>
      <c r="I20" s="62">
        <v>45884.0</v>
      </c>
      <c r="J20" s="93"/>
      <c r="K20" s="96"/>
      <c r="L20" s="19" t="s">
        <v>151</v>
      </c>
      <c r="M20" s="97">
        <v>120.0</v>
      </c>
      <c r="N20" s="19" t="s">
        <v>152</v>
      </c>
    </row>
    <row r="21">
      <c r="A21" s="85" t="s">
        <v>153</v>
      </c>
      <c r="B21" s="85" t="s">
        <v>154</v>
      </c>
      <c r="C21" s="86"/>
      <c r="E21" s="85" t="s">
        <v>155</v>
      </c>
      <c r="F21" s="86">
        <f>SUMIF(G18:G50, "McDonalds", H18:H50) </f>
        <v>9.82</v>
      </c>
      <c r="G21" s="10" t="s">
        <v>256</v>
      </c>
      <c r="H21" s="10">
        <v>8.18</v>
      </c>
      <c r="I21" s="62">
        <v>45885.0</v>
      </c>
      <c r="J21" s="93"/>
      <c r="K21" s="90"/>
      <c r="L21" s="98" t="s">
        <v>157</v>
      </c>
      <c r="M21" s="94">
        <v>1000.0</v>
      </c>
      <c r="N21" s="19"/>
    </row>
    <row r="22">
      <c r="A22" s="85" t="s">
        <v>158</v>
      </c>
      <c r="B22" s="85" t="s">
        <v>159</v>
      </c>
      <c r="C22" s="86"/>
      <c r="E22" s="10" t="s">
        <v>160</v>
      </c>
      <c r="F22" s="10">
        <f>SUMIF(G18:G50, "Urbn Planet", H18:H50)+SUMIF(G18:G50, "Winners", H18:H50) +SUMIF(G18:G50, "Platos", H18:H50) </f>
        <v>0</v>
      </c>
      <c r="G22" s="10" t="s">
        <v>150</v>
      </c>
      <c r="H22" s="10">
        <v>10.87</v>
      </c>
      <c r="I22" s="62">
        <v>45885.0</v>
      </c>
      <c r="J22" s="93"/>
      <c r="K22" s="90"/>
      <c r="L22" s="21" t="s">
        <v>162</v>
      </c>
      <c r="M22" s="97"/>
      <c r="N22" s="19"/>
      <c r="O22" s="99" t="s">
        <v>163</v>
      </c>
      <c r="Q22" s="99" t="s">
        <v>164</v>
      </c>
    </row>
    <row r="23">
      <c r="A23" s="85" t="s">
        <v>165</v>
      </c>
      <c r="B23" s="85" t="s">
        <v>166</v>
      </c>
      <c r="C23" s="86"/>
      <c r="E23" s="10" t="s">
        <v>117</v>
      </c>
      <c r="F23" s="26">
        <f>0</f>
        <v>0</v>
      </c>
      <c r="G23" s="10" t="s">
        <v>257</v>
      </c>
      <c r="H23" s="10">
        <v>40.96</v>
      </c>
      <c r="I23" s="62">
        <v>45885.0</v>
      </c>
      <c r="J23" s="89"/>
      <c r="K23" s="90"/>
      <c r="L23" s="21" t="s">
        <v>167</v>
      </c>
      <c r="M23" s="94">
        <v>30.0</v>
      </c>
      <c r="N23" s="19"/>
      <c r="O23" s="100" t="s">
        <v>130</v>
      </c>
      <c r="P23" s="101" t="s">
        <v>168</v>
      </c>
      <c r="Q23" s="100" t="s">
        <v>130</v>
      </c>
      <c r="R23" s="101" t="s">
        <v>169</v>
      </c>
    </row>
    <row r="24">
      <c r="E24" s="102" t="s">
        <v>170</v>
      </c>
      <c r="F24" s="33">
        <f>SUMIF(G18:G50, "LCBO", H18:H50) + SUMIF(G18:G50, "Beer Store", H18:H50)+ SUMIF(G18:G50, "Drinks", H18:H50)+SUMIF(G18:G50, "Beer", H18:H50)+SUMIF(G18:G50, "Wine", H18:H50)</f>
        <v>47.54</v>
      </c>
      <c r="G24" s="10" t="s">
        <v>171</v>
      </c>
      <c r="H24" s="10">
        <v>9.77</v>
      </c>
      <c r="I24" s="62">
        <v>45886.0</v>
      </c>
      <c r="J24" s="89"/>
      <c r="K24" s="90"/>
      <c r="L24" s="19"/>
      <c r="M24" s="97"/>
      <c r="N24" s="19"/>
      <c r="O24" s="103" t="s">
        <v>131</v>
      </c>
      <c r="P24" s="104" t="s">
        <v>168</v>
      </c>
      <c r="Q24" s="103" t="s">
        <v>131</v>
      </c>
      <c r="R24" s="104" t="s">
        <v>169</v>
      </c>
    </row>
    <row r="25">
      <c r="A25" s="13" t="s">
        <v>172</v>
      </c>
      <c r="E25" s="105" t="s">
        <v>173</v>
      </c>
      <c r="F25" s="106">
        <f>SUMIF(G18:G50, "TIMS", H18:H50) + SUMIF(G18:G50, "Casa Miro", H18:H50) + SUMIF(G18:G50, "Toto", H18:H50) + SUMIF(G18:G50, "Coffee Exchange", H18:H50)+ SUMIF(G18:G50, "Ciao Caffe", H18:H50)+ SUMIF(G18:G50, "Starbucks", H18:H50)
</f>
        <v>35.23</v>
      </c>
      <c r="G25" s="10" t="s">
        <v>171</v>
      </c>
      <c r="H25" s="10">
        <v>9.01</v>
      </c>
      <c r="I25" s="62">
        <v>45886.0</v>
      </c>
      <c r="J25" s="93"/>
      <c r="K25" s="19"/>
      <c r="L25" s="19"/>
      <c r="M25" s="107"/>
      <c r="N25" s="19"/>
      <c r="O25" s="103" t="s">
        <v>132</v>
      </c>
      <c r="P25" s="104" t="s">
        <v>168</v>
      </c>
      <c r="Q25" s="103" t="s">
        <v>132</v>
      </c>
      <c r="R25" s="104" t="s">
        <v>169</v>
      </c>
    </row>
    <row r="26">
      <c r="A26" s="21"/>
      <c r="B26" s="108"/>
      <c r="C26" s="109"/>
      <c r="D26" s="19"/>
      <c r="E26" s="79" t="s">
        <v>52</v>
      </c>
      <c r="F26" s="110">
        <f>SUM(F18:F25)
</f>
        <v>217.37</v>
      </c>
      <c r="G26" s="10" t="s">
        <v>150</v>
      </c>
      <c r="H26" s="10">
        <v>2.17</v>
      </c>
      <c r="I26" s="62">
        <v>45887.0</v>
      </c>
      <c r="J26" s="89"/>
      <c r="K26" s="21" t="s">
        <v>174</v>
      </c>
      <c r="L26" s="19" t="s">
        <v>52</v>
      </c>
      <c r="M26" s="97">
        <f>M20++M19+M21+M22+M24+M23+M25</f>
        <v>1190</v>
      </c>
      <c r="O26" s="103" t="s">
        <v>126</v>
      </c>
      <c r="P26" s="104" t="s">
        <v>175</v>
      </c>
      <c r="Q26" s="103" t="s">
        <v>126</v>
      </c>
      <c r="R26" s="104" t="s">
        <v>176</v>
      </c>
    </row>
    <row r="27">
      <c r="C27" s="94"/>
      <c r="D27" s="21"/>
      <c r="E27" s="79" t="s">
        <v>177</v>
      </c>
      <c r="F27" s="111">
        <f>I1/(15-F3)</f>
        <v>15.03818182</v>
      </c>
      <c r="G27" s="10" t="s">
        <v>258</v>
      </c>
      <c r="H27" s="10">
        <v>1.75</v>
      </c>
      <c r="I27" s="62">
        <v>45887.0</v>
      </c>
      <c r="J27" s="89"/>
      <c r="K27" s="21" t="s">
        <v>164</v>
      </c>
      <c r="L27" s="10"/>
      <c r="O27" s="103" t="s">
        <v>127</v>
      </c>
      <c r="P27" s="104" t="s">
        <v>175</v>
      </c>
      <c r="Q27" s="103" t="s">
        <v>127</v>
      </c>
      <c r="R27" s="104" t="s">
        <v>178</v>
      </c>
    </row>
    <row r="28">
      <c r="A28" s="98" t="s">
        <v>179</v>
      </c>
      <c r="B28" s="28"/>
      <c r="C28" s="112"/>
      <c r="D28" s="19"/>
      <c r="E28" s="10" t="s">
        <v>180</v>
      </c>
      <c r="F28" s="26">
        <f>I1-F26
</f>
        <v>113.47</v>
      </c>
      <c r="G28" s="10" t="s">
        <v>181</v>
      </c>
      <c r="H28" s="10">
        <v>12.42</v>
      </c>
      <c r="I28" s="62">
        <v>45887.0</v>
      </c>
      <c r="J28" s="89"/>
      <c r="K28" s="21" t="s">
        <v>182</v>
      </c>
      <c r="O28" s="103" t="s">
        <v>128</v>
      </c>
      <c r="P28" s="104" t="s">
        <v>168</v>
      </c>
      <c r="Q28" s="103" t="s">
        <v>128</v>
      </c>
      <c r="R28" s="104" t="s">
        <v>183</v>
      </c>
    </row>
    <row r="29">
      <c r="A29" s="113" t="s">
        <v>179</v>
      </c>
      <c r="B29" s="115"/>
      <c r="C29" s="115"/>
      <c r="D29" s="19"/>
      <c r="E29" s="10" t="s">
        <v>171</v>
      </c>
      <c r="F29" s="26">
        <f>SUMIF(G18:G60, "Wal Mart", H18:H60) </f>
        <v>37.83</v>
      </c>
      <c r="G29" s="10" t="s">
        <v>27</v>
      </c>
      <c r="H29" s="10">
        <v>57.72</v>
      </c>
      <c r="I29" s="62">
        <v>45887.0</v>
      </c>
      <c r="J29" s="89"/>
      <c r="O29" s="103" t="s">
        <v>129</v>
      </c>
      <c r="P29" s="104" t="s">
        <v>168</v>
      </c>
      <c r="Q29" s="103" t="s">
        <v>129</v>
      </c>
      <c r="R29" s="104" t="s">
        <v>169</v>
      </c>
    </row>
    <row r="30">
      <c r="A30" s="116"/>
      <c r="B30" s="117"/>
      <c r="C30" s="118"/>
      <c r="D30" s="119"/>
      <c r="E30" s="120"/>
      <c r="F30" s="120"/>
      <c r="G30" s="10" t="s">
        <v>150</v>
      </c>
      <c r="H30" s="10">
        <v>2.29</v>
      </c>
      <c r="I30" s="121">
        <v>45888.0</v>
      </c>
      <c r="J30" s="21"/>
      <c r="Q30" s="122" t="s">
        <v>186</v>
      </c>
    </row>
    <row r="31">
      <c r="A31" s="123" t="s">
        <v>187</v>
      </c>
      <c r="B31" s="10" t="s">
        <v>142</v>
      </c>
      <c r="C31" s="85" t="s">
        <v>143</v>
      </c>
      <c r="D31" s="124">
        <v>2317.45</v>
      </c>
      <c r="E31" s="10" t="s">
        <v>188</v>
      </c>
      <c r="F31" s="120"/>
      <c r="G31" s="21" t="s">
        <v>171</v>
      </c>
      <c r="H31" s="94">
        <v>19.05</v>
      </c>
      <c r="I31" s="109">
        <v>45889.0</v>
      </c>
      <c r="J31" s="21"/>
      <c r="Q31" s="125" t="s">
        <v>130</v>
      </c>
      <c r="R31" s="125" t="s">
        <v>190</v>
      </c>
    </row>
    <row r="32">
      <c r="A32" s="31" t="s">
        <v>148</v>
      </c>
      <c r="B32" s="79" t="s">
        <v>96</v>
      </c>
      <c r="C32" s="126" t="s">
        <v>149</v>
      </c>
      <c r="D32" s="24" t="s">
        <v>191</v>
      </c>
      <c r="E32" s="127">
        <v>45881.0</v>
      </c>
      <c r="F32" s="120"/>
      <c r="G32" s="21" t="s">
        <v>259</v>
      </c>
      <c r="H32" s="94">
        <v>11.9</v>
      </c>
      <c r="I32" s="109">
        <v>45890.0</v>
      </c>
      <c r="J32" s="93"/>
      <c r="K32" s="10" t="s">
        <v>192</v>
      </c>
      <c r="N32" s="10" t="s">
        <v>193</v>
      </c>
      <c r="Q32" s="128" t="s">
        <v>131</v>
      </c>
      <c r="R32" s="128" t="s">
        <v>190</v>
      </c>
    </row>
    <row r="33">
      <c r="A33" s="3" t="s">
        <v>194</v>
      </c>
      <c r="B33" s="129"/>
      <c r="C33" s="129">
        <f> 1357</f>
        <v>1357</v>
      </c>
      <c r="D33" s="130" t="s">
        <v>149</v>
      </c>
      <c r="E33" s="131">
        <f>D31-C36
</f>
        <v>829.6605162</v>
      </c>
      <c r="F33" s="120"/>
      <c r="G33" s="21" t="s">
        <v>150</v>
      </c>
      <c r="H33" s="94">
        <v>2.17</v>
      </c>
      <c r="I33" s="109">
        <v>45891.0</v>
      </c>
      <c r="J33" s="93"/>
      <c r="K33" s="132" t="s">
        <v>196</v>
      </c>
      <c r="L33" s="10" t="s">
        <v>197</v>
      </c>
      <c r="Q33" s="128" t="s">
        <v>132</v>
      </c>
      <c r="R33" s="128" t="s">
        <v>190</v>
      </c>
    </row>
    <row r="34">
      <c r="A34" s="3" t="s">
        <v>198</v>
      </c>
      <c r="B34" s="129">
        <v>94.44</v>
      </c>
      <c r="C34" s="133"/>
      <c r="D34" s="130" t="s">
        <v>96</v>
      </c>
      <c r="E34" s="44">
        <f>IFERROR(__xludf.DUMMYFUNCTION("E33*GOOGLEFINANCE(""CURRENCY:CADUSD"")"),599.078281248819)</f>
        <v>599.0782812</v>
      </c>
      <c r="F34" s="134"/>
      <c r="G34" s="21" t="s">
        <v>150</v>
      </c>
      <c r="H34" s="94">
        <v>2.17</v>
      </c>
      <c r="I34" s="161">
        <v>45891.0</v>
      </c>
      <c r="J34" s="93"/>
      <c r="K34" s="132" t="s">
        <v>200</v>
      </c>
      <c r="L34" s="10" t="s">
        <v>197</v>
      </c>
      <c r="Q34" s="128" t="s">
        <v>126</v>
      </c>
      <c r="R34" s="128" t="s">
        <v>201</v>
      </c>
    </row>
    <row r="35">
      <c r="A35" s="3" t="s">
        <v>52</v>
      </c>
      <c r="B35" s="80">
        <f>B33+B34</f>
        <v>94.44</v>
      </c>
      <c r="C35" s="133">
        <f>IFERROR(__xludf.DUMMYFUNCTION("B35*GOOGLEFINANCE(""CURRENCY:USDCAD"")"),130.7894838)</f>
        <v>130.7894838</v>
      </c>
      <c r="E35" s="135"/>
      <c r="F35" s="136"/>
      <c r="G35" s="21" t="s">
        <v>260</v>
      </c>
      <c r="H35" s="94">
        <v>12.56</v>
      </c>
      <c r="I35" s="109">
        <v>45891.0</v>
      </c>
      <c r="J35" s="93"/>
      <c r="K35" s="132"/>
      <c r="Q35" s="128" t="s">
        <v>127</v>
      </c>
      <c r="R35" s="128" t="s">
        <v>201</v>
      </c>
    </row>
    <row r="36">
      <c r="C36" s="26">
        <f>C35+C33</f>
        <v>1487.789484</v>
      </c>
      <c r="F36" s="120"/>
      <c r="G36" s="10" t="s">
        <v>150</v>
      </c>
      <c r="H36" s="10">
        <v>1.56</v>
      </c>
      <c r="I36" s="62">
        <v>45892.0</v>
      </c>
      <c r="Q36" s="128" t="s">
        <v>128</v>
      </c>
      <c r="R36" s="128" t="s">
        <v>203</v>
      </c>
    </row>
    <row r="37">
      <c r="A37" s="138"/>
      <c r="F37" s="120"/>
      <c r="G37" s="10" t="s">
        <v>261</v>
      </c>
      <c r="H37" s="10">
        <v>3.99</v>
      </c>
      <c r="I37" s="62">
        <v>45892.0</v>
      </c>
      <c r="J37" s="93"/>
      <c r="K37" s="123" t="s">
        <v>204</v>
      </c>
      <c r="Q37" s="128" t="s">
        <v>129</v>
      </c>
      <c r="R37" s="128" t="s">
        <v>203</v>
      </c>
    </row>
    <row r="38">
      <c r="A38" s="139">
        <v>2298.11</v>
      </c>
      <c r="B38" s="140" t="s">
        <v>206</v>
      </c>
      <c r="C38" s="141" t="s">
        <v>207</v>
      </c>
      <c r="E38" s="10"/>
      <c r="F38" s="136"/>
      <c r="G38" s="10" t="s">
        <v>254</v>
      </c>
      <c r="H38" s="10">
        <v>16.17</v>
      </c>
      <c r="I38" s="62">
        <v>45892.0</v>
      </c>
      <c r="J38" s="93"/>
      <c r="K38" s="135"/>
      <c r="Q38" s="142" t="s">
        <v>209</v>
      </c>
    </row>
    <row r="39">
      <c r="A39" s="143">
        <v>2317.45</v>
      </c>
      <c r="B39" s="123" t="s">
        <v>187</v>
      </c>
      <c r="C39" s="141" t="s">
        <v>210</v>
      </c>
      <c r="E39" s="10"/>
      <c r="F39" s="120"/>
      <c r="G39" s="10" t="s">
        <v>155</v>
      </c>
      <c r="H39" s="10">
        <v>7.1</v>
      </c>
      <c r="I39" s="62">
        <v>45893.0</v>
      </c>
      <c r="J39" s="93"/>
      <c r="K39" s="132"/>
      <c r="Q39" s="145" t="s">
        <v>212</v>
      </c>
    </row>
    <row r="40">
      <c r="A40" s="146"/>
      <c r="E40" s="10"/>
      <c r="G40" s="10" t="s">
        <v>150</v>
      </c>
      <c r="H40" s="10">
        <v>2.17</v>
      </c>
      <c r="I40" s="147">
        <v>45893.0</v>
      </c>
      <c r="J40" s="93"/>
      <c r="K40" s="132"/>
      <c r="Q40" s="145" t="s">
        <v>214</v>
      </c>
    </row>
    <row r="41">
      <c r="A41" s="146"/>
      <c r="E41" s="10"/>
      <c r="G41" s="10" t="s">
        <v>262</v>
      </c>
      <c r="H41" s="10">
        <v>2.82</v>
      </c>
      <c r="I41" s="62">
        <v>45893.0</v>
      </c>
      <c r="J41" s="93"/>
      <c r="K41" s="132"/>
      <c r="Q41" s="145" t="s">
        <v>216</v>
      </c>
    </row>
    <row r="42">
      <c r="G42" s="21" t="s">
        <v>150</v>
      </c>
      <c r="H42" s="94">
        <v>2.17</v>
      </c>
      <c r="I42" s="151">
        <v>45894.0</v>
      </c>
      <c r="Q42" s="145" t="s">
        <v>218</v>
      </c>
    </row>
    <row r="43">
      <c r="G43" s="10" t="s">
        <v>263</v>
      </c>
      <c r="H43" s="94">
        <v>1.27</v>
      </c>
      <c r="I43" s="151">
        <v>45894.0</v>
      </c>
      <c r="Q43" s="145" t="s">
        <v>219</v>
      </c>
    </row>
    <row r="44">
      <c r="G44" s="10" t="s">
        <v>150</v>
      </c>
      <c r="H44" s="10">
        <v>3.15</v>
      </c>
      <c r="I44" s="151">
        <v>45895.0</v>
      </c>
      <c r="Q44" s="145" t="s">
        <v>221</v>
      </c>
    </row>
    <row r="45">
      <c r="G45" s="10" t="s">
        <v>155</v>
      </c>
      <c r="H45" s="10">
        <v>2.72</v>
      </c>
      <c r="I45" s="62">
        <v>45895.0</v>
      </c>
      <c r="Q45" s="145" t="s">
        <v>223</v>
      </c>
    </row>
    <row r="46">
      <c r="G46" s="10" t="s">
        <v>257</v>
      </c>
      <c r="H46" s="10">
        <v>23.28</v>
      </c>
      <c r="I46" s="62">
        <v>45895.0</v>
      </c>
    </row>
    <row r="47">
      <c r="G47" s="10" t="s">
        <v>254</v>
      </c>
      <c r="H47" s="10">
        <v>7.97</v>
      </c>
      <c r="I47" s="62">
        <v>45895.0</v>
      </c>
    </row>
    <row r="48">
      <c r="G48" s="10" t="s">
        <v>150</v>
      </c>
      <c r="H48" s="10">
        <v>2.17</v>
      </c>
      <c r="I48" s="62">
        <v>45896.0</v>
      </c>
    </row>
    <row r="49">
      <c r="G49" s="10" t="s">
        <v>264</v>
      </c>
      <c r="H49" s="10">
        <v>14.13</v>
      </c>
      <c r="I49" s="62">
        <v>45896.0</v>
      </c>
    </row>
    <row r="50">
      <c r="G50" s="10" t="s">
        <v>150</v>
      </c>
      <c r="H50" s="10">
        <v>2.17</v>
      </c>
      <c r="I50" s="62">
        <v>45897.0</v>
      </c>
    </row>
    <row r="51">
      <c r="I51" s="62"/>
    </row>
    <row r="52">
      <c r="I52" s="62"/>
    </row>
    <row r="53">
      <c r="I53" s="62"/>
    </row>
    <row r="54">
      <c r="I54" s="147"/>
    </row>
    <row r="55">
      <c r="I55" s="62"/>
    </row>
    <row r="56">
      <c r="I56" s="121"/>
    </row>
    <row r="57">
      <c r="I57" s="121"/>
    </row>
    <row r="58">
      <c r="I58" s="121"/>
    </row>
    <row r="59">
      <c r="I59" s="121"/>
    </row>
    <row r="60">
      <c r="I60" s="121"/>
    </row>
    <row r="61">
      <c r="I61" s="121"/>
    </row>
    <row r="62">
      <c r="I62" s="121"/>
    </row>
    <row r="63">
      <c r="I63" s="121"/>
    </row>
    <row r="64">
      <c r="I64" s="121"/>
    </row>
    <row r="65">
      <c r="I65" s="121"/>
    </row>
  </sheetData>
  <conditionalFormatting sqref="I1">
    <cfRule type="notContainsBlanks" dxfId="2" priority="1">
      <formula>LEN(TRIM(I1))&gt;0</formula>
    </cfRule>
  </conditionalFormatting>
  <conditionalFormatting sqref="A9:N15">
    <cfRule type="cellIs" dxfId="3" priority="2" operator="equal">
      <formula>"TIMS"</formula>
    </cfRule>
  </conditionalFormatting>
  <conditionalFormatting sqref="A9:N15">
    <cfRule type="cellIs" dxfId="4" priority="3" operator="equal">
      <formula>"Dispo"</formula>
    </cfRule>
  </conditionalFormatting>
  <conditionalFormatting sqref="A9:N15">
    <cfRule type="cellIs" dxfId="1" priority="4" operator="equal">
      <formula>"Gas"</formula>
    </cfRule>
  </conditionalFormatting>
  <conditionalFormatting sqref="G18:G29 A26 A30 G31 G33:G56 G59:G60">
    <cfRule type="cellIs" dxfId="3" priority="5" operator="equal">
      <formula>"TIMS"</formula>
    </cfRule>
  </conditionalFormatting>
  <conditionalFormatting sqref="G18:G29 A26 A30 G31 G33:G56 G59:G60">
    <cfRule type="cellIs" dxfId="4" priority="6" operator="equal">
      <formula>"Dispo"</formula>
    </cfRule>
  </conditionalFormatting>
  <conditionalFormatting sqref="G18:G29 A26 A30 G31 G33:G56 G59:G60">
    <cfRule type="cellIs" dxfId="5" priority="7" operator="equal">
      <formula>"McDonalds"</formula>
    </cfRule>
  </conditionalFormatting>
  <conditionalFormatting sqref="H18:H26 B26 B28 H28:H29 B30 H31 H33:H42 H44:H60">
    <cfRule type="cellIs" dxfId="1" priority="8" operator="greaterThan">
      <formula>60</formula>
    </cfRule>
  </conditionalFormatting>
  <conditionalFormatting sqref="H18:H26 B26 B28 H28:H29 B30 H31 H33:H42 H44:H60">
    <cfRule type="cellIs" dxfId="6" priority="9" operator="between">
      <formula>30</formula>
      <formula>60</formula>
    </cfRule>
  </conditionalFormatting>
  <conditionalFormatting sqref="I5">
    <cfRule type="cellIs" dxfId="0" priority="10" operator="greaterThan">
      <formula>0</formula>
    </cfRule>
  </conditionalFormatting>
  <conditionalFormatting sqref="I5">
    <cfRule type="cellIs" dxfId="1" priority="11" operator="lessThanOrEqual">
      <formula>0</formula>
    </cfRule>
  </conditionalFormatting>
  <conditionalFormatting sqref="K16">
    <cfRule type="notContainsBlanks" dxfId="2" priority="12">
      <formula>LEN(TRIM(K16))&gt;0</formula>
    </cfRule>
  </conditionalFormatting>
  <hyperlinks>
    <hyperlink r:id="rId1" ref="A31"/>
    <hyperlink r:id="rId2" ref="K37"/>
    <hyperlink r:id="rId3" ref="B38"/>
    <hyperlink r:id="rId4" ref="B39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13"/>
      <c r="C1" s="1"/>
      <c r="E1" s="54" t="s">
        <v>114</v>
      </c>
      <c r="F1" s="55">
        <f>TODAY()
</f>
        <v>45905</v>
      </c>
      <c r="H1" s="56" t="s">
        <v>115</v>
      </c>
      <c r="I1" s="32">
        <f> 525.91 + 2.17
</f>
        <v>528.08</v>
      </c>
      <c r="K1" s="57" t="s">
        <v>265</v>
      </c>
      <c r="L1" s="58"/>
      <c r="M1" s="57" t="s">
        <v>266</v>
      </c>
      <c r="O1" s="7" t="s">
        <v>116</v>
      </c>
      <c r="P1" s="59" t="s">
        <v>117</v>
      </c>
    </row>
    <row r="2">
      <c r="E2" s="10" t="s">
        <v>118</v>
      </c>
      <c r="F2" s="60">
        <v>45883.0</v>
      </c>
      <c r="H2" s="56" t="s">
        <v>119</v>
      </c>
      <c r="I2" s="61">
        <f>550 </f>
        <v>550</v>
      </c>
      <c r="K2" s="10" t="s">
        <v>173</v>
      </c>
      <c r="L2" s="10">
        <v>40.0</v>
      </c>
      <c r="M2" s="10" t="s">
        <v>267</v>
      </c>
      <c r="R2" s="10"/>
      <c r="S2" s="10"/>
    </row>
    <row r="3">
      <c r="C3" s="62"/>
      <c r="E3" s="10" t="s">
        <v>120</v>
      </c>
      <c r="F3" s="26">
        <f>F2-F1+1
</f>
        <v>-21</v>
      </c>
      <c r="H3" s="24" t="s">
        <v>80</v>
      </c>
      <c r="I3" s="56">
        <f>I2-I1
</f>
        <v>21.92</v>
      </c>
      <c r="K3" s="10" t="s">
        <v>268</v>
      </c>
      <c r="L3" s="10" t="s">
        <v>269</v>
      </c>
      <c r="M3" s="10" t="s">
        <v>270</v>
      </c>
      <c r="O3" s="10" t="s">
        <v>121</v>
      </c>
      <c r="R3" s="10"/>
      <c r="S3" s="10"/>
    </row>
    <row r="4">
      <c r="C4" s="62"/>
      <c r="E4" s="10" t="s">
        <v>49</v>
      </c>
      <c r="F4" s="26">
        <f>I2-I1
</f>
        <v>21.92</v>
      </c>
      <c r="H4" s="63"/>
      <c r="I4" s="63"/>
      <c r="K4" s="10" t="s">
        <v>27</v>
      </c>
      <c r="L4" s="10" t="s">
        <v>271</v>
      </c>
    </row>
    <row r="5">
      <c r="C5" s="62"/>
      <c r="E5" s="10" t="s">
        <v>122</v>
      </c>
      <c r="H5" s="64" t="s">
        <v>123</v>
      </c>
      <c r="I5" s="64">
        <f>I3/F3
</f>
        <v>-1.043809524</v>
      </c>
    </row>
    <row r="6">
      <c r="C6" s="62"/>
      <c r="K6" s="65"/>
      <c r="R6" s="66"/>
    </row>
    <row r="7">
      <c r="A7" s="32" t="s">
        <v>272</v>
      </c>
      <c r="B7" s="32" t="s">
        <v>273</v>
      </c>
      <c r="C7" s="70"/>
      <c r="D7" s="160"/>
      <c r="E7" s="32" t="s">
        <v>274</v>
      </c>
      <c r="F7" s="53"/>
      <c r="G7" s="67"/>
      <c r="H7" s="69"/>
      <c r="J7" s="160"/>
      <c r="K7" s="44"/>
      <c r="L7" s="69"/>
      <c r="M7" s="44"/>
      <c r="P7" s="10" t="s">
        <v>124</v>
      </c>
    </row>
    <row r="8">
      <c r="A8" s="72">
        <v>45870.0</v>
      </c>
      <c r="B8" s="72">
        <v>45871.0</v>
      </c>
      <c r="C8" s="73">
        <v>45872.0</v>
      </c>
      <c r="D8" s="72">
        <v>45873.0</v>
      </c>
      <c r="E8" s="72">
        <v>45874.0</v>
      </c>
      <c r="F8" s="72">
        <v>45875.0</v>
      </c>
      <c r="G8" s="72">
        <v>45876.0</v>
      </c>
      <c r="H8" s="72">
        <v>45877.0</v>
      </c>
      <c r="I8" s="72">
        <v>45878.0</v>
      </c>
      <c r="J8" s="72">
        <v>45879.0</v>
      </c>
      <c r="K8" s="72">
        <v>45880.0</v>
      </c>
      <c r="L8" s="72">
        <v>45881.0</v>
      </c>
      <c r="M8" s="72">
        <v>45882.0</v>
      </c>
      <c r="N8" s="72">
        <v>45883.0</v>
      </c>
      <c r="O8" s="74"/>
      <c r="P8" s="10" t="s">
        <v>125</v>
      </c>
      <c r="Q8" s="75"/>
      <c r="R8" s="10" t="s">
        <v>47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  <c r="O9" s="53"/>
      <c r="P9" s="10" t="s">
        <v>133</v>
      </c>
    </row>
    <row r="10">
      <c r="A10" s="26" t="str">
        <f>IFERROR(__xludf.DUMMYFUNCTION("FILTER(G17:G52, I17:I52=A8)
"),"#REF!")</f>
        <v>#REF!</v>
      </c>
      <c r="B10" s="10" t="str">
        <f>IFERROR(__xludf.DUMMYFUNCTION("FILTER(G17:G52, I17:I52=B8)
"),"Le Fameux")</f>
        <v>Le Fameux</v>
      </c>
      <c r="C10" s="10" t="str">
        <f>IFERROR(__xludf.DUMMYFUNCTION("FILTER(G17:G52, I17:I52=C8)
"),"TIMS")</f>
        <v>TIMS</v>
      </c>
      <c r="D10" s="26" t="str">
        <f>IFERROR(__xludf.DUMMYFUNCTION("FILTER(G17:G52, I17:I52=D8)
"),"TIMS")</f>
        <v>TIMS</v>
      </c>
      <c r="E10" s="26" t="str">
        <f>IFERROR(__xludf.DUMMYFUNCTION("FILTER(G17:G52, I17:I52=E8)
"),"TIMS")</f>
        <v>TIMS</v>
      </c>
      <c r="F10" s="26" t="str">
        <f>IFERROR(__xludf.DUMMYFUNCTION("FILTER(G17:G52, I17:I52=F8)
"),"TIMS")</f>
        <v>TIMS</v>
      </c>
      <c r="G10" s="26" t="str">
        <f>IFERROR(__xludf.DUMMYFUNCTION("FILTER(G17:G52, I17:I52=G8)
"),"TIMS")</f>
        <v>TIMS</v>
      </c>
      <c r="H10" s="26" t="str">
        <f>IFERROR(__xludf.DUMMYFUNCTION("FILTER(G17:G52, I17:I52=H8)
"),"TIMS")</f>
        <v>TIMS</v>
      </c>
      <c r="I10" s="10" t="str">
        <f>IFERROR(__xludf.DUMMYFUNCTION("FILTER(G16:G51, I16:I51=I8)
"),"TIMS")</f>
        <v>TIMS</v>
      </c>
      <c r="J10" s="26" t="str">
        <f>IFERROR(__xludf.DUMMYFUNCTION("FILTER(G15:G100, I15:I100=J8)
"),"McDonalds")</f>
        <v>McDonalds</v>
      </c>
      <c r="K10" s="26" t="str">
        <f>IFERROR(__xludf.DUMMYFUNCTION("FILTER(G15:G100, I15:I100=K8)
"),"Seven 11")</f>
        <v>Seven 11</v>
      </c>
      <c r="L10" s="26" t="str">
        <f>IFERROR(__xludf.DUMMYFUNCTION("FILTER(G15:G100, I15:I100=L8)
"),"TIMS")</f>
        <v>TIMS</v>
      </c>
      <c r="M10" s="10" t="str">
        <f>IFERROR(__xludf.DUMMYFUNCTION("FILTER(G15:G100, I15:I100=M8)
"),"TIMS")</f>
        <v>TIMS</v>
      </c>
      <c r="N10" s="26" t="str">
        <f>IFERROR(__xludf.DUMMYFUNCTION("FILTER(G15:G100, I15:I100=N8)
"),"TIMS")</f>
        <v>TIMS</v>
      </c>
      <c r="P10" s="10" t="s">
        <v>134</v>
      </c>
    </row>
    <row r="11">
      <c r="A11" s="26"/>
      <c r="B11" s="26" t="str">
        <f>IFERROR(__xludf.DUMMYFUNCTION("""COMPUTED_VALUE"""),"Gas")</f>
        <v>Gas</v>
      </c>
      <c r="C11" s="26" t="str">
        <f>IFERROR(__xludf.DUMMYFUNCTION("""COMPUTED_VALUE"""),"Freshco")</f>
        <v>Freshco</v>
      </c>
      <c r="D11" s="26" t="str">
        <f>IFERROR(__xludf.DUMMYFUNCTION("""COMPUTED_VALUE"""),"Macs")</f>
        <v>Macs</v>
      </c>
      <c r="E11" s="26" t="str">
        <f>IFERROR(__xludf.DUMMYFUNCTION("""COMPUTED_VALUE"""),"Dispo")</f>
        <v>Dispo</v>
      </c>
      <c r="F11" s="26" t="str">
        <f>IFERROR(__xludf.DUMMYFUNCTION("""COMPUTED_VALUE"""),"Gas ")</f>
        <v>Gas </v>
      </c>
      <c r="G11" s="26" t="str">
        <f>IFERROR(__xludf.DUMMYFUNCTION("""COMPUTED_VALUE"""),"Freedom")</f>
        <v>Freedom</v>
      </c>
      <c r="H11" s="26" t="str">
        <f>IFERROR(__xludf.DUMMYFUNCTION("""COMPUTED_VALUE"""),"Parking ")</f>
        <v>Parking </v>
      </c>
      <c r="I11" s="26" t="str">
        <f>IFERROR(__xludf.DUMMYFUNCTION("""COMPUTED_VALUE"""),"LCBO")</f>
        <v>LCBO</v>
      </c>
      <c r="J11" s="26" t="str">
        <f>IFERROR(__xludf.DUMMYFUNCTION("""COMPUTED_VALUE"""),"TIMS")</f>
        <v>TIMS</v>
      </c>
      <c r="L11" s="26" t="str">
        <f>IFERROR(__xludf.DUMMYFUNCTION("""COMPUTED_VALUE"""),"TIMS")</f>
        <v>TIMS</v>
      </c>
      <c r="M11" s="26" t="str">
        <f>IFERROR(__xludf.DUMMYFUNCTION("""COMPUTED_VALUE"""),"TIMS")</f>
        <v>TIMS</v>
      </c>
    </row>
    <row r="12">
      <c r="A12" s="26"/>
      <c r="C12" s="26" t="str">
        <f>IFERROR(__xludf.DUMMYFUNCTION("""COMPUTED_VALUE"""),"Mondo ")</f>
        <v>Mondo </v>
      </c>
      <c r="E12" s="26" t="str">
        <f>IFERROR(__xludf.DUMMYFUNCTION("""COMPUTED_VALUE"""),"Gas")</f>
        <v>Gas</v>
      </c>
      <c r="F12" s="26" t="str">
        <f>IFERROR(__xludf.DUMMYFUNCTION("""COMPUTED_VALUE"""),"Dollarama")</f>
        <v>Dollarama</v>
      </c>
      <c r="H12" s="26" t="str">
        <f>IFERROR(__xludf.DUMMYFUNCTION("""COMPUTED_VALUE"""),"Eastwood")</f>
        <v>Eastwood</v>
      </c>
      <c r="L12" s="26" t="str">
        <f>IFERROR(__xludf.DUMMYFUNCTION("""COMPUTED_VALUE"""),"Macs")</f>
        <v>Macs</v>
      </c>
    </row>
    <row r="13">
      <c r="A13" s="77"/>
      <c r="B13" s="77"/>
      <c r="H13" s="26" t="str">
        <f>IFERROR(__xludf.DUMMYFUNCTION("""COMPUTED_VALUE"""),"Slinks")</f>
        <v>Slinks</v>
      </c>
      <c r="L13" s="26" t="str">
        <f>IFERROR(__xludf.DUMMYFUNCTION("""COMPUTED_VALUE"""),"Subway")</f>
        <v>Subway</v>
      </c>
    </row>
    <row r="14">
      <c r="A14" s="77"/>
      <c r="B14" s="77"/>
      <c r="H14" s="26" t="str">
        <f>IFERROR(__xludf.DUMMYFUNCTION("""COMPUTED_VALUE"""),"Lions Head")</f>
        <v>Lions Head</v>
      </c>
      <c r="K14" s="10" t="s">
        <v>122</v>
      </c>
    </row>
    <row r="15">
      <c r="A15" s="78"/>
      <c r="B15" s="78"/>
    </row>
    <row r="16">
      <c r="A16" s="56">
        <f>IFERROR(__xludf.DUMMYFUNCTION("SUM(FILTER(H17:H52, I17:I52=A8))
"),243.35000000000002)</f>
        <v>243.35</v>
      </c>
      <c r="B16" s="56">
        <f>IFERROR(__xludf.DUMMYFUNCTION("SUM(FILTER(H17:H52, I17:I52=B8))
"),113.81)</f>
        <v>113.81</v>
      </c>
      <c r="C16" s="56">
        <f>IFERROR(__xludf.DUMMYFUNCTION("SUM(FILTER(H17:H52, I17:I52=C8))
"),9.879999999999999)</f>
        <v>9.88</v>
      </c>
      <c r="D16" s="56">
        <f>IFERROR(__xludf.DUMMYFUNCTION("SUM(FILTER(H17:H52, I17:I52=D8))
"),13.77)</f>
        <v>13.77</v>
      </c>
      <c r="E16" s="56">
        <f>IFERROR(__xludf.DUMMYFUNCTION("SUM(FILTER(H17:H52, I17:I52=E8))
"),53.09)</f>
        <v>53.09</v>
      </c>
      <c r="F16" s="56">
        <f>IFERROR(__xludf.DUMMYFUNCTION("SUM(FILTER(H17:H52, I17:I52=F8))
"),68.72)</f>
        <v>68.72</v>
      </c>
      <c r="G16" s="56">
        <f>IFERROR(__xludf.DUMMYFUNCTION("SUM(FILTER(H17:H52, I17:I52=G8))
"),47.370000000000005)</f>
        <v>47.37</v>
      </c>
      <c r="H16" s="56">
        <f>IFERROR(__xludf.DUMMYFUNCTION("SUM(FILTER(H17:H52, I17:I52=H8))
"),32.480000000000004)</f>
        <v>32.48</v>
      </c>
      <c r="I16" s="56">
        <f>IFERROR(__xludf.DUMMYFUNCTION("SUM(FILTER(H17:H52, I17:I52=I8))
"),16.47)</f>
        <v>16.47</v>
      </c>
      <c r="J16" s="56">
        <f>IFERROR(__xludf.DUMMYFUNCTION("SUM(FILTER(H17:H52, I17:I52=J8))
"),10.08)</f>
        <v>10.08</v>
      </c>
      <c r="K16" s="56">
        <f>IFERROR(__xludf.DUMMYFUNCTION("SUM(FILTER(H17:H100, I17:I100=K8))
"),4.19)</f>
        <v>4.19</v>
      </c>
      <c r="L16" s="56">
        <f>IFERROR(__xludf.DUMMYFUNCTION("SUM(FILTER(H17:H100, I17:I100=L8))
"),25.57)</f>
        <v>25.57</v>
      </c>
      <c r="M16" s="56">
        <f>IFERROR(__xludf.DUMMYFUNCTION("SUM(FILTER(H17:H100, I17:I100=M8))
"),8.66)</f>
        <v>8.66</v>
      </c>
      <c r="N16" s="35">
        <f>IFERROR(__xludf.DUMMYFUNCTION("SUM(FILTER(H17:H100, I17:I100=N8))
"),2.17)</f>
        <v>2.17</v>
      </c>
    </row>
    <row r="17">
      <c r="A17" s="10"/>
      <c r="E17" s="79" t="s">
        <v>135</v>
      </c>
      <c r="F17" s="80">
        <f>COUNTIF(G18:G1002, "TIMS")+COUNTIF(G18:G1002, "Casa Miro")+COUNTIF(G18:G1002, "Toto")+COUNTIF(G18:G1002, "Coffee Exchange")+COUNTIF(G18:G1002, "Ciao Caffe")
</f>
        <v>13</v>
      </c>
      <c r="G17" s="81"/>
      <c r="H17" s="81"/>
      <c r="I17" s="82"/>
      <c r="J17" s="83" t="s">
        <v>136</v>
      </c>
      <c r="K17" s="84"/>
      <c r="L17" s="84"/>
      <c r="M17" s="84"/>
      <c r="N17" s="84"/>
    </row>
    <row r="18">
      <c r="A18" s="85" t="s">
        <v>137</v>
      </c>
      <c r="B18" s="86"/>
      <c r="C18" s="86"/>
      <c r="E18" s="87" t="s">
        <v>138</v>
      </c>
      <c r="F18" s="88">
        <f>SUMIF(G18:G50, "Dispo", H18:H50)+SUMIF(G18:G50, "c cabana", H18:H50)</f>
        <v>35.92</v>
      </c>
      <c r="G18" s="10" t="s">
        <v>275</v>
      </c>
      <c r="H18" s="10">
        <v>61.28</v>
      </c>
      <c r="I18" s="62">
        <v>45870.0</v>
      </c>
      <c r="J18" s="89"/>
      <c r="K18" s="90"/>
      <c r="L18" s="19" t="s">
        <v>140</v>
      </c>
      <c r="M18" s="19"/>
      <c r="N18" s="19" t="s">
        <v>141</v>
      </c>
      <c r="O18" s="162" t="s">
        <v>187</v>
      </c>
      <c r="P18" s="10" t="s">
        <v>142</v>
      </c>
      <c r="Q18" s="10" t="s">
        <v>143</v>
      </c>
      <c r="R18" s="10">
        <v>2000.0</v>
      </c>
    </row>
    <row r="19">
      <c r="A19" s="85" t="s">
        <v>144</v>
      </c>
      <c r="B19" s="86"/>
      <c r="C19" s="86"/>
      <c r="E19" s="92" t="s">
        <v>145</v>
      </c>
      <c r="F19" s="92">
        <f>SUMIF(G18:G50, "Republik", H18:H50)+SUMIF(G18:G50, "Stacked", H18:H50)+SUMIF(G18:G50, "Halibut House", H18:H50)+SUMIF(G18:G50, "Keg", H18:H50)+SUMIF(G18:G50, "Ramen", H18:H50)+SUMIF(G18:G50, "Pizza", H18:H50) +SUMIF(G18:G50, "A&amp;W", H18:H50) + SUMIF(G18:G50, "Chucks", H18:H50) + SUMIF(G18:G50, "Cookie Bar", H18:H50) + SUMIF(G18:G50, "Burger King", H18:H50) + SUMIF(G18:G50, "Pho", H18:H50)+SUMIF(G18:G50, "Wendys", H18:H50)+SUMIF(G18:G50, "Hot Tacos", H18:H50)+SUMIF(G18:G50, "Popeyes", H18:H50)+SUMIF(G18:G50, "Chucks", H18:H50)</f>
        <v>0</v>
      </c>
      <c r="G19" s="10" t="s">
        <v>276</v>
      </c>
      <c r="H19" s="10">
        <v>9.2</v>
      </c>
      <c r="I19" s="62">
        <v>45870.0</v>
      </c>
      <c r="J19" s="93"/>
      <c r="K19" s="90"/>
      <c r="L19" s="21" t="s">
        <v>147</v>
      </c>
      <c r="M19" s="94">
        <v>40.0</v>
      </c>
      <c r="N19" s="19"/>
      <c r="O19" s="10" t="s">
        <v>148</v>
      </c>
      <c r="P19" s="10" t="s">
        <v>96</v>
      </c>
      <c r="Q19" s="10" t="s">
        <v>149</v>
      </c>
    </row>
    <row r="20">
      <c r="E20" s="54" t="s">
        <v>27</v>
      </c>
      <c r="F20" s="95">
        <f>SUMIF(G18:G60, "Gas", H18:H60)</f>
        <v>74.78</v>
      </c>
      <c r="G20" s="10" t="s">
        <v>277</v>
      </c>
      <c r="H20" s="10">
        <v>40.0</v>
      </c>
      <c r="I20" s="62">
        <v>45870.0</v>
      </c>
      <c r="J20" s="93"/>
      <c r="K20" s="96"/>
      <c r="L20" s="19" t="s">
        <v>151</v>
      </c>
      <c r="M20" s="97">
        <v>120.0</v>
      </c>
      <c r="N20" s="19" t="s">
        <v>152</v>
      </c>
      <c r="P20" s="10">
        <v>732.0</v>
      </c>
      <c r="Q20" s="10">
        <v>997.45</v>
      </c>
      <c r="R20" s="26">
        <f>R18-Q20
</f>
        <v>1002.55</v>
      </c>
    </row>
    <row r="21">
      <c r="A21" s="85" t="s">
        <v>153</v>
      </c>
      <c r="B21" s="85" t="s">
        <v>154</v>
      </c>
      <c r="C21" s="86"/>
      <c r="E21" s="85" t="s">
        <v>155</v>
      </c>
      <c r="F21" s="86">
        <f>SUMIF(G18:G50, "McDonalds", H18:H50) </f>
        <v>11.64</v>
      </c>
      <c r="G21" s="10" t="s">
        <v>278</v>
      </c>
      <c r="H21" s="10">
        <v>4.01</v>
      </c>
      <c r="I21" s="62">
        <v>45870.0</v>
      </c>
      <c r="J21" s="93"/>
      <c r="K21" s="90"/>
      <c r="L21" s="98" t="s">
        <v>157</v>
      </c>
      <c r="M21" s="94">
        <v>1000.0</v>
      </c>
      <c r="N21" s="19"/>
    </row>
    <row r="22">
      <c r="A22" s="85" t="s">
        <v>158</v>
      </c>
      <c r="B22" s="85" t="s">
        <v>159</v>
      </c>
      <c r="C22" s="86"/>
      <c r="E22" s="10" t="s">
        <v>160</v>
      </c>
      <c r="F22" s="10">
        <f>SUMIF(G18:G50, "Urbn Planet", H18:H50)+SUMIF(G18:G50, "Winners", H18:H50) +SUMIF(G18:G50, "Platos", H18:H50) </f>
        <v>0</v>
      </c>
      <c r="G22" s="10" t="s">
        <v>279</v>
      </c>
      <c r="H22" s="10">
        <v>11.25</v>
      </c>
      <c r="I22" s="62">
        <v>45870.0</v>
      </c>
      <c r="J22" s="93"/>
      <c r="K22" s="90"/>
      <c r="L22" s="21" t="s">
        <v>162</v>
      </c>
      <c r="M22" s="97"/>
      <c r="N22" s="19"/>
      <c r="O22" s="99" t="s">
        <v>163</v>
      </c>
      <c r="Q22" s="99" t="s">
        <v>164</v>
      </c>
    </row>
    <row r="23">
      <c r="A23" s="85" t="s">
        <v>165</v>
      </c>
      <c r="B23" s="85" t="s">
        <v>166</v>
      </c>
      <c r="C23" s="86"/>
      <c r="E23" s="10" t="s">
        <v>117</v>
      </c>
      <c r="F23" s="26">
        <f>0</f>
        <v>0</v>
      </c>
      <c r="G23" s="10" t="s">
        <v>279</v>
      </c>
      <c r="H23" s="10">
        <v>11.25</v>
      </c>
      <c r="I23" s="62">
        <v>45870.0</v>
      </c>
      <c r="J23" s="89"/>
      <c r="K23" s="90"/>
      <c r="L23" s="21" t="s">
        <v>167</v>
      </c>
      <c r="M23" s="94">
        <v>30.0</v>
      </c>
      <c r="N23" s="19"/>
      <c r="O23" s="100" t="s">
        <v>130</v>
      </c>
      <c r="P23" s="101" t="s">
        <v>168</v>
      </c>
      <c r="Q23" s="100" t="s">
        <v>130</v>
      </c>
      <c r="R23" s="101" t="s">
        <v>169</v>
      </c>
    </row>
    <row r="24">
      <c r="E24" s="102" t="s">
        <v>170</v>
      </c>
      <c r="F24" s="33">
        <f>SUMIF(G18:G50, "LCBO", H18:H50) + SUMIF(G18:G50, "Beer Store", H18:H50)+ SUMIF(G18:G50, "Drinks", H18:H50)+SUMIF(G18:G50, "Beer", H18:H50)+SUMIF(G18:G50, "Wine", H18:H50)</f>
        <v>0</v>
      </c>
      <c r="G24" s="10" t="s">
        <v>280</v>
      </c>
      <c r="H24" s="10">
        <v>20.68</v>
      </c>
      <c r="I24" s="62">
        <v>45870.0</v>
      </c>
      <c r="J24" s="89"/>
      <c r="K24" s="90"/>
      <c r="L24" s="19"/>
      <c r="M24" s="97"/>
      <c r="N24" s="19"/>
      <c r="O24" s="103" t="s">
        <v>131</v>
      </c>
      <c r="P24" s="104" t="s">
        <v>168</v>
      </c>
      <c r="Q24" s="103" t="s">
        <v>131</v>
      </c>
      <c r="R24" s="104" t="s">
        <v>169</v>
      </c>
    </row>
    <row r="25">
      <c r="A25" s="13" t="s">
        <v>172</v>
      </c>
      <c r="E25" s="105" t="s">
        <v>173</v>
      </c>
      <c r="F25" s="106">
        <f>SUMIF(G18:G50, "TIMS", H18:H50) + SUMIF(G18:G50, "Casa Miro", H18:H50) + SUMIF(G18:G50, "Toto", H18:H50) + SUMIF(G18:G50, "Coffee Exchange", H18:H50)+ SUMIF(G18:G50, "Ciao Caffe", H18:H50)+ SUMIF(G18:G50, "Starbucks", H18:H50)
</f>
        <v>23.06</v>
      </c>
      <c r="G25" s="10" t="s">
        <v>281</v>
      </c>
      <c r="H25" s="10">
        <v>11.25</v>
      </c>
      <c r="I25" s="62">
        <v>45870.0</v>
      </c>
      <c r="J25" s="93"/>
      <c r="K25" s="19"/>
      <c r="L25" s="19"/>
      <c r="M25" s="107"/>
      <c r="N25" s="19"/>
      <c r="O25" s="103" t="s">
        <v>132</v>
      </c>
      <c r="P25" s="104" t="s">
        <v>168</v>
      </c>
      <c r="Q25" s="103" t="s">
        <v>132</v>
      </c>
      <c r="R25" s="104" t="s">
        <v>169</v>
      </c>
    </row>
    <row r="26">
      <c r="A26" s="21"/>
      <c r="B26" s="108"/>
      <c r="C26" s="109"/>
      <c r="D26" s="19"/>
      <c r="E26" s="79" t="s">
        <v>52</v>
      </c>
      <c r="F26" s="110">
        <f>SUM(F18:F25)
</f>
        <v>145.4</v>
      </c>
      <c r="G26" s="10" t="s">
        <v>282</v>
      </c>
      <c r="H26" s="10">
        <v>20.31</v>
      </c>
      <c r="I26" s="62">
        <v>45870.0</v>
      </c>
      <c r="J26" s="89"/>
      <c r="K26" s="21" t="s">
        <v>174</v>
      </c>
      <c r="L26" s="19" t="s">
        <v>52</v>
      </c>
      <c r="M26" s="97">
        <f>M20++M19+M21+M22+M24+M23+M25</f>
        <v>1190</v>
      </c>
      <c r="O26" s="103" t="s">
        <v>126</v>
      </c>
      <c r="P26" s="104" t="s">
        <v>175</v>
      </c>
      <c r="Q26" s="103" t="s">
        <v>126</v>
      </c>
      <c r="R26" s="104" t="s">
        <v>176</v>
      </c>
    </row>
    <row r="27">
      <c r="C27" s="94"/>
      <c r="D27" s="21"/>
      <c r="E27" s="79" t="s">
        <v>177</v>
      </c>
      <c r="F27" s="111">
        <f>I1/(15-F3)</f>
        <v>14.66888889</v>
      </c>
      <c r="G27" s="10" t="s">
        <v>283</v>
      </c>
      <c r="H27" s="10">
        <v>28.73</v>
      </c>
      <c r="I27" s="62">
        <v>45870.0</v>
      </c>
      <c r="J27" s="89"/>
      <c r="K27" s="21" t="s">
        <v>164</v>
      </c>
      <c r="L27" s="10"/>
      <c r="O27" s="103" t="s">
        <v>127</v>
      </c>
      <c r="P27" s="104" t="s">
        <v>175</v>
      </c>
      <c r="Q27" s="103" t="s">
        <v>127</v>
      </c>
      <c r="R27" s="104" t="s">
        <v>178</v>
      </c>
    </row>
    <row r="28">
      <c r="A28" s="98" t="s">
        <v>179</v>
      </c>
      <c r="B28" s="28"/>
      <c r="C28" s="112"/>
      <c r="D28" s="19"/>
      <c r="E28" s="10" t="s">
        <v>180</v>
      </c>
      <c r="F28" s="26">
        <f>I1-F26
</f>
        <v>382.68</v>
      </c>
      <c r="G28" s="10" t="s">
        <v>284</v>
      </c>
      <c r="H28" s="10">
        <v>13.75</v>
      </c>
      <c r="I28" s="62">
        <v>45870.0</v>
      </c>
      <c r="J28" s="89"/>
      <c r="K28" s="21" t="s">
        <v>182</v>
      </c>
      <c r="O28" s="103" t="s">
        <v>128</v>
      </c>
      <c r="P28" s="104" t="s">
        <v>168</v>
      </c>
      <c r="Q28" s="103" t="s">
        <v>128</v>
      </c>
      <c r="R28" s="104" t="s">
        <v>183</v>
      </c>
    </row>
    <row r="29">
      <c r="A29" s="21"/>
      <c r="B29" s="94"/>
      <c r="C29" s="94"/>
      <c r="D29" s="19"/>
      <c r="E29" s="10" t="s">
        <v>171</v>
      </c>
      <c r="F29" s="26">
        <f>SUMIF(G18:G60, "Wal Mart", H18:H60) </f>
        <v>0</v>
      </c>
      <c r="G29" s="10" t="s">
        <v>155</v>
      </c>
      <c r="H29" s="10">
        <v>11.64</v>
      </c>
      <c r="I29" s="62">
        <v>45870.0</v>
      </c>
      <c r="J29" s="89"/>
      <c r="O29" s="103" t="s">
        <v>129</v>
      </c>
      <c r="P29" s="104" t="s">
        <v>168</v>
      </c>
      <c r="Q29" s="103" t="s">
        <v>129</v>
      </c>
      <c r="R29" s="104" t="s">
        <v>169</v>
      </c>
    </row>
    <row r="30">
      <c r="A30" s="116"/>
      <c r="B30" s="117"/>
      <c r="C30" s="118"/>
      <c r="D30" s="119"/>
      <c r="E30" s="120"/>
      <c r="F30" s="120"/>
      <c r="G30" s="10" t="s">
        <v>285</v>
      </c>
      <c r="H30" s="10">
        <v>54.03</v>
      </c>
      <c r="I30" s="121">
        <v>45871.0</v>
      </c>
      <c r="J30" s="21"/>
      <c r="Q30" s="122" t="s">
        <v>186</v>
      </c>
    </row>
    <row r="31">
      <c r="A31" s="123" t="s">
        <v>187</v>
      </c>
      <c r="B31" s="10" t="s">
        <v>142</v>
      </c>
      <c r="C31" s="85" t="s">
        <v>143</v>
      </c>
      <c r="D31" s="124">
        <v>2317.45</v>
      </c>
      <c r="E31" s="10" t="s">
        <v>188</v>
      </c>
      <c r="F31" s="120"/>
      <c r="G31" s="21" t="s">
        <v>27</v>
      </c>
      <c r="H31" s="94">
        <v>59.78</v>
      </c>
      <c r="I31" s="109">
        <v>45871.0</v>
      </c>
      <c r="J31" s="21"/>
      <c r="Q31" s="125" t="s">
        <v>130</v>
      </c>
      <c r="R31" s="125" t="s">
        <v>190</v>
      </c>
    </row>
    <row r="32">
      <c r="A32" s="31" t="s">
        <v>148</v>
      </c>
      <c r="B32" s="79" t="s">
        <v>96</v>
      </c>
      <c r="C32" s="126" t="s">
        <v>149</v>
      </c>
      <c r="D32" s="24" t="s">
        <v>191</v>
      </c>
      <c r="E32" s="127">
        <v>45881.0</v>
      </c>
      <c r="F32" s="120"/>
      <c r="G32" s="21" t="s">
        <v>150</v>
      </c>
      <c r="H32" s="94">
        <v>1.89</v>
      </c>
      <c r="I32" s="109">
        <v>45872.0</v>
      </c>
      <c r="J32" s="93"/>
      <c r="K32" s="10" t="s">
        <v>192</v>
      </c>
      <c r="N32" s="10" t="s">
        <v>193</v>
      </c>
      <c r="Q32" s="128" t="s">
        <v>131</v>
      </c>
      <c r="R32" s="128" t="s">
        <v>190</v>
      </c>
    </row>
    <row r="33">
      <c r="A33" s="3" t="s">
        <v>194</v>
      </c>
      <c r="B33" s="129"/>
      <c r="C33" s="129">
        <f> 1479</f>
        <v>1479</v>
      </c>
      <c r="D33" s="130" t="s">
        <v>149</v>
      </c>
      <c r="E33" s="131">
        <f>D31-C36
</f>
        <v>616.2297483</v>
      </c>
      <c r="F33" s="120"/>
      <c r="G33" s="21" t="s">
        <v>286</v>
      </c>
      <c r="H33" s="94">
        <v>1.99</v>
      </c>
      <c r="I33" s="109">
        <v>45872.0</v>
      </c>
      <c r="J33" s="93"/>
      <c r="K33" s="132" t="s">
        <v>196</v>
      </c>
      <c r="L33" s="10" t="s">
        <v>197</v>
      </c>
      <c r="Q33" s="128" t="s">
        <v>132</v>
      </c>
      <c r="R33" s="128" t="s">
        <v>190</v>
      </c>
    </row>
    <row r="34">
      <c r="A34" s="3" t="s">
        <v>198</v>
      </c>
      <c r="B34" s="129">
        <v>160.46</v>
      </c>
      <c r="C34" s="133"/>
      <c r="D34" s="130" t="s">
        <v>96</v>
      </c>
      <c r="E34" s="44">
        <f>IFERROR(__xludf.DUMMYFUNCTION("E33*GOOGLEFINANCE(""CURRENCY:CADUSD"")"),444.96496007405915)</f>
        <v>444.9649601</v>
      </c>
      <c r="F34" s="134"/>
      <c r="G34" s="21" t="s">
        <v>287</v>
      </c>
      <c r="H34" s="94">
        <v>6.0</v>
      </c>
      <c r="I34" s="161">
        <v>45872.0</v>
      </c>
      <c r="J34" s="93" t="s">
        <v>288</v>
      </c>
      <c r="K34" s="132" t="s">
        <v>200</v>
      </c>
      <c r="L34" s="10" t="s">
        <v>197</v>
      </c>
      <c r="N34" s="10" t="s">
        <v>125</v>
      </c>
      <c r="O34" s="10" t="s">
        <v>289</v>
      </c>
      <c r="Q34" s="128" t="s">
        <v>126</v>
      </c>
      <c r="R34" s="128" t="s">
        <v>201</v>
      </c>
    </row>
    <row r="35">
      <c r="A35" s="3" t="s">
        <v>52</v>
      </c>
      <c r="B35" s="80">
        <f>B33+B34</f>
        <v>160.46</v>
      </c>
      <c r="C35" s="133">
        <f>IFERROR(__xludf.DUMMYFUNCTION("B35*GOOGLEFINANCE(""CURRENCY:USDCAD"")"),222.2202517)</f>
        <v>222.2202517</v>
      </c>
      <c r="E35" s="135"/>
      <c r="F35" s="136"/>
      <c r="G35" s="21" t="s">
        <v>150</v>
      </c>
      <c r="H35" s="94">
        <v>7.69</v>
      </c>
      <c r="I35" s="109">
        <v>45873.0</v>
      </c>
      <c r="J35" s="93"/>
      <c r="K35" s="132"/>
      <c r="N35" s="10" t="s">
        <v>290</v>
      </c>
      <c r="Q35" s="128" t="s">
        <v>127</v>
      </c>
      <c r="R35" s="128" t="s">
        <v>201</v>
      </c>
    </row>
    <row r="36">
      <c r="C36" s="26">
        <f>C35+C33</f>
        <v>1701.220252</v>
      </c>
      <c r="F36" s="120"/>
      <c r="G36" s="10" t="s">
        <v>139</v>
      </c>
      <c r="H36" s="10">
        <v>6.08</v>
      </c>
      <c r="I36" s="62">
        <v>45873.0</v>
      </c>
      <c r="N36" s="10" t="s">
        <v>291</v>
      </c>
      <c r="Q36" s="128" t="s">
        <v>128</v>
      </c>
      <c r="R36" s="128" t="s">
        <v>203</v>
      </c>
    </row>
    <row r="37">
      <c r="A37" s="138" t="s">
        <v>292</v>
      </c>
      <c r="F37" s="120"/>
      <c r="G37" s="10" t="s">
        <v>150</v>
      </c>
      <c r="H37" s="10">
        <v>2.17</v>
      </c>
      <c r="I37" s="62">
        <v>45874.0</v>
      </c>
      <c r="J37" s="93"/>
      <c r="K37" s="163" t="s">
        <v>293</v>
      </c>
      <c r="N37" s="10" t="s">
        <v>294</v>
      </c>
      <c r="Q37" s="128" t="s">
        <v>129</v>
      </c>
      <c r="R37" s="128" t="s">
        <v>203</v>
      </c>
    </row>
    <row r="38">
      <c r="A38" s="146" t="s">
        <v>295</v>
      </c>
      <c r="C38" s="10" t="s">
        <v>296</v>
      </c>
      <c r="E38" s="10"/>
      <c r="F38" s="136"/>
      <c r="G38" s="10" t="s">
        <v>257</v>
      </c>
      <c r="H38" s="10">
        <v>35.92</v>
      </c>
      <c r="I38" s="62">
        <v>45874.0</v>
      </c>
      <c r="J38" s="93"/>
      <c r="K38" s="135"/>
      <c r="Q38" s="142" t="s">
        <v>209</v>
      </c>
    </row>
    <row r="39">
      <c r="A39" s="146" t="s">
        <v>297</v>
      </c>
      <c r="C39" s="10" t="s">
        <v>298</v>
      </c>
      <c r="E39" s="10"/>
      <c r="F39" s="120"/>
      <c r="G39" s="10" t="s">
        <v>27</v>
      </c>
      <c r="H39" s="10">
        <v>15.0</v>
      </c>
      <c r="I39" s="62">
        <v>45874.0</v>
      </c>
      <c r="J39" s="93" t="s">
        <v>299</v>
      </c>
      <c r="K39" s="132"/>
      <c r="Q39" s="145" t="s">
        <v>212</v>
      </c>
    </row>
    <row r="40">
      <c r="A40" s="146" t="s">
        <v>300</v>
      </c>
      <c r="E40" s="10"/>
      <c r="G40" s="10" t="s">
        <v>150</v>
      </c>
      <c r="H40" s="10">
        <v>2.29</v>
      </c>
      <c r="I40" s="147">
        <v>45875.0</v>
      </c>
      <c r="J40" s="93"/>
      <c r="K40" s="132"/>
      <c r="Q40" s="145" t="s">
        <v>214</v>
      </c>
    </row>
    <row r="41">
      <c r="A41" s="146" t="s">
        <v>301</v>
      </c>
      <c r="E41" s="10"/>
      <c r="G41" s="10" t="s">
        <v>302</v>
      </c>
      <c r="H41" s="10">
        <v>57.39</v>
      </c>
      <c r="I41" s="62">
        <v>45875.0</v>
      </c>
      <c r="J41" s="93"/>
      <c r="K41" s="132"/>
      <c r="Q41" s="145" t="s">
        <v>216</v>
      </c>
    </row>
    <row r="42">
      <c r="G42" s="21" t="s">
        <v>259</v>
      </c>
      <c r="H42" s="94">
        <v>9.04</v>
      </c>
      <c r="I42" s="151">
        <v>45875.0</v>
      </c>
      <c r="Q42" s="145" t="s">
        <v>218</v>
      </c>
    </row>
    <row r="43">
      <c r="G43" s="10" t="s">
        <v>150</v>
      </c>
      <c r="H43" s="94">
        <v>2.17</v>
      </c>
      <c r="I43" s="151">
        <v>45876.0</v>
      </c>
      <c r="Q43" s="145" t="s">
        <v>219</v>
      </c>
    </row>
    <row r="44">
      <c r="G44" s="10" t="s">
        <v>303</v>
      </c>
      <c r="H44" s="10">
        <v>45.2</v>
      </c>
      <c r="I44" s="151">
        <v>45876.0</v>
      </c>
      <c r="J44" s="10" t="s">
        <v>304</v>
      </c>
      <c r="Q44" s="145" t="s">
        <v>221</v>
      </c>
    </row>
    <row r="45">
      <c r="G45" s="10" t="s">
        <v>150</v>
      </c>
      <c r="H45" s="10">
        <v>2.17</v>
      </c>
      <c r="I45" s="62">
        <v>45877.0</v>
      </c>
      <c r="Q45" s="145" t="s">
        <v>223</v>
      </c>
    </row>
    <row r="46">
      <c r="G46" s="10" t="s">
        <v>305</v>
      </c>
      <c r="H46" s="10">
        <v>2.4</v>
      </c>
      <c r="I46" s="62">
        <v>45877.0</v>
      </c>
    </row>
    <row r="47">
      <c r="G47" s="10" t="s">
        <v>306</v>
      </c>
      <c r="H47" s="10">
        <v>7.0</v>
      </c>
      <c r="I47" s="62">
        <v>45877.0</v>
      </c>
    </row>
    <row r="48">
      <c r="G48" s="10" t="s">
        <v>307</v>
      </c>
      <c r="H48" s="10">
        <v>8.91</v>
      </c>
      <c r="I48" s="62">
        <v>45877.0</v>
      </c>
    </row>
    <row r="49">
      <c r="G49" s="10" t="s">
        <v>308</v>
      </c>
      <c r="H49" s="10">
        <v>12.0</v>
      </c>
      <c r="I49" s="62">
        <v>45877.0</v>
      </c>
    </row>
    <row r="50">
      <c r="G50" s="10" t="s">
        <v>150</v>
      </c>
      <c r="H50" s="10">
        <v>4.68</v>
      </c>
      <c r="I50" s="62">
        <v>45878.0</v>
      </c>
    </row>
    <row r="51">
      <c r="G51" s="10" t="s">
        <v>254</v>
      </c>
      <c r="H51" s="10">
        <v>11.79</v>
      </c>
      <c r="I51" s="62">
        <v>45878.0</v>
      </c>
    </row>
    <row r="52">
      <c r="G52" s="10" t="s">
        <v>155</v>
      </c>
      <c r="H52" s="10">
        <v>10.08</v>
      </c>
      <c r="I52" s="62">
        <v>45879.0</v>
      </c>
    </row>
    <row r="53">
      <c r="G53" s="10" t="s">
        <v>150</v>
      </c>
      <c r="H53" s="10">
        <v>1.77</v>
      </c>
      <c r="I53" s="62">
        <v>45879.0</v>
      </c>
    </row>
    <row r="54">
      <c r="G54" s="10" t="s">
        <v>309</v>
      </c>
      <c r="H54" s="10">
        <v>4.19</v>
      </c>
      <c r="I54" s="147">
        <v>45880.0</v>
      </c>
    </row>
    <row r="55">
      <c r="G55" s="10" t="s">
        <v>150</v>
      </c>
      <c r="H55" s="10">
        <v>2.1</v>
      </c>
      <c r="I55" s="62">
        <v>45881.0</v>
      </c>
    </row>
    <row r="56">
      <c r="G56" s="10" t="s">
        <v>150</v>
      </c>
      <c r="H56" s="10">
        <v>2.17</v>
      </c>
      <c r="I56" s="121">
        <v>45881.0</v>
      </c>
    </row>
    <row r="57">
      <c r="G57" s="10" t="s">
        <v>139</v>
      </c>
      <c r="H57" s="10">
        <v>3.5</v>
      </c>
      <c r="I57" s="121">
        <v>45881.0</v>
      </c>
    </row>
    <row r="58">
      <c r="G58" s="10" t="s">
        <v>310</v>
      </c>
      <c r="H58" s="10">
        <v>17.8</v>
      </c>
      <c r="I58" s="121">
        <v>45881.0</v>
      </c>
    </row>
    <row r="59">
      <c r="G59" s="10" t="s">
        <v>150</v>
      </c>
      <c r="H59" s="10">
        <v>4.68</v>
      </c>
      <c r="I59" s="121">
        <v>45882.0</v>
      </c>
    </row>
    <row r="60">
      <c r="G60" s="10" t="s">
        <v>150</v>
      </c>
      <c r="H60" s="10">
        <v>3.98</v>
      </c>
      <c r="I60" s="121">
        <v>45882.0</v>
      </c>
    </row>
    <row r="61">
      <c r="G61" s="10" t="s">
        <v>150</v>
      </c>
      <c r="H61" s="10">
        <v>2.17</v>
      </c>
      <c r="I61" s="121">
        <v>45883.0</v>
      </c>
    </row>
    <row r="62">
      <c r="I62" s="121"/>
    </row>
    <row r="63">
      <c r="I63" s="121"/>
    </row>
    <row r="64">
      <c r="I64" s="121"/>
    </row>
    <row r="65">
      <c r="I65" s="121"/>
    </row>
  </sheetData>
  <conditionalFormatting sqref="I1">
    <cfRule type="notContainsBlanks" dxfId="2" priority="1">
      <formula>LEN(TRIM(I1))&gt;0</formula>
    </cfRule>
  </conditionalFormatting>
  <conditionalFormatting sqref="A9:N15">
    <cfRule type="cellIs" dxfId="3" priority="2" operator="equal">
      <formula>"TIMS"</formula>
    </cfRule>
  </conditionalFormatting>
  <conditionalFormatting sqref="A9:N15">
    <cfRule type="cellIs" dxfId="4" priority="3" operator="equal">
      <formula>"Dispo"</formula>
    </cfRule>
  </conditionalFormatting>
  <conditionalFormatting sqref="A9:N15">
    <cfRule type="cellIs" dxfId="1" priority="4" operator="equal">
      <formula>"Gas"</formula>
    </cfRule>
  </conditionalFormatting>
  <conditionalFormatting sqref="G18:G29 A26 A30 G31 G33:G56 G59:G60">
    <cfRule type="cellIs" dxfId="3" priority="5" operator="equal">
      <formula>"TIMS"</formula>
    </cfRule>
  </conditionalFormatting>
  <conditionalFormatting sqref="G18:G29 A26 A30 G31 G33:G56 G59:G60">
    <cfRule type="cellIs" dxfId="4" priority="6" operator="equal">
      <formula>"Dispo"</formula>
    </cfRule>
  </conditionalFormatting>
  <conditionalFormatting sqref="G18:G29 A26 A30 G31 G33:G56 G59:G60">
    <cfRule type="cellIs" dxfId="5" priority="7" operator="equal">
      <formula>"McDonalds"</formula>
    </cfRule>
  </conditionalFormatting>
  <conditionalFormatting sqref="H18:H26 B26 B28 H28:H29 B30 H31 H33:H42 H44:H60">
    <cfRule type="cellIs" dxfId="1" priority="8" operator="greaterThan">
      <formula>60</formula>
    </cfRule>
  </conditionalFormatting>
  <conditionalFormatting sqref="H18:H26 B26 B28 H28:H29 B30 H31 H33:H42 H44:H60">
    <cfRule type="cellIs" dxfId="6" priority="9" operator="between">
      <formula>30</formula>
      <formula>60</formula>
    </cfRule>
  </conditionalFormatting>
  <conditionalFormatting sqref="I5">
    <cfRule type="cellIs" dxfId="0" priority="10" operator="greaterThan">
      <formula>0</formula>
    </cfRule>
  </conditionalFormatting>
  <conditionalFormatting sqref="I5">
    <cfRule type="cellIs" dxfId="1" priority="11" operator="lessThanOrEqual">
      <formula>0</formula>
    </cfRule>
  </conditionalFormatting>
  <conditionalFormatting sqref="K16">
    <cfRule type="notContainsBlanks" dxfId="2" priority="12">
      <formula>LEN(TRIM(K16))&gt;0</formula>
    </cfRule>
  </conditionalFormatting>
  <hyperlinks>
    <hyperlink r:id="rId1" ref="O18"/>
    <hyperlink r:id="rId2" ref="A31"/>
    <hyperlink r:id="rId3" ref="K37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>
        <v>1000.0</v>
      </c>
      <c r="B1" s="13"/>
      <c r="C1" s="1"/>
      <c r="E1" s="54" t="s">
        <v>114</v>
      </c>
      <c r="F1" s="55">
        <f>TODAY()
</f>
        <v>45905</v>
      </c>
      <c r="H1" s="56" t="s">
        <v>115</v>
      </c>
      <c r="I1" s="32">
        <f>SUM(IFERROR(16:16, 0))
</f>
        <v>1342.65</v>
      </c>
      <c r="K1" s="57" t="s">
        <v>265</v>
      </c>
      <c r="L1" s="58"/>
      <c r="M1" s="57" t="s">
        <v>266</v>
      </c>
      <c r="O1" s="7" t="s">
        <v>116</v>
      </c>
      <c r="P1" s="59" t="s">
        <v>117</v>
      </c>
    </row>
    <row r="2">
      <c r="E2" s="10" t="s">
        <v>118</v>
      </c>
      <c r="F2" s="60">
        <v>45869.0</v>
      </c>
      <c r="H2" s="56" t="s">
        <v>119</v>
      </c>
      <c r="I2" s="61">
        <f>500 + H31</f>
        <v>1158.2</v>
      </c>
      <c r="K2" s="10" t="s">
        <v>173</v>
      </c>
      <c r="L2" s="10">
        <v>40.0</v>
      </c>
      <c r="M2" s="10" t="s">
        <v>267</v>
      </c>
    </row>
    <row r="3">
      <c r="C3" s="62"/>
      <c r="E3" s="10" t="s">
        <v>120</v>
      </c>
      <c r="F3" s="26">
        <f>F2-F1+1
</f>
        <v>-35</v>
      </c>
      <c r="H3" s="24" t="s">
        <v>80</v>
      </c>
      <c r="I3" s="56">
        <f>I2-I1
</f>
        <v>-184.45</v>
      </c>
      <c r="K3" s="10" t="s">
        <v>268</v>
      </c>
      <c r="L3" s="10" t="s">
        <v>269</v>
      </c>
      <c r="M3" s="10" t="s">
        <v>270</v>
      </c>
      <c r="O3" s="10" t="s">
        <v>121</v>
      </c>
      <c r="P3" s="10" t="s">
        <v>311</v>
      </c>
      <c r="Q3" s="26">
        <f>I1-H31
</f>
        <v>684.45</v>
      </c>
      <c r="R3" s="10" t="s">
        <v>122</v>
      </c>
    </row>
    <row r="4">
      <c r="C4" s="62"/>
      <c r="E4" s="10" t="s">
        <v>49</v>
      </c>
      <c r="F4" s="26">
        <f>I2-I1
</f>
        <v>-184.45</v>
      </c>
      <c r="H4" s="63"/>
      <c r="I4" s="63"/>
      <c r="K4" s="10" t="s">
        <v>27</v>
      </c>
      <c r="L4" s="10" t="s">
        <v>271</v>
      </c>
    </row>
    <row r="5">
      <c r="C5" s="62"/>
      <c r="E5" s="10" t="s">
        <v>122</v>
      </c>
      <c r="H5" s="64" t="s">
        <v>123</v>
      </c>
      <c r="I5" s="64">
        <f>I3/F3
</f>
        <v>5.27</v>
      </c>
    </row>
    <row r="6">
      <c r="C6" s="62"/>
      <c r="K6" s="65"/>
      <c r="R6" s="66"/>
    </row>
    <row r="7">
      <c r="A7" s="1"/>
      <c r="B7" s="69"/>
      <c r="C7" s="164"/>
      <c r="D7" s="160"/>
      <c r="E7" s="44"/>
      <c r="G7" s="164"/>
      <c r="H7" s="69"/>
      <c r="I7" s="44"/>
      <c r="J7" s="160"/>
      <c r="L7" s="10" t="s">
        <v>312</v>
      </c>
      <c r="M7" s="10" t="s">
        <v>312</v>
      </c>
      <c r="N7" s="10" t="s">
        <v>312</v>
      </c>
      <c r="P7" s="10" t="s">
        <v>313</v>
      </c>
    </row>
    <row r="8">
      <c r="A8" s="72">
        <v>45856.0</v>
      </c>
      <c r="B8" s="72">
        <v>45857.0</v>
      </c>
      <c r="C8" s="73">
        <v>45858.0</v>
      </c>
      <c r="D8" s="72">
        <v>45859.0</v>
      </c>
      <c r="E8" s="72">
        <v>45860.0</v>
      </c>
      <c r="F8" s="72">
        <v>45861.0</v>
      </c>
      <c r="G8" s="72">
        <v>45862.0</v>
      </c>
      <c r="H8" s="72">
        <v>45863.0</v>
      </c>
      <c r="I8" s="72">
        <v>45864.0</v>
      </c>
      <c r="J8" s="72">
        <v>45865.0</v>
      </c>
      <c r="K8" s="72">
        <v>45866.0</v>
      </c>
      <c r="L8" s="72">
        <v>45867.0</v>
      </c>
      <c r="M8" s="72">
        <v>45868.0</v>
      </c>
      <c r="N8" s="72">
        <v>45869.0</v>
      </c>
      <c r="O8" s="74"/>
      <c r="P8" s="10" t="s">
        <v>125</v>
      </c>
      <c r="Q8" s="75"/>
      <c r="R8" s="10" t="s">
        <v>47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  <c r="O9" s="53"/>
      <c r="P9" s="10" t="s">
        <v>133</v>
      </c>
    </row>
    <row r="10">
      <c r="A10" s="26" t="str">
        <f>IFERROR(__xludf.DUMMYFUNCTION("FILTER(G17:G52, I17:I52=A8)
"),"TIMS")</f>
        <v>TIMS</v>
      </c>
      <c r="B10" s="10" t="str">
        <f>IFERROR(__xludf.DUMMYFUNCTION("FILTER(G17:G52, I17:I52=B8)
"),"TIMS")</f>
        <v>TIMS</v>
      </c>
      <c r="C10" s="10" t="str">
        <f>IFERROR(__xludf.DUMMYFUNCTION("FILTER(G17:G52, I17:I52=C8)
"),"Marshalls")</f>
        <v>Marshalls</v>
      </c>
      <c r="D10" s="26" t="str">
        <f>IFERROR(__xludf.DUMMYFUNCTION("FILTER(G17:G52, I17:I52=D8)
"),"#N/A")</f>
        <v>#N/A</v>
      </c>
      <c r="E10" s="26" t="str">
        <f>IFERROR(__xludf.DUMMYFUNCTION("FILTER(G17:G52, I17:I52=E8)
"),"TIMS")</f>
        <v>TIMS</v>
      </c>
      <c r="F10" s="26" t="str">
        <f>IFERROR(__xludf.DUMMYFUNCTION("FILTER(G17:G52, I17:I52=F8)
"),"TIMS")</f>
        <v>TIMS</v>
      </c>
      <c r="G10" s="53" t="str">
        <f>IFERROR(__xludf.DUMMYFUNCTION("FILTER(G17:G52, I17:I52=G8)
"),"Comfort Inn")</f>
        <v>Comfort Inn</v>
      </c>
      <c r="H10" s="26" t="str">
        <f>IFERROR(__xludf.DUMMYFUNCTION("FILTER(G17:G52, I17:I52=H8)
"),"TIMS")</f>
        <v>TIMS</v>
      </c>
      <c r="I10" s="10" t="str">
        <f>IFERROR(__xludf.DUMMYFUNCTION("FILTER(G16:G51, I16:I51=I8)
"),"McDonalds")</f>
        <v>McDonalds</v>
      </c>
      <c r="J10" s="26" t="str">
        <f>IFERROR(__xludf.DUMMYFUNCTION("FILTER(G15:G50, I15:I50=J8)
"),"TIMS")</f>
        <v>TIMS</v>
      </c>
      <c r="K10" s="26" t="str">
        <f>IFERROR(__xludf.DUMMYFUNCTION("FILTER(G15:G50, I15:I50=K8)
"),"Dispo")</f>
        <v>Dispo</v>
      </c>
      <c r="L10" s="26" t="str">
        <f>IFERROR(__xludf.DUMMYFUNCTION("FILTER(G15:G65, I15:I65=L8)
"),"A&amp;W")</f>
        <v>A&amp;W</v>
      </c>
      <c r="M10" s="10" t="str">
        <f>IFERROR(__xludf.DUMMYFUNCTION("FILTER(G15:G65, I15:I65=M8)
"),"TIMS")</f>
        <v>TIMS</v>
      </c>
      <c r="N10" s="26" t="str">
        <f>IFERROR(__xludf.DUMMYFUNCTION("FILTER(G15:G65, I15:I65=N8)
"),"3 Amigos")</f>
        <v>3 Amigos</v>
      </c>
      <c r="P10" s="10" t="s">
        <v>134</v>
      </c>
    </row>
    <row r="11">
      <c r="A11" s="26" t="str">
        <f>IFERROR(__xludf.DUMMYFUNCTION("""COMPUTED_VALUE"""),"TIMS")</f>
        <v>TIMS</v>
      </c>
      <c r="B11" s="26" t="str">
        <f>IFERROR(__xludf.DUMMYFUNCTION("""COMPUTED_VALUE"""),"Value Village")</f>
        <v>Value Village</v>
      </c>
      <c r="C11" s="26" t="str">
        <f>IFERROR(__xludf.DUMMYFUNCTION("""COMPUTED_VALUE"""),"Dispo")</f>
        <v>Dispo</v>
      </c>
      <c r="E11" s="26" t="str">
        <f>IFERROR(__xludf.DUMMYFUNCTION("""COMPUTED_VALUE"""),"Cafe")</f>
        <v>Cafe</v>
      </c>
      <c r="F11" s="26" t="str">
        <f>IFERROR(__xludf.DUMMYFUNCTION("""COMPUTED_VALUE"""),"Shoppers")</f>
        <v>Shoppers</v>
      </c>
      <c r="G11" s="26" t="str">
        <f>IFERROR(__xludf.DUMMYFUNCTION("""COMPUTED_VALUE"""),"McDonalds")</f>
        <v>McDonalds</v>
      </c>
      <c r="H11" s="26" t="str">
        <f>IFERROR(__xludf.DUMMYFUNCTION("""COMPUTED_VALUE"""),"Flowewrs")</f>
        <v>Flowewrs</v>
      </c>
      <c r="K11" s="26" t="str">
        <f>IFERROR(__xludf.DUMMYFUNCTION("""COMPUTED_VALUE"""),"Cafe")</f>
        <v>Cafe</v>
      </c>
      <c r="L11" s="26" t="str">
        <f>IFERROR(__xludf.DUMMYFUNCTION("""COMPUTED_VALUE"""),"Citadin")</f>
        <v>Citadin</v>
      </c>
      <c r="M11" s="26" t="str">
        <f>IFERROR(__xludf.DUMMYFUNCTION("""COMPUTED_VALUE"""),"McDonalds")</f>
        <v>McDonalds</v>
      </c>
      <c r="N11" s="26" t="str">
        <f>IFERROR(__xludf.DUMMYFUNCTION("""COMPUTED_VALUE"""),"Le Magasin")</f>
        <v>Le Magasin</v>
      </c>
    </row>
    <row r="12">
      <c r="A12" s="26" t="str">
        <f>IFERROR(__xludf.DUMMYFUNCTION("""COMPUTED_VALUE"""),"Chucks")</f>
        <v>Chucks</v>
      </c>
      <c r="B12" s="26" t="str">
        <f>IFERROR(__xludf.DUMMYFUNCTION("""COMPUTED_VALUE"""),"Taco Bell")</f>
        <v>Taco Bell</v>
      </c>
      <c r="F12" s="26" t="str">
        <f>IFERROR(__xludf.DUMMYFUNCTION("""COMPUTED_VALUE"""),"Kona")</f>
        <v>Kona</v>
      </c>
      <c r="G12" s="26" t="str">
        <f>IFERROR(__xludf.DUMMYFUNCTION("""COMPUTED_VALUE"""),"Gas")</f>
        <v>Gas</v>
      </c>
      <c r="H12" s="26" t="str">
        <f>IFERROR(__xludf.DUMMYFUNCTION("""COMPUTED_VALUE"""),"Cafe")</f>
        <v>Cafe</v>
      </c>
      <c r="K12" s="26" t="str">
        <f>IFERROR(__xludf.DUMMYFUNCTION("""COMPUTED_VALUE"""),"TIMS")</f>
        <v>TIMS</v>
      </c>
      <c r="L12" s="26" t="str">
        <f>IFERROR(__xludf.DUMMYFUNCTION("""COMPUTED_VALUE"""),"RedTag Port")</f>
        <v>RedTag Port</v>
      </c>
      <c r="M12" s="26" t="str">
        <f>IFERROR(__xludf.DUMMYFUNCTION("""COMPUTED_VALUE"""),"STM Longeuil")</f>
        <v>STM Longeuil</v>
      </c>
    </row>
    <row r="13">
      <c r="A13" s="77"/>
      <c r="B13" s="77"/>
      <c r="M13" s="26" t="str">
        <f>IFERROR(__xludf.DUMMYFUNCTION("""COMPUTED_VALUE"""),"TIKI MING")</f>
        <v>TIKI MING</v>
      </c>
    </row>
    <row r="14">
      <c r="A14" s="77"/>
      <c r="B14" s="77"/>
      <c r="K14" s="10" t="s">
        <v>122</v>
      </c>
      <c r="M14" s="26" t="str">
        <f>IFERROR(__xludf.DUMMYFUNCTION("""COMPUTED_VALUE"""),"PPL - GILLES")</f>
        <v>PPL - GILLES</v>
      </c>
    </row>
    <row r="15">
      <c r="A15" s="78"/>
      <c r="B15" s="78"/>
      <c r="M15" s="26" t="str">
        <f>IFERROR(__xludf.DUMMYFUNCTION("""COMPUTED_VALUE"""),"La Banquise")</f>
        <v>La Banquise</v>
      </c>
    </row>
    <row r="16">
      <c r="A16" s="56">
        <f>IFERROR(__xludf.DUMMYFUNCTION("SUM(FILTER(H17:H52, I17:I52=A8))
"),37.540000000000006)</f>
        <v>37.54</v>
      </c>
      <c r="B16" s="56">
        <f>IFERROR(__xludf.DUMMYFUNCTION("SUM(FILTER(H17:H52, I17:I52=B8))
"),47.29)</f>
        <v>47.29</v>
      </c>
      <c r="C16" s="56">
        <f>IFERROR(__xludf.DUMMYFUNCTION("SUM(FILTER(H17:H52, I17:I52=C8))
"),76.62)</f>
        <v>76.62</v>
      </c>
      <c r="D16" s="56" t="str">
        <f>IFERROR(__xludf.DUMMYFUNCTION("SUM(FILTER(H17:H52, I17:I52=D8))
"),"#N/A")</f>
        <v>#N/A</v>
      </c>
      <c r="E16" s="56">
        <f>IFERROR(__xludf.DUMMYFUNCTION("SUM(FILTER(H17:H52, I17:I52=E8))
"),3.92)</f>
        <v>3.92</v>
      </c>
      <c r="F16" s="56">
        <f>IFERROR(__xludf.DUMMYFUNCTION("SUM(FILTER(H17:H52, I17:I52=F8))
"),28.150000000000002)</f>
        <v>28.15</v>
      </c>
      <c r="G16" s="56">
        <f>IFERROR(__xludf.DUMMYFUNCTION("SUM(FILTER(H17:H52, I17:I52=G8))
"),717.89)</f>
        <v>717.89</v>
      </c>
      <c r="H16" s="56">
        <f>IFERROR(__xludf.DUMMYFUNCTION("SUM(FILTER(H17:H52, I17:I52=H8))
"),36.43)</f>
        <v>36.43</v>
      </c>
      <c r="I16" s="56">
        <f>IFERROR(__xludf.DUMMYFUNCTION("SUM(FILTER(H17:H52, I17:I52=I8))
"),4.47)</f>
        <v>4.47</v>
      </c>
      <c r="J16" s="56">
        <f>IFERROR(__xludf.DUMMYFUNCTION("SUM(FILTER(H17:H52, I17:I52=J8))
"),2.29)</f>
        <v>2.29</v>
      </c>
      <c r="K16" s="56">
        <f>IFERROR(__xludf.DUMMYFUNCTION("SUM(FILTER(H17:H52, I17:I52=K8))
"),104.35000000000001)</f>
        <v>104.35</v>
      </c>
      <c r="L16" s="56">
        <f>IFERROR(__xludf.DUMMYFUNCTION("SUM(FILTER(H17:H52, I17:I52=L8))
"),69.94)</f>
        <v>69.94</v>
      </c>
      <c r="M16" s="56">
        <f>IFERROR(__xludf.DUMMYFUNCTION("SUM(FILTER(H17:H62, I17:I62=M8))
"),146.83)</f>
        <v>146.83</v>
      </c>
      <c r="N16" s="35">
        <f>IFERROR(__xludf.DUMMYFUNCTION("SUM(FILTER(H17:H62, I17:I62=N8))
"),66.93)</f>
        <v>66.93</v>
      </c>
      <c r="O16" s="10" t="s">
        <v>314</v>
      </c>
    </row>
    <row r="17">
      <c r="A17" s="10"/>
      <c r="E17" s="79" t="s">
        <v>135</v>
      </c>
      <c r="F17" s="80">
        <f>COUNTIF(G18:G1002, "TIMS")+COUNTIF(G18:G1002, "Casa Miro")+COUNTIF(G18:G1002, "Toto")+COUNTIF(G18:G1002, "Coffee Exchange")+COUNTIF(G18:G1002, "Ciao Caffe")
</f>
        <v>9</v>
      </c>
      <c r="G17" s="81"/>
      <c r="H17" s="81"/>
      <c r="I17" s="82"/>
      <c r="J17" s="83" t="s">
        <v>136</v>
      </c>
      <c r="K17" s="84"/>
      <c r="L17" s="84"/>
      <c r="M17" s="84"/>
      <c r="N17" s="84"/>
    </row>
    <row r="18">
      <c r="A18" s="85" t="s">
        <v>137</v>
      </c>
      <c r="B18" s="86"/>
      <c r="C18" s="86"/>
      <c r="E18" s="87" t="s">
        <v>138</v>
      </c>
      <c r="F18" s="88">
        <f>SUMIF(G18:G50, "Dispo", H18:H50)+SUMIF(G18:G50, "c cabana", H18:H50)</f>
        <v>128.5</v>
      </c>
      <c r="G18" s="10" t="s">
        <v>150</v>
      </c>
      <c r="H18" s="10">
        <v>2.28</v>
      </c>
      <c r="I18" s="62">
        <v>45856.0</v>
      </c>
      <c r="J18" s="89"/>
      <c r="K18" s="90"/>
      <c r="L18" s="19" t="s">
        <v>140</v>
      </c>
      <c r="M18" s="19"/>
      <c r="N18" s="19" t="s">
        <v>141</v>
      </c>
      <c r="O18" s="162" t="s">
        <v>187</v>
      </c>
      <c r="P18" s="10" t="s">
        <v>142</v>
      </c>
      <c r="Q18" s="10" t="s">
        <v>143</v>
      </c>
      <c r="R18" s="10">
        <v>2000.0</v>
      </c>
    </row>
    <row r="19">
      <c r="A19" s="85" t="s">
        <v>144</v>
      </c>
      <c r="B19" s="86"/>
      <c r="C19" s="86"/>
      <c r="E19" s="92" t="s">
        <v>145</v>
      </c>
      <c r="F19" s="92">
        <f>SUMIF(G18:G50, "Republik", H18:H50)+SUMIF(G18:G50, "Stacked", H18:H50)+SUMIF(G18:G50, "Halibut House", H18:H50)+SUMIF(G18:G50, "Keg", H18:H50)+SUMIF(G18:G50, "Ramen", H18:H50)+SUMIF(G18:G50, "Pizza", H18:H50) +SUMIF(G18:G50, "A&amp;W", H18:H50) + SUMIF(G18:G50, "Chucks", H18:H50) + SUMIF(G18:G50, "Cookie Bar", H18:H50) + SUMIF(G18:G50, "Burger King", H18:H50) + SUMIF(G18:G50, "Pho", H18:H50)+SUMIF(G18:G50, "Wendys", H18:H50)+SUMIF(G18:G50, "Hot Tacos", H18:H50)+SUMIF(G18:G50, "Popeyes", H18:H50)+SUMIF(G18:G50, "Chucks", H18:H50)</f>
        <v>70.8</v>
      </c>
      <c r="G19" s="10" t="s">
        <v>150</v>
      </c>
      <c r="H19" s="10">
        <v>2.17</v>
      </c>
      <c r="I19" s="62">
        <v>45856.0</v>
      </c>
      <c r="J19" s="93"/>
      <c r="K19" s="90"/>
      <c r="L19" s="21" t="s">
        <v>147</v>
      </c>
      <c r="M19" s="94">
        <v>40.0</v>
      </c>
      <c r="N19" s="19"/>
      <c r="O19" s="10" t="s">
        <v>148</v>
      </c>
      <c r="P19" s="10" t="s">
        <v>96</v>
      </c>
      <c r="Q19" s="10" t="s">
        <v>149</v>
      </c>
    </row>
    <row r="20">
      <c r="E20" s="54" t="s">
        <v>27</v>
      </c>
      <c r="F20" s="95">
        <f>SUMIF(G18:G60, "Gas", H18:H60)</f>
        <v>58.02</v>
      </c>
      <c r="G20" s="10" t="s">
        <v>315</v>
      </c>
      <c r="H20" s="10">
        <v>33.09</v>
      </c>
      <c r="I20" s="121">
        <v>45856.0</v>
      </c>
      <c r="J20" s="93"/>
      <c r="K20" s="96"/>
      <c r="L20" s="19" t="s">
        <v>151</v>
      </c>
      <c r="M20" s="97">
        <v>120.0</v>
      </c>
      <c r="N20" s="19" t="s">
        <v>152</v>
      </c>
      <c r="P20" s="10">
        <v>732.0</v>
      </c>
      <c r="Q20" s="10">
        <v>997.45</v>
      </c>
      <c r="R20" s="26">
        <f>R18-Q20
</f>
        <v>1002.55</v>
      </c>
    </row>
    <row r="21">
      <c r="A21" s="85" t="s">
        <v>153</v>
      </c>
      <c r="B21" s="85" t="s">
        <v>154</v>
      </c>
      <c r="C21" s="86"/>
      <c r="E21" s="85" t="s">
        <v>155</v>
      </c>
      <c r="F21" s="86">
        <f>SUMIF(G18:G50, "McDonalds", H18:H50) </f>
        <v>7.19</v>
      </c>
      <c r="G21" s="10" t="s">
        <v>150</v>
      </c>
      <c r="H21" s="10">
        <v>3.85</v>
      </c>
      <c r="I21" s="121">
        <v>45857.0</v>
      </c>
      <c r="J21" s="93"/>
      <c r="K21" s="90"/>
      <c r="L21" s="98" t="s">
        <v>157</v>
      </c>
      <c r="M21" s="94">
        <v>1000.0</v>
      </c>
      <c r="N21" s="19"/>
    </row>
    <row r="22">
      <c r="A22" s="85" t="s">
        <v>158</v>
      </c>
      <c r="B22" s="85" t="s">
        <v>159</v>
      </c>
      <c r="C22" s="86"/>
      <c r="E22" s="10" t="s">
        <v>160</v>
      </c>
      <c r="F22" s="10">
        <f>SUMIF(G18:G50, "Urbn Planet", H18:H50)+SUMIF(G18:G50, "Winners", H18:H50) +SUMIF(G18:G50, "Platos", H18:H50) </f>
        <v>0</v>
      </c>
      <c r="G22" s="10" t="s">
        <v>316</v>
      </c>
      <c r="H22" s="10">
        <v>29.34</v>
      </c>
      <c r="I22" s="121">
        <v>45857.0</v>
      </c>
      <c r="J22" s="93" t="s">
        <v>317</v>
      </c>
      <c r="K22" s="90"/>
      <c r="L22" s="21" t="s">
        <v>162</v>
      </c>
      <c r="M22" s="97"/>
      <c r="N22" s="19"/>
      <c r="O22" s="99" t="s">
        <v>163</v>
      </c>
      <c r="Q22" s="99" t="s">
        <v>164</v>
      </c>
    </row>
    <row r="23">
      <c r="A23" s="85" t="s">
        <v>165</v>
      </c>
      <c r="B23" s="85" t="s">
        <v>166</v>
      </c>
      <c r="C23" s="86"/>
      <c r="E23" s="10" t="s">
        <v>117</v>
      </c>
      <c r="F23" s="26">
        <f>0</f>
        <v>0</v>
      </c>
      <c r="G23" s="10" t="s">
        <v>318</v>
      </c>
      <c r="H23" s="10">
        <v>14.1</v>
      </c>
      <c r="I23" s="121">
        <v>45857.0</v>
      </c>
      <c r="J23" s="89"/>
      <c r="K23" s="90"/>
      <c r="L23" s="21" t="s">
        <v>167</v>
      </c>
      <c r="M23" s="94">
        <v>30.0</v>
      </c>
      <c r="N23" s="19"/>
      <c r="O23" s="100" t="s">
        <v>130</v>
      </c>
      <c r="P23" s="101" t="s">
        <v>168</v>
      </c>
      <c r="Q23" s="100" t="s">
        <v>130</v>
      </c>
      <c r="R23" s="101" t="s">
        <v>169</v>
      </c>
    </row>
    <row r="24">
      <c r="E24" s="102" t="s">
        <v>170</v>
      </c>
      <c r="F24" s="33">
        <f>SUMIF(G18:G50, "LCBO", H18:H50) + SUMIF(G18:G50, "Beer Store", H18:H50)+ SUMIF(G18:G50, "Drinks", H18:H50)+SUMIF(G18:G50, "Beer", H18:H50)+SUMIF(G18:G50, "Wine", H18:H50)</f>
        <v>0</v>
      </c>
      <c r="G24" s="10" t="s">
        <v>319</v>
      </c>
      <c r="H24" s="10">
        <v>45.18</v>
      </c>
      <c r="I24" s="62">
        <v>45858.0</v>
      </c>
      <c r="J24" s="89" t="s">
        <v>320</v>
      </c>
      <c r="K24" s="90"/>
      <c r="L24" s="19"/>
      <c r="M24" s="97"/>
      <c r="N24" s="19"/>
      <c r="O24" s="103" t="s">
        <v>131</v>
      </c>
      <c r="P24" s="104" t="s">
        <v>168</v>
      </c>
      <c r="Q24" s="103" t="s">
        <v>131</v>
      </c>
      <c r="R24" s="104" t="s">
        <v>169</v>
      </c>
    </row>
    <row r="25">
      <c r="A25" s="13" t="s">
        <v>172</v>
      </c>
      <c r="E25" s="105" t="s">
        <v>173</v>
      </c>
      <c r="F25" s="106">
        <f>SUMIF(G18:G50, "TIMS", H18:H50) + SUMIF(G18:G50, "Casa Miro", H18:H50) + SUMIF(G18:G50, "Toto", H18:H50) + SUMIF(G18:G50, "Coffee Exchange", H18:H50)+ SUMIF(G18:G50, "Ciao Caffe", H18:H50)+ SUMIF(G18:G50, "Starbucks", H18:H50)
</f>
        <v>27.66</v>
      </c>
      <c r="G25" s="10" t="s">
        <v>257</v>
      </c>
      <c r="H25" s="10">
        <v>31.44</v>
      </c>
      <c r="I25" s="62">
        <v>45858.0</v>
      </c>
      <c r="J25" s="93"/>
      <c r="K25" s="19"/>
      <c r="L25" s="19"/>
      <c r="M25" s="107"/>
      <c r="N25" s="19"/>
      <c r="O25" s="103" t="s">
        <v>132</v>
      </c>
      <c r="P25" s="104" t="s">
        <v>168</v>
      </c>
      <c r="Q25" s="103" t="s">
        <v>132</v>
      </c>
      <c r="R25" s="104" t="s">
        <v>169</v>
      </c>
    </row>
    <row r="26">
      <c r="A26" s="21" t="s">
        <v>321</v>
      </c>
      <c r="B26" s="108">
        <v>60.0</v>
      </c>
      <c r="C26" s="109"/>
      <c r="D26" s="19"/>
      <c r="E26" s="79" t="s">
        <v>52</v>
      </c>
      <c r="F26" s="110">
        <f>SUM(F18:F25)
</f>
        <v>292.17</v>
      </c>
      <c r="G26" s="21" t="s">
        <v>150</v>
      </c>
      <c r="H26" s="94">
        <v>2.17</v>
      </c>
      <c r="I26" s="109">
        <v>45860.0</v>
      </c>
      <c r="J26" s="89"/>
      <c r="K26" s="21" t="s">
        <v>174</v>
      </c>
      <c r="L26" s="19" t="s">
        <v>52</v>
      </c>
      <c r="M26" s="97">
        <f>M20++M19+M21+M22+M24+M23+M25</f>
        <v>1190</v>
      </c>
      <c r="O26" s="103" t="s">
        <v>126</v>
      </c>
      <c r="P26" s="104" t="s">
        <v>175</v>
      </c>
      <c r="Q26" s="103" t="s">
        <v>126</v>
      </c>
      <c r="R26" s="104" t="s">
        <v>176</v>
      </c>
    </row>
    <row r="27">
      <c r="C27" s="94"/>
      <c r="D27" s="21"/>
      <c r="E27" s="79" t="s">
        <v>177</v>
      </c>
      <c r="F27" s="111">
        <f>I1/(15-F3)</f>
        <v>26.853</v>
      </c>
      <c r="G27" s="21" t="s">
        <v>322</v>
      </c>
      <c r="H27" s="94">
        <v>1.75</v>
      </c>
      <c r="I27" s="109">
        <v>45860.0</v>
      </c>
      <c r="J27" s="89"/>
      <c r="K27" s="21" t="s">
        <v>164</v>
      </c>
      <c r="L27" s="10"/>
      <c r="O27" s="103" t="s">
        <v>127</v>
      </c>
      <c r="P27" s="104" t="s">
        <v>175</v>
      </c>
      <c r="Q27" s="103" t="s">
        <v>127</v>
      </c>
      <c r="R27" s="104" t="s">
        <v>178</v>
      </c>
    </row>
    <row r="28">
      <c r="A28" s="98" t="s">
        <v>323</v>
      </c>
      <c r="B28" s="28"/>
      <c r="C28" s="112"/>
      <c r="D28" s="19"/>
      <c r="E28" s="10" t="s">
        <v>180</v>
      </c>
      <c r="F28" s="26">
        <f>I1-F26
</f>
        <v>1050.48</v>
      </c>
      <c r="G28" s="21" t="s">
        <v>150</v>
      </c>
      <c r="H28" s="94">
        <v>2.17</v>
      </c>
      <c r="I28" s="109">
        <v>45861.0</v>
      </c>
      <c r="J28" s="89"/>
      <c r="K28" s="21" t="s">
        <v>182</v>
      </c>
      <c r="O28" s="103" t="s">
        <v>128</v>
      </c>
      <c r="P28" s="104" t="s">
        <v>168</v>
      </c>
      <c r="Q28" s="103" t="s">
        <v>128</v>
      </c>
      <c r="R28" s="104" t="s">
        <v>183</v>
      </c>
    </row>
    <row r="29">
      <c r="A29" s="21"/>
      <c r="B29" s="94"/>
      <c r="C29" s="94"/>
      <c r="D29" s="19"/>
      <c r="E29" s="10" t="s">
        <v>171</v>
      </c>
      <c r="F29" s="26">
        <f>SUMIF(G18:G60, "Wal Mart", H18:H60) </f>
        <v>0</v>
      </c>
      <c r="G29" s="21" t="s">
        <v>324</v>
      </c>
      <c r="H29" s="94">
        <v>3.38</v>
      </c>
      <c r="I29" s="109">
        <v>45861.0</v>
      </c>
      <c r="J29" s="89"/>
      <c r="K29" s="10" t="s">
        <v>325</v>
      </c>
      <c r="O29" s="103" t="s">
        <v>129</v>
      </c>
      <c r="P29" s="104" t="s">
        <v>168</v>
      </c>
      <c r="Q29" s="103" t="s">
        <v>129</v>
      </c>
      <c r="R29" s="104" t="s">
        <v>169</v>
      </c>
    </row>
    <row r="30">
      <c r="A30" s="116"/>
      <c r="B30" s="117"/>
      <c r="C30" s="118"/>
      <c r="D30" s="119"/>
      <c r="E30" s="120"/>
      <c r="F30" s="120"/>
      <c r="G30" s="21" t="s">
        <v>326</v>
      </c>
      <c r="H30" s="94">
        <v>22.6</v>
      </c>
      <c r="I30" s="109">
        <v>45861.0</v>
      </c>
      <c r="J30" s="21"/>
      <c r="K30" s="10" t="s">
        <v>327</v>
      </c>
      <c r="Q30" s="122" t="s">
        <v>186</v>
      </c>
    </row>
    <row r="31">
      <c r="A31" s="123" t="s">
        <v>187</v>
      </c>
      <c r="B31" s="10" t="s">
        <v>142</v>
      </c>
      <c r="C31" s="85" t="s">
        <v>143</v>
      </c>
      <c r="D31" s="124">
        <v>2317.45</v>
      </c>
      <c r="E31" s="10" t="s">
        <v>188</v>
      </c>
      <c r="F31" s="120"/>
      <c r="G31" s="21" t="s">
        <v>328</v>
      </c>
      <c r="H31" s="94">
        <v>658.2</v>
      </c>
      <c r="I31" s="109">
        <v>45862.0</v>
      </c>
      <c r="J31" s="21"/>
      <c r="K31" s="10" t="s">
        <v>329</v>
      </c>
      <c r="L31" s="10"/>
      <c r="Q31" s="125" t="s">
        <v>130</v>
      </c>
      <c r="R31" s="125" t="s">
        <v>190</v>
      </c>
    </row>
    <row r="32">
      <c r="A32" s="31" t="s">
        <v>148</v>
      </c>
      <c r="B32" s="79" t="s">
        <v>96</v>
      </c>
      <c r="C32" s="126" t="s">
        <v>149</v>
      </c>
      <c r="D32" s="24" t="s">
        <v>191</v>
      </c>
      <c r="E32" s="127">
        <v>45864.0</v>
      </c>
      <c r="F32" s="120"/>
      <c r="G32" s="21" t="s">
        <v>155</v>
      </c>
      <c r="H32" s="94">
        <v>1.67</v>
      </c>
      <c r="I32" s="109">
        <v>45862.0</v>
      </c>
      <c r="J32" s="93"/>
      <c r="K32" s="10" t="s">
        <v>192</v>
      </c>
      <c r="N32" s="10" t="s">
        <v>193</v>
      </c>
      <c r="Q32" s="128" t="s">
        <v>131</v>
      </c>
      <c r="R32" s="128" t="s">
        <v>190</v>
      </c>
    </row>
    <row r="33">
      <c r="A33" s="3" t="s">
        <v>194</v>
      </c>
      <c r="B33" s="129"/>
      <c r="C33" s="129">
        <v>1049.0</v>
      </c>
      <c r="D33" s="130" t="s">
        <v>149</v>
      </c>
      <c r="E33" s="131">
        <f>D31-C35
</f>
        <v>1842.320223</v>
      </c>
      <c r="F33" s="120"/>
      <c r="G33" s="21" t="s">
        <v>27</v>
      </c>
      <c r="H33" s="94">
        <v>58.02</v>
      </c>
      <c r="I33" s="109">
        <v>45862.0</v>
      </c>
      <c r="J33" s="93"/>
      <c r="K33" s="132" t="s">
        <v>196</v>
      </c>
      <c r="Q33" s="128" t="s">
        <v>132</v>
      </c>
      <c r="R33" s="128" t="s">
        <v>190</v>
      </c>
    </row>
    <row r="34">
      <c r="A34" s="3" t="s">
        <v>198</v>
      </c>
      <c r="B34" s="129">
        <v>343.08</v>
      </c>
      <c r="C34" s="133"/>
      <c r="D34" s="130" t="s">
        <v>96</v>
      </c>
      <c r="E34" s="44">
        <f>IFERROR(__xludf.DUMMYFUNCTION("E33*GOOGLEFINANCE(""CURRENCY:CADUSD"")"),1330.2959600868282)</f>
        <v>1330.29596</v>
      </c>
      <c r="F34" s="134"/>
      <c r="G34" s="21" t="s">
        <v>150</v>
      </c>
      <c r="H34" s="94">
        <v>5.04</v>
      </c>
      <c r="I34" s="161">
        <v>45863.0</v>
      </c>
      <c r="J34" s="93"/>
      <c r="K34" s="132" t="s">
        <v>330</v>
      </c>
      <c r="M34" s="10">
        <v>200.0</v>
      </c>
      <c r="N34" s="10" t="s">
        <v>125</v>
      </c>
      <c r="O34" s="10" t="s">
        <v>289</v>
      </c>
      <c r="Q34" s="128" t="s">
        <v>126</v>
      </c>
      <c r="R34" s="128" t="s">
        <v>201</v>
      </c>
    </row>
    <row r="35">
      <c r="A35" s="3" t="s">
        <v>52</v>
      </c>
      <c r="B35" s="80">
        <f>B33+B34</f>
        <v>343.08</v>
      </c>
      <c r="C35" s="133">
        <f>IFERROR(__xludf.DUMMYFUNCTION("B35*GOOGLEFINANCE(""CURRENCY:USDCAD"")"),475.12977659999996)</f>
        <v>475.1297766</v>
      </c>
      <c r="E35" s="135"/>
      <c r="F35" s="136"/>
      <c r="G35" s="21" t="s">
        <v>331</v>
      </c>
      <c r="H35" s="94">
        <v>12.43</v>
      </c>
      <c r="I35" s="109">
        <v>45863.0</v>
      </c>
      <c r="J35" s="93"/>
      <c r="K35" s="132"/>
      <c r="N35" s="10" t="s">
        <v>290</v>
      </c>
      <c r="Q35" s="128" t="s">
        <v>127</v>
      </c>
      <c r="R35" s="128" t="s">
        <v>201</v>
      </c>
    </row>
    <row r="36">
      <c r="C36" s="26">
        <f>C33+C35</f>
        <v>1524.129777</v>
      </c>
      <c r="F36" s="120"/>
      <c r="G36" s="10" t="s">
        <v>322</v>
      </c>
      <c r="H36" s="10">
        <v>18.96</v>
      </c>
      <c r="I36" s="62">
        <v>45863.0</v>
      </c>
      <c r="K36" s="10"/>
      <c r="N36" s="10" t="s">
        <v>291</v>
      </c>
      <c r="Q36" s="128" t="s">
        <v>128</v>
      </c>
      <c r="R36" s="128" t="s">
        <v>203</v>
      </c>
    </row>
    <row r="37">
      <c r="A37" s="138" t="s">
        <v>292</v>
      </c>
      <c r="F37" s="120"/>
      <c r="G37" s="10" t="s">
        <v>155</v>
      </c>
      <c r="H37" s="10">
        <f> 3.34+1.13</f>
        <v>4.47</v>
      </c>
      <c r="I37" s="62">
        <v>45864.0</v>
      </c>
      <c r="J37" s="93"/>
      <c r="K37" s="135"/>
      <c r="N37" s="10" t="s">
        <v>294</v>
      </c>
      <c r="Q37" s="128" t="s">
        <v>129</v>
      </c>
      <c r="R37" s="128" t="s">
        <v>203</v>
      </c>
    </row>
    <row r="38">
      <c r="A38" s="146" t="s">
        <v>295</v>
      </c>
      <c r="C38" s="10" t="s">
        <v>296</v>
      </c>
      <c r="E38" s="10"/>
      <c r="F38" s="136"/>
      <c r="G38" s="10" t="s">
        <v>150</v>
      </c>
      <c r="H38" s="10">
        <v>2.29</v>
      </c>
      <c r="I38" s="62">
        <v>45865.0</v>
      </c>
      <c r="J38" s="93"/>
      <c r="K38" s="135"/>
      <c r="Q38" s="142" t="s">
        <v>209</v>
      </c>
    </row>
    <row r="39">
      <c r="A39" s="146" t="s">
        <v>297</v>
      </c>
      <c r="C39" s="10" t="s">
        <v>298</v>
      </c>
      <c r="E39" s="10"/>
      <c r="F39" s="120"/>
      <c r="G39" s="10" t="s">
        <v>257</v>
      </c>
      <c r="H39" s="10">
        <v>97.06</v>
      </c>
      <c r="I39" s="62">
        <v>45866.0</v>
      </c>
      <c r="J39" s="93"/>
      <c r="K39" s="132"/>
      <c r="Q39" s="145" t="s">
        <v>212</v>
      </c>
    </row>
    <row r="40">
      <c r="A40" s="146" t="s">
        <v>300</v>
      </c>
      <c r="E40" s="10"/>
      <c r="G40" s="10" t="s">
        <v>322</v>
      </c>
      <c r="H40" s="10">
        <v>5.0</v>
      </c>
      <c r="I40" s="147">
        <v>45866.0</v>
      </c>
      <c r="J40" s="93"/>
      <c r="K40" s="132"/>
      <c r="Q40" s="145" t="s">
        <v>214</v>
      </c>
    </row>
    <row r="41">
      <c r="A41" s="146" t="s">
        <v>301</v>
      </c>
      <c r="E41" s="10"/>
      <c r="G41" s="10" t="s">
        <v>150</v>
      </c>
      <c r="H41" s="10">
        <v>2.29</v>
      </c>
      <c r="I41" s="62">
        <v>45866.0</v>
      </c>
      <c r="J41" s="93"/>
      <c r="K41" s="132"/>
      <c r="Q41" s="145" t="s">
        <v>216</v>
      </c>
    </row>
    <row r="42">
      <c r="G42" s="21" t="s">
        <v>332</v>
      </c>
      <c r="H42" s="94">
        <v>4.62</v>
      </c>
      <c r="I42" s="151">
        <v>45867.0</v>
      </c>
      <c r="Q42" s="145" t="s">
        <v>218</v>
      </c>
    </row>
    <row r="43">
      <c r="G43" s="21" t="s">
        <v>150</v>
      </c>
      <c r="H43" s="94">
        <v>5.4</v>
      </c>
      <c r="I43" s="151">
        <v>45868.0</v>
      </c>
      <c r="Q43" s="145" t="s">
        <v>219</v>
      </c>
    </row>
    <row r="44">
      <c r="G44" s="10" t="s">
        <v>155</v>
      </c>
      <c r="H44" s="10">
        <v>1.05</v>
      </c>
      <c r="I44" s="151">
        <v>45868.0</v>
      </c>
      <c r="J44" s="165"/>
      <c r="Q44" s="145" t="s">
        <v>221</v>
      </c>
    </row>
    <row r="45">
      <c r="G45" s="10" t="s">
        <v>333</v>
      </c>
      <c r="H45" s="10">
        <v>36.57</v>
      </c>
      <c r="I45" s="62">
        <v>45867.0</v>
      </c>
      <c r="J45" s="10" t="s">
        <v>334</v>
      </c>
      <c r="Q45" s="145" t="s">
        <v>223</v>
      </c>
    </row>
    <row r="46">
      <c r="G46" s="10" t="s">
        <v>335</v>
      </c>
      <c r="H46" s="10">
        <v>28.75</v>
      </c>
      <c r="I46" s="62">
        <v>45867.0</v>
      </c>
      <c r="J46" s="10" t="s">
        <v>334</v>
      </c>
    </row>
    <row r="47">
      <c r="G47" s="10" t="s">
        <v>284</v>
      </c>
      <c r="H47" s="10">
        <v>27.5</v>
      </c>
      <c r="I47" s="62">
        <v>45868.0</v>
      </c>
      <c r="J47" s="10" t="s">
        <v>334</v>
      </c>
      <c r="K47" s="10" t="s">
        <v>336</v>
      </c>
    </row>
    <row r="48">
      <c r="G48" s="10" t="s">
        <v>337</v>
      </c>
      <c r="H48" s="10">
        <v>33.23</v>
      </c>
      <c r="I48" s="62">
        <v>45868.0</v>
      </c>
      <c r="J48" s="10" t="s">
        <v>334</v>
      </c>
    </row>
    <row r="49">
      <c r="G49" s="10" t="s">
        <v>338</v>
      </c>
      <c r="H49" s="10">
        <v>12.0</v>
      </c>
      <c r="I49" s="62">
        <v>45868.0</v>
      </c>
      <c r="J49" s="10" t="s">
        <v>334</v>
      </c>
    </row>
    <row r="50">
      <c r="G50" s="10" t="s">
        <v>339</v>
      </c>
      <c r="H50" s="10">
        <v>67.65</v>
      </c>
      <c r="I50" s="62">
        <v>45868.0</v>
      </c>
      <c r="J50" s="10" t="s">
        <v>334</v>
      </c>
      <c r="K50" s="10" t="s">
        <v>340</v>
      </c>
    </row>
    <row r="51">
      <c r="G51" s="10" t="s">
        <v>341</v>
      </c>
      <c r="H51" s="10">
        <v>58.93</v>
      </c>
      <c r="I51" s="62">
        <v>45869.0</v>
      </c>
    </row>
    <row r="52">
      <c r="G52" s="10" t="s">
        <v>342</v>
      </c>
      <c r="H52" s="10">
        <v>8.0</v>
      </c>
      <c r="I52" s="62">
        <v>45869.0</v>
      </c>
    </row>
    <row r="53">
      <c r="I53" s="62"/>
    </row>
    <row r="54">
      <c r="I54" s="147"/>
    </row>
    <row r="55">
      <c r="I55" s="62"/>
    </row>
    <row r="56">
      <c r="I56" s="121"/>
    </row>
    <row r="57">
      <c r="I57" s="121"/>
    </row>
    <row r="58">
      <c r="I58" s="121"/>
    </row>
    <row r="59">
      <c r="I59" s="121"/>
    </row>
    <row r="60">
      <c r="I60" s="121"/>
    </row>
    <row r="61">
      <c r="I61" s="121"/>
    </row>
    <row r="62">
      <c r="I62" s="121"/>
    </row>
    <row r="63">
      <c r="I63" s="121"/>
    </row>
    <row r="64">
      <c r="I64" s="121"/>
    </row>
    <row r="65">
      <c r="I65" s="121"/>
      <c r="L65" s="26">
        <f>SUM(H18:H65)
</f>
        <v>1342.65</v>
      </c>
    </row>
  </sheetData>
  <conditionalFormatting sqref="I1">
    <cfRule type="notContainsBlanks" dxfId="2" priority="1">
      <formula>LEN(TRIM(I1))&gt;0</formula>
    </cfRule>
  </conditionalFormatting>
  <conditionalFormatting sqref="A9:N15">
    <cfRule type="cellIs" dxfId="3" priority="2" operator="equal">
      <formula>"TIMS"</formula>
    </cfRule>
  </conditionalFormatting>
  <conditionalFormatting sqref="A9:N15">
    <cfRule type="cellIs" dxfId="4" priority="3" operator="equal">
      <formula>"Dispo"</formula>
    </cfRule>
  </conditionalFormatting>
  <conditionalFormatting sqref="A9:N15">
    <cfRule type="cellIs" dxfId="1" priority="4" operator="equal">
      <formula>"Gas"</formula>
    </cfRule>
  </conditionalFormatting>
  <conditionalFormatting sqref="G18:G29 A26 A30 G31 G33:G42 G44:G56">
    <cfRule type="cellIs" dxfId="3" priority="5" operator="equal">
      <formula>"TIMS"</formula>
    </cfRule>
  </conditionalFormatting>
  <conditionalFormatting sqref="G18:G29 A26 A30 G31 G33:G42 G44:G56">
    <cfRule type="cellIs" dxfId="4" priority="6" operator="equal">
      <formula>"Dispo"</formula>
    </cfRule>
  </conditionalFormatting>
  <conditionalFormatting sqref="G18:G29 A26 A30 G31 G33:G42 G44:G56">
    <cfRule type="cellIs" dxfId="5" priority="7" operator="equal">
      <formula>"McDonalds"</formula>
    </cfRule>
  </conditionalFormatting>
  <conditionalFormatting sqref="H18:H26 B26 B28 H28:H29 B30 H31 H33:H42 H44:H60">
    <cfRule type="cellIs" dxfId="1" priority="8" operator="greaterThan">
      <formula>60</formula>
    </cfRule>
  </conditionalFormatting>
  <conditionalFormatting sqref="H18:H26 B26 B28 H28:H29 B30 H31 H33:H42 H44:H60">
    <cfRule type="cellIs" dxfId="6" priority="9" operator="between">
      <formula>30</formula>
      <formula>60</formula>
    </cfRule>
  </conditionalFormatting>
  <conditionalFormatting sqref="I5">
    <cfRule type="cellIs" dxfId="0" priority="10" operator="greaterThan">
      <formula>0</formula>
    </cfRule>
  </conditionalFormatting>
  <conditionalFormatting sqref="I5">
    <cfRule type="cellIs" dxfId="1" priority="11" operator="lessThanOrEqual">
      <formula>0</formula>
    </cfRule>
  </conditionalFormatting>
  <hyperlinks>
    <hyperlink r:id="rId1" ref="O18"/>
    <hyperlink r:id="rId2" ref="A31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13"/>
      <c r="C1" s="1"/>
      <c r="E1" s="54" t="s">
        <v>114</v>
      </c>
      <c r="F1" s="55">
        <f>TODAY()
</f>
        <v>45905</v>
      </c>
      <c r="H1" s="56" t="s">
        <v>115</v>
      </c>
      <c r="I1" s="32">
        <f>SUM(IFERROR(16:16, 0))
</f>
        <v>399.46</v>
      </c>
      <c r="K1" s="57" t="s">
        <v>265</v>
      </c>
      <c r="L1" s="58"/>
      <c r="M1" s="57" t="s">
        <v>266</v>
      </c>
      <c r="O1" s="7" t="s">
        <v>116</v>
      </c>
      <c r="P1" s="59" t="s">
        <v>117</v>
      </c>
    </row>
    <row r="2">
      <c r="E2" s="10" t="s">
        <v>118</v>
      </c>
      <c r="F2" s="60">
        <v>45855.0</v>
      </c>
      <c r="H2" s="56" t="s">
        <v>119</v>
      </c>
      <c r="I2" s="61">
        <f>500 - 20</f>
        <v>480</v>
      </c>
      <c r="K2" s="10" t="s">
        <v>173</v>
      </c>
      <c r="L2" s="10">
        <v>40.0</v>
      </c>
      <c r="M2" s="10" t="s">
        <v>267</v>
      </c>
    </row>
    <row r="3">
      <c r="C3" s="62"/>
      <c r="E3" s="10" t="s">
        <v>120</v>
      </c>
      <c r="F3" s="26">
        <f>F2-F1+1
</f>
        <v>-49</v>
      </c>
      <c r="H3" s="24" t="s">
        <v>80</v>
      </c>
      <c r="I3" s="56">
        <f>I2-I1
</f>
        <v>80.54</v>
      </c>
      <c r="K3" s="10" t="s">
        <v>268</v>
      </c>
      <c r="L3" s="10" t="s">
        <v>269</v>
      </c>
      <c r="M3" s="10" t="s">
        <v>270</v>
      </c>
      <c r="O3" s="10" t="s">
        <v>121</v>
      </c>
    </row>
    <row r="4">
      <c r="C4" s="62"/>
      <c r="E4" s="10" t="s">
        <v>49</v>
      </c>
      <c r="F4" s="26">
        <f>I2-I1
</f>
        <v>80.54</v>
      </c>
      <c r="H4" s="63"/>
      <c r="I4" s="63"/>
      <c r="K4" s="10" t="s">
        <v>27</v>
      </c>
      <c r="L4" s="10" t="s">
        <v>271</v>
      </c>
    </row>
    <row r="5">
      <c r="C5" s="62"/>
      <c r="E5" s="10" t="s">
        <v>122</v>
      </c>
      <c r="H5" s="64" t="s">
        <v>123</v>
      </c>
      <c r="I5" s="64">
        <f>I3/F3
</f>
        <v>-1.643673469</v>
      </c>
    </row>
    <row r="6">
      <c r="C6" s="62"/>
      <c r="K6" s="65"/>
      <c r="R6" s="66"/>
    </row>
    <row r="7">
      <c r="A7" s="1" t="s">
        <v>343</v>
      </c>
      <c r="B7" s="10" t="s">
        <v>344</v>
      </c>
      <c r="C7" s="70"/>
      <c r="D7" s="63"/>
      <c r="E7" s="44"/>
      <c r="F7" s="53"/>
      <c r="G7" s="70"/>
      <c r="J7" s="68" t="s">
        <v>345</v>
      </c>
      <c r="L7" s="53"/>
      <c r="P7" s="10" t="s">
        <v>313</v>
      </c>
    </row>
    <row r="8">
      <c r="A8" s="72">
        <v>45842.0</v>
      </c>
      <c r="B8" s="72">
        <v>45843.0</v>
      </c>
      <c r="C8" s="73">
        <v>45844.0</v>
      </c>
      <c r="D8" s="72">
        <v>45845.0</v>
      </c>
      <c r="E8" s="72">
        <v>45846.0</v>
      </c>
      <c r="F8" s="72">
        <v>45847.0</v>
      </c>
      <c r="G8" s="72">
        <v>45848.0</v>
      </c>
      <c r="H8" s="72">
        <v>45849.0</v>
      </c>
      <c r="I8" s="72">
        <v>45850.0</v>
      </c>
      <c r="J8" s="72">
        <v>45851.0</v>
      </c>
      <c r="K8" s="72">
        <v>45852.0</v>
      </c>
      <c r="L8" s="72">
        <v>45853.0</v>
      </c>
      <c r="M8" s="72">
        <v>45854.0</v>
      </c>
      <c r="N8" s="72">
        <v>45855.0</v>
      </c>
      <c r="O8" s="74"/>
      <c r="P8" s="10" t="s">
        <v>125</v>
      </c>
      <c r="Q8" s="75"/>
      <c r="R8" s="10" t="s">
        <v>47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  <c r="O9" s="53"/>
      <c r="P9" s="10" t="s">
        <v>133</v>
      </c>
    </row>
    <row r="10">
      <c r="A10" s="26" t="str">
        <f>IFERROR(__xludf.DUMMYFUNCTION("FILTER(G17:G52, I17:I52=A8)
"),"TIMS")</f>
        <v>TIMS</v>
      </c>
      <c r="B10" s="10" t="str">
        <f>IFERROR(__xludf.DUMMYFUNCTION("FILTER(G17:G52, I17:I52=B8)
"),"Coca Cola Barrie")</f>
        <v>Coca Cola Barrie</v>
      </c>
      <c r="C10" s="10" t="str">
        <f>IFERROR(__xludf.DUMMYFUNCTION("FILTER(G17:G52, I17:I52=C8)
"),"TIMS")</f>
        <v>TIMS</v>
      </c>
      <c r="D10" s="26" t="str">
        <f>IFERROR(__xludf.DUMMYFUNCTION("FILTER(G17:G52, I17:I52=D8)
"),"Candies")</f>
        <v>Candies</v>
      </c>
      <c r="E10" s="26" t="str">
        <f>IFERROR(__xludf.DUMMYFUNCTION("FILTER(G17:G52, I17:I52=E8)
"),"Metro")</f>
        <v>Metro</v>
      </c>
      <c r="F10" s="26" t="str">
        <f>IFERROR(__xludf.DUMMYFUNCTION("FILTER(G17:G52, I17:I52=F8)
"),"DIspo")</f>
        <v>DIspo</v>
      </c>
      <c r="G10" s="26" t="str">
        <f>IFERROR(__xludf.DUMMYFUNCTION("FILTER(G17:G52, I17:I52=G8)
"),"TIMS")</f>
        <v>TIMS</v>
      </c>
      <c r="H10" s="26" t="str">
        <f>IFERROR(__xludf.DUMMYFUNCTION("FILTER(G17:G52, I17:I52=H8)
"),"Boss Bagel")</f>
        <v>Boss Bagel</v>
      </c>
      <c r="I10" s="10" t="str">
        <f>IFERROR(__xludf.DUMMYFUNCTION("FILTER(G16:G51, I16:I51=I8)
"),"Metro")</f>
        <v>Metro</v>
      </c>
      <c r="J10" s="26" t="str">
        <f>IFERROR(__xludf.DUMMYFUNCTION("FILTER(G15:G50, I15:I50=J8)
"),"Gas")</f>
        <v>Gas</v>
      </c>
      <c r="K10" s="26" t="str">
        <f>IFERROR(__xludf.DUMMYFUNCTION("FILTER(G15:G50, I15:I50=K8)
"),"TIMS")</f>
        <v>TIMS</v>
      </c>
      <c r="L10" s="26" t="str">
        <f>IFERROR(__xludf.DUMMYFUNCTION("FILTER(G15:G65, I15:I65=L8)
"),"TIMS")</f>
        <v>TIMS</v>
      </c>
      <c r="M10" s="10" t="str">
        <f>IFERROR(__xludf.DUMMYFUNCTION("FILTER(G15:G65, I15:I65=M8)
"),"Pharmacy")</f>
        <v>Pharmacy</v>
      </c>
      <c r="N10" s="26" t="str">
        <f>IFERROR(__xludf.DUMMYFUNCTION("FILTER(G15:G65, I15:I65=N8)
"),"McDonalds")</f>
        <v>McDonalds</v>
      </c>
      <c r="P10" s="10" t="s">
        <v>134</v>
      </c>
    </row>
    <row r="11">
      <c r="A11" s="26" t="str">
        <f>IFERROR(__xludf.DUMMYFUNCTION("""COMPUTED_VALUE"""),"Snacks ")</f>
        <v>Snacks </v>
      </c>
      <c r="B11" s="26" t="str">
        <f>IFERROR(__xludf.DUMMYFUNCTION("""COMPUTED_VALUE"""),"Snacks ")</f>
        <v>Snacks </v>
      </c>
      <c r="D11" s="26" t="str">
        <f>IFERROR(__xludf.DUMMYFUNCTION("""COMPUTED_VALUE"""),"TIMS")</f>
        <v>TIMS</v>
      </c>
      <c r="E11" s="26" t="str">
        <f>IFERROR(__xludf.DUMMYFUNCTION("""COMPUTED_VALUE"""),"LCBO")</f>
        <v>LCBO</v>
      </c>
      <c r="F11" s="26" t="str">
        <f>IFERROR(__xludf.DUMMYFUNCTION("""COMPUTED_VALUE"""),"Dominos")</f>
        <v>Dominos</v>
      </c>
      <c r="H11" s="26" t="str">
        <f>IFERROR(__xludf.DUMMYFUNCTION("""COMPUTED_VALUE"""),"TIMS")</f>
        <v>TIMS</v>
      </c>
      <c r="I11" s="26" t="str">
        <f>IFERROR(__xludf.DUMMYFUNCTION("""COMPUTED_VALUE"""),"TIMS")</f>
        <v>TIMS</v>
      </c>
      <c r="J11" s="26" t="str">
        <f>IFERROR(__xludf.DUMMYFUNCTION("""COMPUTED_VALUE"""),"TIMS")</f>
        <v>TIMS</v>
      </c>
      <c r="K11" s="26" t="str">
        <f>IFERROR(__xludf.DUMMYFUNCTION("""COMPUTED_VALUE"""),"LCBO")</f>
        <v>LCBO</v>
      </c>
      <c r="L11" s="26" t="str">
        <f>IFERROR(__xludf.DUMMYFUNCTION("""COMPUTED_VALUE"""),"TEMU")</f>
        <v>TEMU</v>
      </c>
      <c r="M11" s="26" t="str">
        <f>IFERROR(__xludf.DUMMYFUNCTION("""COMPUTED_VALUE"""),"TIMS")</f>
        <v>TIMS</v>
      </c>
      <c r="N11" s="26" t="str">
        <f>IFERROR(__xludf.DUMMYFUNCTION("""COMPUTED_VALUE"""),"Dollarama")</f>
        <v>Dollarama</v>
      </c>
    </row>
    <row r="12">
      <c r="A12" s="26" t="str">
        <f>IFERROR(__xludf.DUMMYFUNCTION("""COMPUTED_VALUE"""),"TIMS")</f>
        <v>TIMS</v>
      </c>
      <c r="B12" s="26" t="str">
        <f>IFERROR(__xludf.DUMMYFUNCTION("""COMPUTED_VALUE"""),"LCBO")</f>
        <v>LCBO</v>
      </c>
      <c r="F12" s="26" t="str">
        <f>IFERROR(__xludf.DUMMYFUNCTION("""COMPUTED_VALUE"""),"Stop 26")</f>
        <v>Stop 26</v>
      </c>
      <c r="H12" s="26" t="str">
        <f>IFERROR(__xludf.DUMMYFUNCTION("""COMPUTED_VALUE"""),"Seven 11")</f>
        <v>Seven 11</v>
      </c>
      <c r="J12" s="26" t="str">
        <f>IFERROR(__xludf.DUMMYFUNCTION("""COMPUTED_VALUE"""),"TIMS")</f>
        <v>TIMS</v>
      </c>
      <c r="K12" s="26" t="str">
        <f>IFERROR(__xludf.DUMMYFUNCTION("""COMPUTED_VALUE"""),"Lighter")</f>
        <v>Lighter</v>
      </c>
      <c r="L12" s="26" t="str">
        <f>IFERROR(__xludf.DUMMYFUNCTION("""COMPUTED_VALUE"""),"TIMS")</f>
        <v>TIMS</v>
      </c>
      <c r="M12" s="26" t="str">
        <f>IFERROR(__xludf.DUMMYFUNCTION("""COMPUTED_VALUE"""),"Candies")</f>
        <v>Candies</v>
      </c>
      <c r="N12" s="26" t="str">
        <f>IFERROR(__xludf.DUMMYFUNCTION("""COMPUTED_VALUE"""),"Arbys")</f>
        <v>Arbys</v>
      </c>
    </row>
    <row r="13">
      <c r="A13" s="77" t="str">
        <f>IFERROR(__xludf.DUMMYFUNCTION("""COMPUTED_VALUE"""),"LCBO")</f>
        <v>LCBO</v>
      </c>
      <c r="B13" s="77"/>
      <c r="K13" s="26" t="str">
        <f>IFERROR(__xludf.DUMMYFUNCTION("""COMPUTED_VALUE"""),"Car Wash")</f>
        <v>Car Wash</v>
      </c>
      <c r="L13" s="26" t="str">
        <f>IFERROR(__xludf.DUMMYFUNCTION("""COMPUTED_VALUE"""),"Board Game")</f>
        <v>Board Game</v>
      </c>
    </row>
    <row r="14">
      <c r="A14" s="77"/>
      <c r="B14" s="77"/>
      <c r="K14" s="10" t="s">
        <v>122</v>
      </c>
    </row>
    <row r="15">
      <c r="A15" s="78"/>
      <c r="B15" s="78"/>
    </row>
    <row r="16">
      <c r="A16" s="56">
        <f>IFERROR(__xludf.DUMMYFUNCTION("SUM(FILTER(H17:H52, I17:I52=A8))
"),38.21)</f>
        <v>38.21</v>
      </c>
      <c r="B16" s="56">
        <f>IFERROR(__xludf.DUMMYFUNCTION("SUM(FILTER(H17:H52, I17:I52=B8))
"),18.27)</f>
        <v>18.27</v>
      </c>
      <c r="C16" s="56">
        <f>IFERROR(__xludf.DUMMYFUNCTION("SUM(FILTER(H17:H52, I17:I52=C8))
"),2.17)</f>
        <v>2.17</v>
      </c>
      <c r="D16" s="56">
        <f>IFERROR(__xludf.DUMMYFUNCTION("SUM(FILTER(H17:H52, I17:I52=D8))
"),23.33)</f>
        <v>23.33</v>
      </c>
      <c r="E16" s="56">
        <f>IFERROR(__xludf.DUMMYFUNCTION("SUM(FILTER(H17:H52, I17:I52=E8))
"),11.96)</f>
        <v>11.96</v>
      </c>
      <c r="F16" s="56">
        <f>IFERROR(__xludf.DUMMYFUNCTION("SUM(FILTER(H17:H52, I17:I52=F8))
"),62.160000000000004)</f>
        <v>62.16</v>
      </c>
      <c r="G16" s="56">
        <f>IFERROR(__xludf.DUMMYFUNCTION("SUM(FILTER(H17:H52, I17:I52=G8))
"),2.17)</f>
        <v>2.17</v>
      </c>
      <c r="H16" s="56">
        <f>IFERROR(__xludf.DUMMYFUNCTION("SUM(FILTER(H17:H52, I17:I52=H8))
"),21.07)</f>
        <v>21.07</v>
      </c>
      <c r="I16" s="56">
        <f>IFERROR(__xludf.DUMMYFUNCTION("SUM(FILTER(H17:H52, I17:I52=I8))
"),12.4)</f>
        <v>12.4</v>
      </c>
      <c r="J16" s="56">
        <f>IFERROR(__xludf.DUMMYFUNCTION("SUM(FILTER(H17:H52, I17:I52=J8))
"),71.82000000000001)</f>
        <v>71.82</v>
      </c>
      <c r="K16" s="56">
        <f>IFERROR(__xludf.DUMMYFUNCTION("SUM(FILTER(H17:H52, I17:I52=K8))
"),18.98)</f>
        <v>18.98</v>
      </c>
      <c r="L16" s="56">
        <f>IFERROR(__xludf.DUMMYFUNCTION("SUM(FILTER(H17:H52, I17:I52=L8))
"),90.19)</f>
        <v>90.19</v>
      </c>
      <c r="M16" s="56">
        <f>IFERROR(__xludf.DUMMYFUNCTION("SUM(FILTER(H17:H62, I17:I62=M8))
"),10.17)</f>
        <v>10.17</v>
      </c>
      <c r="N16" s="35">
        <f>IFERROR(__xludf.DUMMYFUNCTION("SUM(FILTER(H17:H62, I17:I62=N8))
"),16.56)</f>
        <v>16.56</v>
      </c>
      <c r="O16" s="10" t="s">
        <v>314</v>
      </c>
    </row>
    <row r="17">
      <c r="A17" s="10"/>
      <c r="E17" s="79" t="s">
        <v>135</v>
      </c>
      <c r="F17" s="80">
        <f>COUNTIF(G18:G1002, "TIMS")+COUNTIF(G18:G1002, "Casa Miro")+COUNTIF(G18:G1002, "Toto")+COUNTIF(G18:G1002, "Coffee Exchange")+COUNTIF(G18:G1002, "Ciao Caffe")
</f>
        <v>13</v>
      </c>
      <c r="G17" s="81"/>
      <c r="H17" s="81"/>
      <c r="I17" s="82"/>
      <c r="J17" s="83" t="s">
        <v>136</v>
      </c>
      <c r="K17" s="84"/>
      <c r="L17" s="84"/>
      <c r="M17" s="84"/>
      <c r="N17" s="84"/>
    </row>
    <row r="18">
      <c r="A18" s="85" t="s">
        <v>137</v>
      </c>
      <c r="B18" s="86"/>
      <c r="C18" s="86"/>
      <c r="E18" s="87" t="s">
        <v>138</v>
      </c>
      <c r="F18" s="88">
        <f>SUMIF(G18:G50, "Dispo", H18:H50)+SUMIF(G18:G50, "c cabana", H18:H50)</f>
        <v>41.24</v>
      </c>
      <c r="G18" s="10" t="s">
        <v>150</v>
      </c>
      <c r="H18" s="10">
        <v>2.17</v>
      </c>
      <c r="I18" s="62">
        <v>45842.0</v>
      </c>
      <c r="J18" s="89"/>
      <c r="K18" s="90"/>
      <c r="L18" s="19" t="s">
        <v>140</v>
      </c>
      <c r="M18" s="19"/>
      <c r="N18" s="19" t="s">
        <v>141</v>
      </c>
    </row>
    <row r="19">
      <c r="A19" s="85" t="s">
        <v>144</v>
      </c>
      <c r="B19" s="86"/>
      <c r="C19" s="86"/>
      <c r="E19" s="92" t="s">
        <v>145</v>
      </c>
      <c r="F19" s="92">
        <f>SUMIF(G18:G50, "Republik", H18:H50)+SUMIF(G18:G50, "Stacked", H18:H50)+SUMIF(G18:G50, "Halibut House", H18:H50)+SUMIF(G18:G50, "Keg", H18:H50)+SUMIF(G18:G50, "Ramen", H18:H50)+SUMIF(G18:G50, "Pizza", H18:H50) +SUMIF(G18:G50, "A&amp;W", H18:H50) + SUMIF(G18:G50, "Chucks", H18:H50) + SUMIF(G18:G50, "Cookie Bar", H18:H50) + SUMIF(G18:G50, "Burger King", H18:H50) + SUMIF(G18:G50, "Pho", H18:H50)+SUMIF(G18:G50, "Wendys", H18:H50)+SUMIF(G18:G50, "Hot Tacos", H18:H50)+SUMIF(G18:G50, "Popeyes", H18:H50)+SUMIF(G18:G50, "Chucks", H18:H50)</f>
        <v>0</v>
      </c>
      <c r="G19" s="10" t="s">
        <v>346</v>
      </c>
      <c r="H19" s="10">
        <v>9.46</v>
      </c>
      <c r="I19" s="62">
        <v>45842.0</v>
      </c>
      <c r="J19" s="93"/>
      <c r="K19" s="90"/>
      <c r="L19" s="21" t="s">
        <v>147</v>
      </c>
      <c r="M19" s="94">
        <v>40.0</v>
      </c>
      <c r="N19" s="19"/>
    </row>
    <row r="20">
      <c r="E20" s="54" t="s">
        <v>27</v>
      </c>
      <c r="F20" s="95">
        <f>SUMIF(G18:G60, "Gas", H18:H60)</f>
        <v>62.99</v>
      </c>
      <c r="G20" s="10" t="s">
        <v>150</v>
      </c>
      <c r="H20" s="10">
        <v>18.45</v>
      </c>
      <c r="I20" s="121">
        <v>45842.0</v>
      </c>
      <c r="J20" s="93" t="s">
        <v>347</v>
      </c>
      <c r="K20" s="96"/>
      <c r="L20" s="19" t="s">
        <v>151</v>
      </c>
      <c r="M20" s="97">
        <v>120.0</v>
      </c>
      <c r="N20" s="19" t="s">
        <v>152</v>
      </c>
    </row>
    <row r="21">
      <c r="A21" s="85" t="s">
        <v>153</v>
      </c>
      <c r="B21" s="85" t="s">
        <v>154</v>
      </c>
      <c r="C21" s="86"/>
      <c r="E21" s="85" t="s">
        <v>155</v>
      </c>
      <c r="F21" s="86">
        <f>SUMIF(G18:G50, "McDonalds", H18:H50) </f>
        <v>0</v>
      </c>
      <c r="G21" s="10" t="s">
        <v>254</v>
      </c>
      <c r="H21" s="10">
        <v>8.13</v>
      </c>
      <c r="I21" s="121">
        <v>45842.0</v>
      </c>
      <c r="J21" s="93"/>
      <c r="K21" s="90"/>
      <c r="L21" s="98" t="s">
        <v>157</v>
      </c>
      <c r="M21" s="94">
        <v>1000.0</v>
      </c>
      <c r="N21" s="19"/>
    </row>
    <row r="22">
      <c r="A22" s="85" t="s">
        <v>158</v>
      </c>
      <c r="B22" s="85" t="s">
        <v>159</v>
      </c>
      <c r="C22" s="86"/>
      <c r="E22" s="10" t="s">
        <v>160</v>
      </c>
      <c r="F22" s="10">
        <f>SUMIF(G18:G50, "Urbn Planet", H18:H50)+SUMIF(G18:G50, "Winners", H18:H50) +SUMIF(G18:G50, "Platos", H18:H50) </f>
        <v>0</v>
      </c>
      <c r="G22" s="10" t="s">
        <v>348</v>
      </c>
      <c r="H22" s="10">
        <v>3.75</v>
      </c>
      <c r="I22" s="121">
        <v>45843.0</v>
      </c>
      <c r="J22" s="93" t="s">
        <v>349</v>
      </c>
      <c r="K22" s="90"/>
      <c r="L22" s="21" t="s">
        <v>162</v>
      </c>
      <c r="M22" s="97"/>
      <c r="N22" s="19"/>
      <c r="O22" s="99" t="s">
        <v>163</v>
      </c>
      <c r="Q22" s="99" t="s">
        <v>164</v>
      </c>
    </row>
    <row r="23">
      <c r="A23" s="85" t="s">
        <v>165</v>
      </c>
      <c r="B23" s="85" t="s">
        <v>166</v>
      </c>
      <c r="C23" s="86"/>
      <c r="E23" s="10" t="s">
        <v>117</v>
      </c>
      <c r="F23" s="26">
        <f>0</f>
        <v>0</v>
      </c>
      <c r="G23" s="10" t="s">
        <v>346</v>
      </c>
      <c r="H23" s="10">
        <v>10.71</v>
      </c>
      <c r="I23" s="121">
        <v>45843.0</v>
      </c>
      <c r="J23" s="89"/>
      <c r="K23" s="90"/>
      <c r="L23" s="21" t="s">
        <v>167</v>
      </c>
      <c r="M23" s="94">
        <v>30.0</v>
      </c>
      <c r="N23" s="19"/>
      <c r="O23" s="100" t="s">
        <v>130</v>
      </c>
      <c r="P23" s="101" t="s">
        <v>168</v>
      </c>
      <c r="Q23" s="100" t="s">
        <v>130</v>
      </c>
      <c r="R23" s="101" t="s">
        <v>169</v>
      </c>
    </row>
    <row r="24">
      <c r="E24" s="102" t="s">
        <v>170</v>
      </c>
      <c r="F24" s="33">
        <f>SUMIF(G18:G50, "LCBO", H18:H50) + SUMIF(G18:G50, "Beer Store", H18:H50)+ SUMIF(G18:G50, "Drinks", H18:H50)+SUMIF(G18:G50, "Beer", H18:H50)+SUMIF(G18:G50, "Wine", H18:H50)</f>
        <v>30.47</v>
      </c>
      <c r="G24" s="10" t="s">
        <v>254</v>
      </c>
      <c r="H24" s="10">
        <v>3.81</v>
      </c>
      <c r="I24" s="62">
        <v>45843.0</v>
      </c>
      <c r="J24" s="89"/>
      <c r="K24" s="90"/>
      <c r="L24" s="19"/>
      <c r="M24" s="97"/>
      <c r="N24" s="19"/>
      <c r="O24" s="103" t="s">
        <v>131</v>
      </c>
      <c r="P24" s="104" t="s">
        <v>168</v>
      </c>
      <c r="Q24" s="103" t="s">
        <v>131</v>
      </c>
      <c r="R24" s="104" t="s">
        <v>169</v>
      </c>
    </row>
    <row r="25">
      <c r="A25" s="13" t="s">
        <v>172</v>
      </c>
      <c r="E25" s="105" t="s">
        <v>173</v>
      </c>
      <c r="F25" s="106">
        <f>SUMIF(G18:G50, "TIMS", H18:H50) + SUMIF(G18:G50, "Casa Miro", H18:H50) + SUMIF(G18:G50, "Toto", H18:H50) + SUMIF(G18:G50, "Coffee Exchange", H18:H50)+ SUMIF(G18:G50, "Ciao Caffe", H18:H50)+ SUMIF(G18:G50, "Starbucks", H18:H50)
</f>
        <v>53.95</v>
      </c>
      <c r="G25" s="10" t="s">
        <v>150</v>
      </c>
      <c r="H25" s="10">
        <v>2.17</v>
      </c>
      <c r="I25" s="62">
        <v>45844.0</v>
      </c>
      <c r="J25" s="93"/>
      <c r="K25" s="19"/>
      <c r="L25" s="19"/>
      <c r="M25" s="107"/>
      <c r="N25" s="19"/>
      <c r="O25" s="103" t="s">
        <v>132</v>
      </c>
      <c r="P25" s="104" t="s">
        <v>168</v>
      </c>
      <c r="Q25" s="103" t="s">
        <v>132</v>
      </c>
      <c r="R25" s="104" t="s">
        <v>169</v>
      </c>
    </row>
    <row r="26">
      <c r="A26" s="21" t="s">
        <v>350</v>
      </c>
      <c r="B26" s="166"/>
      <c r="C26" s="109"/>
      <c r="D26" s="19"/>
      <c r="E26" s="79" t="s">
        <v>52</v>
      </c>
      <c r="F26" s="110">
        <f>SUM(F18:F25)
</f>
        <v>188.65</v>
      </c>
      <c r="G26" s="21" t="s">
        <v>351</v>
      </c>
      <c r="H26" s="94">
        <v>21.16</v>
      </c>
      <c r="I26" s="109">
        <v>45845.0</v>
      </c>
      <c r="J26" s="89"/>
      <c r="K26" s="21" t="s">
        <v>174</v>
      </c>
      <c r="L26" s="19" t="s">
        <v>52</v>
      </c>
      <c r="M26" s="97">
        <f>M20++M19+M21+M22+M24+M23+M25</f>
        <v>1190</v>
      </c>
      <c r="O26" s="103" t="s">
        <v>126</v>
      </c>
      <c r="P26" s="104" t="s">
        <v>175</v>
      </c>
      <c r="Q26" s="103" t="s">
        <v>126</v>
      </c>
      <c r="R26" s="104" t="s">
        <v>176</v>
      </c>
    </row>
    <row r="27">
      <c r="A27" s="10" t="s">
        <v>352</v>
      </c>
      <c r="B27" s="10" t="s">
        <v>353</v>
      </c>
      <c r="C27" s="94"/>
      <c r="D27" s="21"/>
      <c r="E27" s="79" t="s">
        <v>177</v>
      </c>
      <c r="F27" s="111">
        <f>I1/(15-F3)</f>
        <v>6.2415625</v>
      </c>
      <c r="G27" s="21" t="s">
        <v>150</v>
      </c>
      <c r="H27" s="94">
        <v>2.17</v>
      </c>
      <c r="I27" s="109">
        <v>45845.0</v>
      </c>
      <c r="J27" s="89"/>
      <c r="K27" s="21" t="s">
        <v>164</v>
      </c>
      <c r="L27" s="10"/>
      <c r="O27" s="103" t="s">
        <v>127</v>
      </c>
      <c r="P27" s="104" t="s">
        <v>175</v>
      </c>
      <c r="Q27" s="103" t="s">
        <v>127</v>
      </c>
      <c r="R27" s="104" t="s">
        <v>178</v>
      </c>
    </row>
    <row r="28">
      <c r="A28" s="98" t="s">
        <v>179</v>
      </c>
      <c r="B28" s="28"/>
      <c r="C28" s="112"/>
      <c r="D28" s="19"/>
      <c r="E28" s="10" t="s">
        <v>180</v>
      </c>
      <c r="F28" s="26">
        <f>I1-F26
</f>
        <v>210.81</v>
      </c>
      <c r="G28" s="21" t="s">
        <v>261</v>
      </c>
      <c r="H28" s="94">
        <v>3.99</v>
      </c>
      <c r="I28" s="109">
        <v>45846.0</v>
      </c>
      <c r="J28" s="89"/>
      <c r="K28" s="21" t="s">
        <v>182</v>
      </c>
      <c r="O28" s="103" t="s">
        <v>128</v>
      </c>
      <c r="P28" s="104" t="s">
        <v>168</v>
      </c>
      <c r="Q28" s="103" t="s">
        <v>128</v>
      </c>
      <c r="R28" s="104" t="s">
        <v>183</v>
      </c>
    </row>
    <row r="29">
      <c r="A29" s="21"/>
      <c r="B29" s="94"/>
      <c r="C29" s="109"/>
      <c r="D29" s="19"/>
      <c r="E29" s="10" t="s">
        <v>171</v>
      </c>
      <c r="F29" s="26">
        <f>SUMIF(G18:G60, "Wal Mart", H18:H60) </f>
        <v>0</v>
      </c>
      <c r="G29" s="21" t="s">
        <v>254</v>
      </c>
      <c r="H29" s="94">
        <v>7.97</v>
      </c>
      <c r="I29" s="109">
        <v>45846.0</v>
      </c>
      <c r="J29" s="89"/>
      <c r="K29" s="10" t="s">
        <v>325</v>
      </c>
      <c r="O29" s="103" t="s">
        <v>129</v>
      </c>
      <c r="P29" s="104" t="s">
        <v>168</v>
      </c>
      <c r="Q29" s="103" t="s">
        <v>129</v>
      </c>
      <c r="R29" s="104" t="s">
        <v>169</v>
      </c>
    </row>
    <row r="30">
      <c r="A30" s="21"/>
      <c r="B30" s="94"/>
      <c r="C30" s="109"/>
      <c r="D30" s="89"/>
      <c r="F30" s="135"/>
      <c r="G30" s="21" t="s">
        <v>354</v>
      </c>
      <c r="H30" s="94">
        <v>41.24</v>
      </c>
      <c r="I30" s="109">
        <v>45847.0</v>
      </c>
      <c r="J30" s="21" t="s">
        <v>355</v>
      </c>
      <c r="K30" s="10" t="s">
        <v>327</v>
      </c>
      <c r="Q30" s="122" t="s">
        <v>186</v>
      </c>
    </row>
    <row r="31">
      <c r="A31" s="21" t="s">
        <v>356</v>
      </c>
      <c r="B31" s="94"/>
      <c r="C31" s="109"/>
      <c r="D31" s="89"/>
      <c r="F31" s="135"/>
      <c r="G31" s="21" t="s">
        <v>181</v>
      </c>
      <c r="H31" s="94">
        <v>10.6</v>
      </c>
      <c r="I31" s="109">
        <v>45847.0</v>
      </c>
      <c r="J31" s="21"/>
      <c r="K31" s="10" t="s">
        <v>329</v>
      </c>
      <c r="L31" s="10"/>
      <c r="Q31" s="125" t="s">
        <v>130</v>
      </c>
      <c r="R31" s="125" t="s">
        <v>190</v>
      </c>
    </row>
    <row r="32">
      <c r="A32" s="21" t="s">
        <v>27</v>
      </c>
      <c r="B32" s="10">
        <v>80.0</v>
      </c>
      <c r="C32" s="62">
        <v>45855.0</v>
      </c>
      <c r="F32" s="135"/>
      <c r="G32" s="21" t="s">
        <v>357</v>
      </c>
      <c r="H32" s="94">
        <v>10.32</v>
      </c>
      <c r="I32" s="109">
        <v>45847.0</v>
      </c>
      <c r="J32" s="93"/>
      <c r="K32" s="10" t="s">
        <v>192</v>
      </c>
      <c r="N32" s="10" t="s">
        <v>193</v>
      </c>
      <c r="Q32" s="128" t="s">
        <v>131</v>
      </c>
      <c r="R32" s="128" t="s">
        <v>190</v>
      </c>
    </row>
    <row r="33">
      <c r="A33" s="10" t="s">
        <v>358</v>
      </c>
      <c r="B33" s="10" t="s">
        <v>359</v>
      </c>
      <c r="C33" s="10" t="s">
        <v>360</v>
      </c>
      <c r="D33" s="10"/>
      <c r="E33" s="135"/>
      <c r="F33" s="135"/>
      <c r="G33" s="21" t="s">
        <v>150</v>
      </c>
      <c r="H33" s="94">
        <v>2.17</v>
      </c>
      <c r="I33" s="109">
        <v>45848.0</v>
      </c>
      <c r="J33" s="93"/>
      <c r="K33" s="132" t="s">
        <v>196</v>
      </c>
      <c r="Q33" s="128" t="s">
        <v>132</v>
      </c>
      <c r="R33" s="128" t="s">
        <v>190</v>
      </c>
    </row>
    <row r="34">
      <c r="E34" s="135"/>
      <c r="F34" s="167"/>
      <c r="G34" s="21" t="s">
        <v>361</v>
      </c>
      <c r="H34" s="94">
        <v>9.76</v>
      </c>
      <c r="I34" s="161">
        <v>45849.0</v>
      </c>
      <c r="J34" s="93"/>
      <c r="K34" s="132" t="s">
        <v>330</v>
      </c>
      <c r="M34" s="10">
        <v>200.0</v>
      </c>
      <c r="N34" s="10" t="s">
        <v>125</v>
      </c>
      <c r="O34" s="10" t="s">
        <v>289</v>
      </c>
      <c r="Q34" s="128" t="s">
        <v>126</v>
      </c>
      <c r="R34" s="128" t="s">
        <v>201</v>
      </c>
    </row>
    <row r="35">
      <c r="E35" s="135"/>
      <c r="F35" s="132" t="s">
        <v>362</v>
      </c>
      <c r="G35" s="21" t="s">
        <v>150</v>
      </c>
      <c r="H35" s="94">
        <v>2.28</v>
      </c>
      <c r="I35" s="109">
        <v>45849.0</v>
      </c>
      <c r="J35" s="93"/>
      <c r="K35" s="132"/>
      <c r="N35" s="10" t="s">
        <v>290</v>
      </c>
      <c r="Q35" s="128" t="s">
        <v>127</v>
      </c>
      <c r="R35" s="128" t="s">
        <v>201</v>
      </c>
    </row>
    <row r="36">
      <c r="E36" s="135"/>
      <c r="F36" s="135"/>
      <c r="G36" s="10" t="s">
        <v>309</v>
      </c>
      <c r="H36" s="10">
        <v>9.03</v>
      </c>
      <c r="I36" s="62">
        <v>45849.0</v>
      </c>
      <c r="K36" s="10"/>
      <c r="N36" s="10" t="s">
        <v>291</v>
      </c>
      <c r="Q36" s="128" t="s">
        <v>128</v>
      </c>
      <c r="R36" s="128" t="s">
        <v>203</v>
      </c>
    </row>
    <row r="37">
      <c r="A37" s="84"/>
      <c r="B37" s="84"/>
      <c r="C37" s="84"/>
      <c r="D37" s="84"/>
      <c r="E37" s="84"/>
      <c r="F37" s="84"/>
      <c r="G37" s="10" t="s">
        <v>261</v>
      </c>
      <c r="H37" s="10">
        <v>7.49</v>
      </c>
      <c r="I37" s="62">
        <v>45850.0</v>
      </c>
      <c r="J37" s="93"/>
      <c r="K37" s="135"/>
      <c r="N37" s="10" t="s">
        <v>294</v>
      </c>
      <c r="Q37" s="128" t="s">
        <v>129</v>
      </c>
      <c r="R37" s="128" t="s">
        <v>203</v>
      </c>
    </row>
    <row r="38">
      <c r="A38" s="85" t="s">
        <v>87</v>
      </c>
      <c r="B38" s="10">
        <v>31200.0</v>
      </c>
      <c r="E38" s="85" t="s">
        <v>363</v>
      </c>
      <c r="F38" s="132">
        <v>200.0</v>
      </c>
      <c r="G38" s="10" t="s">
        <v>150</v>
      </c>
      <c r="H38" s="10">
        <v>4.91</v>
      </c>
      <c r="I38" s="62">
        <v>45850.0</v>
      </c>
      <c r="J38" s="93"/>
      <c r="K38" s="135"/>
      <c r="Q38" s="142" t="s">
        <v>209</v>
      </c>
    </row>
    <row r="39">
      <c r="A39" s="85" t="s">
        <v>364</v>
      </c>
      <c r="B39" s="10">
        <v>36008.0</v>
      </c>
      <c r="E39" s="85" t="s">
        <v>365</v>
      </c>
      <c r="F39" s="135">
        <f>F38*5</f>
        <v>1000</v>
      </c>
      <c r="G39" s="10" t="s">
        <v>27</v>
      </c>
      <c r="H39" s="10">
        <v>62.99</v>
      </c>
      <c r="I39" s="62">
        <v>45851.0</v>
      </c>
      <c r="J39" s="93"/>
      <c r="K39" s="132"/>
      <c r="Q39" s="145" t="s">
        <v>212</v>
      </c>
    </row>
    <row r="40">
      <c r="A40" s="85" t="s">
        <v>52</v>
      </c>
      <c r="B40" s="26">
        <f>SUM(B38:B39)
</f>
        <v>67208</v>
      </c>
      <c r="E40" s="85" t="s">
        <v>366</v>
      </c>
      <c r="F40" s="135">
        <f>F39*4</f>
        <v>4000</v>
      </c>
      <c r="G40" s="10" t="s">
        <v>150</v>
      </c>
      <c r="H40" s="10">
        <v>5.49</v>
      </c>
      <c r="I40" s="147">
        <v>45851.0</v>
      </c>
      <c r="J40" s="93"/>
      <c r="K40" s="132"/>
      <c r="Q40" s="145" t="s">
        <v>214</v>
      </c>
    </row>
    <row r="41">
      <c r="A41" s="126" t="s">
        <v>367</v>
      </c>
      <c r="B41" s="168"/>
      <c r="C41" s="169">
        <f>TODAY()
</f>
        <v>45905</v>
      </c>
      <c r="E41" s="85" t="s">
        <v>368</v>
      </c>
      <c r="F41" s="135">
        <f>F40*12</f>
        <v>48000</v>
      </c>
      <c r="G41" s="10" t="s">
        <v>150</v>
      </c>
      <c r="H41" s="10">
        <v>3.34</v>
      </c>
      <c r="I41" s="62">
        <v>45851.0</v>
      </c>
      <c r="J41" s="93"/>
      <c r="K41" s="132"/>
      <c r="Q41" s="145" t="s">
        <v>216</v>
      </c>
    </row>
    <row r="42">
      <c r="A42" s="10" t="s">
        <v>369</v>
      </c>
      <c r="B42" s="26">
        <f>B40*(C42/100)</f>
        <v>8737.04</v>
      </c>
      <c r="C42" s="10">
        <v>13.0</v>
      </c>
      <c r="G42" s="21" t="s">
        <v>150</v>
      </c>
      <c r="H42" s="94">
        <v>2.17</v>
      </c>
      <c r="I42" s="151">
        <v>45852.0</v>
      </c>
      <c r="Q42" s="145" t="s">
        <v>218</v>
      </c>
    </row>
    <row r="43">
      <c r="G43" s="21" t="s">
        <v>254</v>
      </c>
      <c r="H43" s="94">
        <v>10.56</v>
      </c>
      <c r="I43" s="151">
        <v>45852.0</v>
      </c>
      <c r="Q43" s="145" t="s">
        <v>219</v>
      </c>
    </row>
    <row r="44">
      <c r="G44" s="10" t="s">
        <v>370</v>
      </c>
      <c r="H44" s="10">
        <v>2.25</v>
      </c>
      <c r="I44" s="151">
        <v>45852.0</v>
      </c>
      <c r="J44" s="165"/>
      <c r="Q44" s="145" t="s">
        <v>221</v>
      </c>
    </row>
    <row r="45">
      <c r="G45" s="10" t="s">
        <v>371</v>
      </c>
      <c r="H45" s="10">
        <v>4.0</v>
      </c>
      <c r="I45" s="62">
        <v>45852.0</v>
      </c>
      <c r="Q45" s="145" t="s">
        <v>223</v>
      </c>
    </row>
    <row r="46">
      <c r="G46" s="10" t="s">
        <v>150</v>
      </c>
      <c r="H46" s="10">
        <v>6.95</v>
      </c>
      <c r="I46" s="62">
        <v>45853.0</v>
      </c>
    </row>
    <row r="47">
      <c r="G47" s="10" t="s">
        <v>372</v>
      </c>
      <c r="H47" s="10">
        <v>43.22</v>
      </c>
      <c r="I47" s="62">
        <v>45853.0</v>
      </c>
    </row>
    <row r="48">
      <c r="G48" s="10" t="s">
        <v>150</v>
      </c>
      <c r="H48" s="10">
        <v>1.68</v>
      </c>
      <c r="I48" s="62">
        <v>45853.0</v>
      </c>
    </row>
    <row r="49">
      <c r="G49" s="10" t="s">
        <v>373</v>
      </c>
      <c r="H49" s="10">
        <v>38.34</v>
      </c>
      <c r="I49" s="62">
        <v>45853.0</v>
      </c>
    </row>
    <row r="50">
      <c r="G50" s="10" t="s">
        <v>374</v>
      </c>
      <c r="H50" s="10">
        <v>4.0</v>
      </c>
      <c r="I50" s="62">
        <v>45854.0</v>
      </c>
    </row>
    <row r="51">
      <c r="G51" s="10" t="s">
        <v>150</v>
      </c>
      <c r="H51" s="10">
        <v>1.67</v>
      </c>
      <c r="I51" s="62">
        <v>45854.0</v>
      </c>
    </row>
    <row r="52">
      <c r="G52" s="10" t="s">
        <v>351</v>
      </c>
      <c r="H52" s="10">
        <v>4.5</v>
      </c>
      <c r="I52" s="62">
        <v>45854.0</v>
      </c>
      <c r="J52" s="10" t="s">
        <v>375</v>
      </c>
    </row>
    <row r="53">
      <c r="G53" s="10" t="s">
        <v>155</v>
      </c>
      <c r="H53" s="10">
        <v>4.95</v>
      </c>
      <c r="I53" s="62">
        <v>45855.0</v>
      </c>
    </row>
    <row r="54">
      <c r="G54" s="10" t="s">
        <v>259</v>
      </c>
      <c r="H54" s="10">
        <v>4.52</v>
      </c>
      <c r="I54" s="147">
        <v>45855.0</v>
      </c>
      <c r="J54" s="10" t="s">
        <v>376</v>
      </c>
    </row>
    <row r="55">
      <c r="G55" s="10" t="s">
        <v>199</v>
      </c>
      <c r="H55" s="10">
        <v>7.09</v>
      </c>
      <c r="I55" s="62">
        <v>45855.0</v>
      </c>
    </row>
  </sheetData>
  <conditionalFormatting sqref="I1">
    <cfRule type="notContainsBlanks" dxfId="2" priority="1">
      <formula>LEN(TRIM(I1))&gt;0</formula>
    </cfRule>
  </conditionalFormatting>
  <conditionalFormatting sqref="A9:N15">
    <cfRule type="cellIs" dxfId="3" priority="2" operator="equal">
      <formula>"TIMS"</formula>
    </cfRule>
  </conditionalFormatting>
  <conditionalFormatting sqref="A9:N15">
    <cfRule type="cellIs" dxfId="4" priority="3" operator="equal">
      <formula>"Dispo"</formula>
    </cfRule>
  </conditionalFormatting>
  <conditionalFormatting sqref="A9:N15">
    <cfRule type="cellIs" dxfId="1" priority="4" operator="equal">
      <formula>"Gas"</formula>
    </cfRule>
  </conditionalFormatting>
  <conditionalFormatting sqref="G18:G29 A26 A30:A31 G31 G33:G42 G44:G56">
    <cfRule type="cellIs" dxfId="3" priority="5" operator="equal">
      <formula>"TIMS"</formula>
    </cfRule>
  </conditionalFormatting>
  <conditionalFormatting sqref="G18:G29 A26 A30:A31 G31 G33:G42 G44:G56">
    <cfRule type="cellIs" dxfId="4" priority="6" operator="equal">
      <formula>"Dispo"</formula>
    </cfRule>
  </conditionalFormatting>
  <conditionalFormatting sqref="G18:G29 A26 A30:A31 G31 G33:G42 G44:G56">
    <cfRule type="cellIs" dxfId="5" priority="7" operator="equal">
      <formula>"McDonalds"</formula>
    </cfRule>
  </conditionalFormatting>
  <conditionalFormatting sqref="H18:H26 B26 B28 H28:H29 B30:B32 H31 H33:H42 H44:H60">
    <cfRule type="cellIs" dxfId="1" priority="8" operator="greaterThan">
      <formula>60</formula>
    </cfRule>
  </conditionalFormatting>
  <conditionalFormatting sqref="H18:H26 B26 B28 H28:H29 B30:B32 H31 H33:H42 H44:H60">
    <cfRule type="cellIs" dxfId="6" priority="9" operator="between">
      <formula>30</formula>
      <formula>60</formula>
    </cfRule>
  </conditionalFormatting>
  <conditionalFormatting sqref="I5">
    <cfRule type="cellIs" dxfId="0" priority="10" operator="greaterThan">
      <formula>0</formula>
    </cfRule>
  </conditionalFormatting>
  <conditionalFormatting sqref="I5">
    <cfRule type="cellIs" dxfId="1" priority="11" operator="lessThanOrEqual">
      <formula>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13"/>
      <c r="C1" s="1"/>
      <c r="E1" s="54" t="s">
        <v>114</v>
      </c>
      <c r="F1" s="55">
        <f>TODAY()
</f>
        <v>45905</v>
      </c>
      <c r="H1" s="56" t="s">
        <v>115</v>
      </c>
      <c r="I1" s="32">
        <f>SUM(IFERROR(16:16, 0))
</f>
        <v>377.87</v>
      </c>
      <c r="K1" s="57" t="s">
        <v>265</v>
      </c>
      <c r="L1" s="58"/>
      <c r="M1" s="57" t="s">
        <v>266</v>
      </c>
      <c r="O1" s="7" t="s">
        <v>116</v>
      </c>
      <c r="P1" s="59" t="s">
        <v>117</v>
      </c>
    </row>
    <row r="2">
      <c r="E2" s="10" t="s">
        <v>118</v>
      </c>
      <c r="F2" s="60">
        <v>45841.0</v>
      </c>
      <c r="H2" s="56" t="s">
        <v>119</v>
      </c>
      <c r="I2" s="61">
        <f>500 + 45.2 - 15.69 - 8.89 - 15.52 + 48.59</f>
        <v>553.69</v>
      </c>
      <c r="K2" s="10" t="s">
        <v>173</v>
      </c>
      <c r="L2" s="10">
        <v>40.0</v>
      </c>
      <c r="M2" s="10" t="s">
        <v>267</v>
      </c>
      <c r="P2" s="10" t="s">
        <v>377</v>
      </c>
      <c r="Q2" s="10" t="s">
        <v>378</v>
      </c>
    </row>
    <row r="3">
      <c r="C3" s="62"/>
      <c r="E3" s="10" t="s">
        <v>120</v>
      </c>
      <c r="F3" s="26">
        <f>F2-F1+1
</f>
        <v>-63</v>
      </c>
      <c r="H3" s="24" t="s">
        <v>80</v>
      </c>
      <c r="I3" s="56">
        <f>I2-I1
</f>
        <v>175.82</v>
      </c>
      <c r="K3" s="10" t="s">
        <v>268</v>
      </c>
      <c r="L3" s="10" t="s">
        <v>269</v>
      </c>
      <c r="M3" s="10" t="s">
        <v>270</v>
      </c>
      <c r="O3" s="10" t="s">
        <v>121</v>
      </c>
    </row>
    <row r="4">
      <c r="C4" s="62"/>
      <c r="E4" s="10" t="s">
        <v>49</v>
      </c>
      <c r="F4" s="26">
        <f>I2-I1
</f>
        <v>175.82</v>
      </c>
      <c r="H4" s="63"/>
      <c r="I4" s="63"/>
      <c r="K4" s="10" t="s">
        <v>27</v>
      </c>
      <c r="L4" s="10" t="s">
        <v>271</v>
      </c>
    </row>
    <row r="5">
      <c r="C5" s="62"/>
      <c r="E5" s="10" t="s">
        <v>122</v>
      </c>
      <c r="H5" s="64" t="s">
        <v>123</v>
      </c>
      <c r="I5" s="64">
        <f>I3/F3
</f>
        <v>-2.790793651</v>
      </c>
    </row>
    <row r="6">
      <c r="C6" s="62"/>
      <c r="K6" s="65"/>
      <c r="R6" s="66"/>
    </row>
    <row r="7">
      <c r="A7" s="32" t="s">
        <v>379</v>
      </c>
      <c r="B7" s="53"/>
      <c r="C7" s="170"/>
      <c r="D7" s="171"/>
      <c r="E7" s="44"/>
      <c r="F7" s="44"/>
      <c r="G7" s="67"/>
      <c r="H7" s="44"/>
      <c r="I7" s="10"/>
      <c r="J7" s="172"/>
      <c r="K7" s="10"/>
      <c r="L7" s="44"/>
      <c r="M7" s="44"/>
      <c r="N7" s="44"/>
      <c r="P7" s="10" t="s">
        <v>313</v>
      </c>
    </row>
    <row r="8">
      <c r="A8" s="72">
        <v>45828.0</v>
      </c>
      <c r="B8" s="72">
        <v>45829.0</v>
      </c>
      <c r="C8" s="73">
        <v>45830.0</v>
      </c>
      <c r="D8" s="72">
        <v>45831.0</v>
      </c>
      <c r="E8" s="72">
        <v>45832.0</v>
      </c>
      <c r="F8" s="72">
        <v>45833.0</v>
      </c>
      <c r="G8" s="72">
        <v>45834.0</v>
      </c>
      <c r="H8" s="72">
        <v>45835.0</v>
      </c>
      <c r="I8" s="72">
        <v>45836.0</v>
      </c>
      <c r="J8" s="72">
        <v>45837.0</v>
      </c>
      <c r="K8" s="72">
        <v>45838.0</v>
      </c>
      <c r="L8" s="72">
        <v>45839.0</v>
      </c>
      <c r="M8" s="72">
        <v>45840.0</v>
      </c>
      <c r="N8" s="72">
        <v>45841.0</v>
      </c>
      <c r="O8" s="74"/>
      <c r="P8" s="10" t="s">
        <v>125</v>
      </c>
      <c r="Q8" s="75"/>
      <c r="R8" s="10" t="s">
        <v>47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  <c r="O9" s="53"/>
      <c r="P9" s="10" t="s">
        <v>133</v>
      </c>
    </row>
    <row r="10">
      <c r="A10" s="26" t="str">
        <f>IFERROR(__xludf.DUMMYFUNCTION("FILTER(G17:G52, I17:I52=A8)
"),"TIMS")</f>
        <v>TIMS</v>
      </c>
      <c r="B10" s="10" t="str">
        <f>IFERROR(__xludf.DUMMYFUNCTION("FILTER(G17:G52, I17:I52=B8)
"),"TIMS")</f>
        <v>TIMS</v>
      </c>
      <c r="C10" s="10" t="str">
        <f>IFERROR(__xludf.DUMMYFUNCTION("FILTER(G17:G52, I17:I52=C8)
"),"KOA")</f>
        <v>KOA</v>
      </c>
      <c r="D10" s="26" t="str">
        <f>IFERROR(__xludf.DUMMYFUNCTION("FILTER(G17:G52, I17:I52=D8)
"),"TIMS")</f>
        <v>TIMS</v>
      </c>
      <c r="E10" s="26" t="str">
        <f>IFERROR(__xludf.DUMMYFUNCTION("FILTER(G17:G52, I17:I52=E8)
"),"TIMS")</f>
        <v>TIMS</v>
      </c>
      <c r="F10" s="26" t="str">
        <f>IFERROR(__xludf.DUMMYFUNCTION("FILTER(G17:G52, I17:I52=F8)
"),"Car Wash ")</f>
        <v>Car Wash </v>
      </c>
      <c r="G10" s="26" t="str">
        <f>IFERROR(__xludf.DUMMYFUNCTION("FILTER(G17:G52, I17:I52=G8)
"),"Dispo")</f>
        <v>Dispo</v>
      </c>
      <c r="H10" s="26" t="str">
        <f>IFERROR(__xludf.DUMMYFUNCTION("FILTER(G17:G52, I17:I52=H8)
"),"City Cafe")</f>
        <v>City Cafe</v>
      </c>
      <c r="I10" s="10" t="str">
        <f>IFERROR(__xludf.DUMMYFUNCTION("FILTER(G16:G51, I16:I51=I8)
"),"TIMS")</f>
        <v>TIMS</v>
      </c>
      <c r="J10" s="26" t="str">
        <f>IFERROR(__xludf.DUMMYFUNCTION("FILTER(G15:G50, I15:I50=J8)
"),"TIMS")</f>
        <v>TIMS</v>
      </c>
      <c r="K10" s="26" t="str">
        <f>IFERROR(__xludf.DUMMYFUNCTION("FILTER(G15:G50, I15:I50=K8)
"),"TIMS")</f>
        <v>TIMS</v>
      </c>
      <c r="L10" s="26" t="str">
        <f>IFERROR(__xludf.DUMMYFUNCTION("FILTER(G15:G65, I15:I65=L8)
"),"#N/A")</f>
        <v>#N/A</v>
      </c>
      <c r="M10" s="10" t="str">
        <f>IFERROR(__xludf.DUMMYFUNCTION("FILTER(G15:G65, I15:I65=M8)
"),"GNC")</f>
        <v>GNC</v>
      </c>
      <c r="N10" s="26" t="str">
        <f>IFERROR(__xludf.DUMMYFUNCTION("FILTER(G15:G65, I15:I65=N8)
"),"LCBO")</f>
        <v>LCBO</v>
      </c>
      <c r="P10" s="10" t="s">
        <v>134</v>
      </c>
    </row>
    <row r="11">
      <c r="A11" s="26" t="str">
        <f>IFERROR(__xludf.DUMMYFUNCTION("""COMPUTED_VALUE"""),"Frostbite")</f>
        <v>Frostbite</v>
      </c>
      <c r="B11" s="26" t="str">
        <f>IFERROR(__xludf.DUMMYFUNCTION("""COMPUTED_VALUE"""),"Kettleby Esso")</f>
        <v>Kettleby Esso</v>
      </c>
      <c r="C11" s="26" t="str">
        <f>IFERROR(__xludf.DUMMYFUNCTION("""COMPUTED_VALUE"""),"Wal Mart")</f>
        <v>Wal Mart</v>
      </c>
      <c r="F11" s="26" t="str">
        <f>IFERROR(__xludf.DUMMYFUNCTION("""COMPUTED_VALUE"""),"TIMS")</f>
        <v>TIMS</v>
      </c>
      <c r="G11" s="26" t="str">
        <f>IFERROR(__xludf.DUMMYFUNCTION("""COMPUTED_VALUE"""),"TIMS")</f>
        <v>TIMS</v>
      </c>
      <c r="H11" s="26" t="str">
        <f>IFERROR(__xludf.DUMMYFUNCTION("""COMPUTED_VALUE"""),"Metro ")</f>
        <v>Metro </v>
      </c>
      <c r="I11" s="26" t="str">
        <f>IFERROR(__xludf.DUMMYFUNCTION("""COMPUTED_VALUE"""),"TIMS")</f>
        <v>TIMS</v>
      </c>
      <c r="J11" s="26" t="str">
        <f>IFERROR(__xludf.DUMMYFUNCTION("""COMPUTED_VALUE"""),"Gas")</f>
        <v>Gas</v>
      </c>
      <c r="K11" s="26" t="str">
        <f>IFERROR(__xludf.DUMMYFUNCTION("""COMPUTED_VALUE"""),"McDonalds")</f>
        <v>McDonalds</v>
      </c>
      <c r="M11" s="26" t="str">
        <f>IFERROR(__xludf.DUMMYFUNCTION("""COMPUTED_VALUE"""),"TIMS")</f>
        <v>TIMS</v>
      </c>
    </row>
    <row r="12">
      <c r="A12" s="26" t="str">
        <f>IFERROR(__xludf.DUMMYFUNCTION("""COMPUTED_VALUE"""),"Metro")</f>
        <v>Metro</v>
      </c>
      <c r="B12" s="26" t="str">
        <f>IFERROR(__xludf.DUMMYFUNCTION("""COMPUTED_VALUE"""),"Pita Pit")</f>
        <v>Pita Pit</v>
      </c>
      <c r="C12" s="26" t="str">
        <f>IFERROR(__xludf.DUMMYFUNCTION("""COMPUTED_VALUE"""),"McDonalds")</f>
        <v>McDonalds</v>
      </c>
      <c r="J12" s="26" t="str">
        <f>IFERROR(__xludf.DUMMYFUNCTION("""COMPUTED_VALUE"""),"Antonino")</f>
        <v>Antonino</v>
      </c>
      <c r="M12" s="26" t="str">
        <f>IFERROR(__xludf.DUMMYFUNCTION("""COMPUTED_VALUE"""),"McDonalds")</f>
        <v>McDonalds</v>
      </c>
    </row>
    <row r="13">
      <c r="A13" s="77"/>
      <c r="B13" s="77"/>
    </row>
    <row r="14">
      <c r="A14" s="77"/>
      <c r="B14" s="77"/>
      <c r="K14" s="10" t="s">
        <v>122</v>
      </c>
    </row>
    <row r="15">
      <c r="A15" s="78"/>
      <c r="B15" s="78"/>
    </row>
    <row r="16">
      <c r="A16" s="56">
        <f>IFERROR(__xludf.DUMMYFUNCTION("SUM(FILTER(H17:H52, I17:I52=A8))
"),62.97)</f>
        <v>62.97</v>
      </c>
      <c r="B16" s="56">
        <f>IFERROR(__xludf.DUMMYFUNCTION("SUM(FILTER(H17:H52, I17:I52=B8))
"),67.75)</f>
        <v>67.75</v>
      </c>
      <c r="C16" s="56">
        <f>IFERROR(__xludf.DUMMYFUNCTION("SUM(FILTER(H17:H52, I17:I52=C8))
"),22.580000000000002)</f>
        <v>22.58</v>
      </c>
      <c r="D16" s="56">
        <f>IFERROR(__xludf.DUMMYFUNCTION("SUM(FILTER(H17:H52, I17:I52=D8))
"),2.17)</f>
        <v>2.17</v>
      </c>
      <c r="E16" s="56">
        <f>IFERROR(__xludf.DUMMYFUNCTION("SUM(FILTER(H17:H52, I17:I52=E8))
"),2.29)</f>
        <v>2.29</v>
      </c>
      <c r="F16" s="56">
        <f>IFERROR(__xludf.DUMMYFUNCTION("SUM(FILTER(H17:H52, I17:I52=F8))
"),10.530000000000001)</f>
        <v>10.53</v>
      </c>
      <c r="G16" s="56">
        <f>IFERROR(__xludf.DUMMYFUNCTION("SUM(FILTER(H17:H52, I17:I52=G8))
"),29.990000000000002)</f>
        <v>29.99</v>
      </c>
      <c r="H16" s="56">
        <f>IFERROR(__xludf.DUMMYFUNCTION("SUM(FILTER(H17:H52, I17:I52=H8))
"),5.29)</f>
        <v>5.29</v>
      </c>
      <c r="I16" s="56">
        <f>IFERROR(__xludf.DUMMYFUNCTION("SUM(FILTER(H17:H52, I17:I52=I8))
"),15.56)</f>
        <v>15.56</v>
      </c>
      <c r="J16" s="56">
        <f>IFERROR(__xludf.DUMMYFUNCTION("SUM(FILTER(H17:H52, I17:I52=J8))
"),113.83)</f>
        <v>113.83</v>
      </c>
      <c r="K16" s="56">
        <f>IFERROR(__xludf.DUMMYFUNCTION("SUM(FILTER(H17:H52, I17:I52=K8))
"),15.92)</f>
        <v>15.92</v>
      </c>
      <c r="L16" s="56" t="str">
        <f>IFERROR(__xludf.DUMMYFUNCTION("SUM(FILTER(H17:H52, I17:I52=L8))
"),"#N/A")</f>
        <v>#N/A</v>
      </c>
      <c r="M16" s="56">
        <f>IFERROR(__xludf.DUMMYFUNCTION("SUM(FILTER(H17:H62, I17:I62=M8))
"),20.68)</f>
        <v>20.68</v>
      </c>
      <c r="N16" s="35">
        <f>IFERROR(__xludf.DUMMYFUNCTION("SUM(FILTER(H17:H62, I17:I62=N8))
"),8.31)</f>
        <v>8.31</v>
      </c>
      <c r="O16" s="10" t="s">
        <v>314</v>
      </c>
    </row>
    <row r="17">
      <c r="A17" s="10"/>
      <c r="E17" s="79" t="s">
        <v>135</v>
      </c>
      <c r="F17" s="80">
        <f>COUNTIF(G18:G1002, "TIMS")+COUNTIF(G18:G1002, "Casa Miro")+COUNTIF(G18:G1002, "Toto")+COUNTIF(G18:G1002, "Coffee Exchange")+COUNTIF(G18:G1002, "Ciao Caffe")
</f>
        <v>11</v>
      </c>
      <c r="G17" s="81"/>
      <c r="H17" s="81"/>
      <c r="I17" s="82"/>
      <c r="J17" s="83" t="s">
        <v>136</v>
      </c>
      <c r="K17" s="84"/>
      <c r="L17" s="84"/>
      <c r="M17" s="84"/>
      <c r="N17" s="84"/>
    </row>
    <row r="18">
      <c r="A18" s="85" t="s">
        <v>137</v>
      </c>
      <c r="B18" s="86"/>
      <c r="C18" s="86"/>
      <c r="E18" s="87" t="s">
        <v>138</v>
      </c>
      <c r="F18" s="88">
        <f>SUMIF(G18:G50, "Dispo", H18:H50)+SUMIF(G18:G50, "c cabana", H18:H50)</f>
        <v>27.82</v>
      </c>
      <c r="G18" s="10" t="s">
        <v>150</v>
      </c>
      <c r="H18" s="10">
        <v>2.17</v>
      </c>
      <c r="I18" s="62">
        <v>45828.0</v>
      </c>
      <c r="J18" s="89"/>
      <c r="K18" s="90"/>
      <c r="L18" s="19" t="s">
        <v>140</v>
      </c>
      <c r="M18" s="19"/>
      <c r="N18" s="19" t="s">
        <v>141</v>
      </c>
    </row>
    <row r="19">
      <c r="A19" s="85" t="s">
        <v>144</v>
      </c>
      <c r="B19" s="86"/>
      <c r="C19" s="86"/>
      <c r="E19" s="92" t="s">
        <v>145</v>
      </c>
      <c r="F19" s="92">
        <f>SUMIF(G18:G50, "Republik", H18:H50)+SUMIF(G18:G50, "Stacked", H18:H50)+SUMIF(G18:G50, "Halibut House", H18:H50)+SUMIF(G18:G50, "Keg", H18:H50)+SUMIF(G18:G50, "Ramen", H18:H50)+SUMIF(G18:G50, "Pizza", H18:H50) +SUMIF(G18:G50, "A&amp;W", H18:H50) + SUMIF(G18:G50, "Chucks", H18:H50) + SUMIF(G18:G50, "Cookie Bar", H18:H50) + SUMIF(G18:G50, "Burger King", H18:H50) + SUMIF(G18:G50, "Pho", H18:H50)+SUMIF(G18:G50, "Wendys", H18:H50)+SUMIF(G18:G50, "Hot Tacos", H18:H50)+SUMIF(G18:G50, "Popeyes", H18:H50)+SUMIF(G18:G50, "Chucks", H18:H50)</f>
        <v>0</v>
      </c>
      <c r="G19" s="21" t="s">
        <v>380</v>
      </c>
      <c r="H19" s="94">
        <v>6.22</v>
      </c>
      <c r="I19" s="109">
        <v>45828.0</v>
      </c>
      <c r="J19" s="93"/>
      <c r="K19" s="90"/>
      <c r="L19" s="21" t="s">
        <v>147</v>
      </c>
      <c r="M19" s="94">
        <v>40.0</v>
      </c>
      <c r="N19" s="19"/>
    </row>
    <row r="20">
      <c r="E20" s="54" t="s">
        <v>27</v>
      </c>
      <c r="F20" s="95">
        <f>SUMIF(G18:G60, "Gas", H18:H60)</f>
        <v>59.18</v>
      </c>
      <c r="G20" s="21" t="s">
        <v>261</v>
      </c>
      <c r="H20" s="94">
        <v>54.58</v>
      </c>
      <c r="I20" s="109">
        <v>45828.0</v>
      </c>
      <c r="J20" s="93" t="s">
        <v>347</v>
      </c>
      <c r="K20" s="96"/>
      <c r="L20" s="19" t="s">
        <v>151</v>
      </c>
      <c r="M20" s="97">
        <v>120.0</v>
      </c>
      <c r="N20" s="19" t="s">
        <v>152</v>
      </c>
    </row>
    <row r="21">
      <c r="A21" s="85" t="s">
        <v>153</v>
      </c>
      <c r="B21" s="85" t="s">
        <v>154</v>
      </c>
      <c r="C21" s="86"/>
      <c r="E21" s="85" t="s">
        <v>155</v>
      </c>
      <c r="F21" s="86">
        <f>SUMIF(G18:G50, "McDonalds", H18:H50) </f>
        <v>31.48</v>
      </c>
      <c r="G21" s="21" t="s">
        <v>150</v>
      </c>
      <c r="H21" s="94">
        <v>7.1</v>
      </c>
      <c r="I21" s="109">
        <v>45829.0</v>
      </c>
      <c r="J21" s="93"/>
      <c r="K21" s="90"/>
      <c r="L21" s="98" t="s">
        <v>157</v>
      </c>
      <c r="M21" s="94">
        <v>1000.0</v>
      </c>
      <c r="N21" s="19"/>
    </row>
    <row r="22">
      <c r="A22" s="85" t="s">
        <v>158</v>
      </c>
      <c r="B22" s="85" t="s">
        <v>159</v>
      </c>
      <c r="C22" s="86"/>
      <c r="E22" s="10" t="s">
        <v>160</v>
      </c>
      <c r="F22" s="10">
        <f>SUMIF(G18:G50, "Urbn Planet", H18:H50)+SUMIF(G18:G50, "Winners", H18:H50) +SUMIF(G18:G50, "Platos", H18:H50) </f>
        <v>0</v>
      </c>
      <c r="G22" s="21" t="s">
        <v>381</v>
      </c>
      <c r="H22" s="94">
        <v>31.98</v>
      </c>
      <c r="I22" s="109">
        <v>45829.0</v>
      </c>
      <c r="J22" s="93" t="s">
        <v>349</v>
      </c>
      <c r="K22" s="90"/>
      <c r="L22" s="21" t="s">
        <v>162</v>
      </c>
      <c r="M22" s="97"/>
      <c r="N22" s="19"/>
      <c r="O22" s="99" t="s">
        <v>163</v>
      </c>
      <c r="Q22" s="99" t="s">
        <v>164</v>
      </c>
    </row>
    <row r="23">
      <c r="A23" s="85" t="s">
        <v>165</v>
      </c>
      <c r="B23" s="85" t="s">
        <v>166</v>
      </c>
      <c r="C23" s="86"/>
      <c r="E23" s="10" t="s">
        <v>117</v>
      </c>
      <c r="F23" s="26">
        <f>0</f>
        <v>0</v>
      </c>
      <c r="G23" s="21" t="s">
        <v>382</v>
      </c>
      <c r="H23" s="94">
        <v>6.2</v>
      </c>
      <c r="I23" s="109">
        <v>45830.0</v>
      </c>
      <c r="J23" s="89"/>
      <c r="K23" s="90"/>
      <c r="L23" s="21" t="s">
        <v>167</v>
      </c>
      <c r="M23" s="94">
        <v>30.0</v>
      </c>
      <c r="N23" s="19"/>
      <c r="O23" s="100" t="s">
        <v>130</v>
      </c>
      <c r="P23" s="101" t="s">
        <v>168</v>
      </c>
      <c r="Q23" s="100" t="s">
        <v>130</v>
      </c>
      <c r="R23" s="101" t="s">
        <v>169</v>
      </c>
    </row>
    <row r="24">
      <c r="E24" s="102" t="s">
        <v>170</v>
      </c>
      <c r="F24" s="33">
        <f>SUMIF(G18:G50, "LCBO", H18:H50) + SUMIF(G18:G50, "Beer Store", H18:H50)+ SUMIF(G18:G50, "Drinks", H18:H50)+SUMIF(G18:G50, "Beer", H18:H50)+SUMIF(G18:G50, "Wine", H18:H50)</f>
        <v>8.31</v>
      </c>
      <c r="G24" s="21" t="s">
        <v>171</v>
      </c>
      <c r="H24" s="94">
        <v>12.4</v>
      </c>
      <c r="I24" s="109">
        <v>45830.0</v>
      </c>
      <c r="J24" s="89"/>
      <c r="K24" s="90"/>
      <c r="L24" s="19"/>
      <c r="M24" s="97"/>
      <c r="N24" s="19"/>
      <c r="O24" s="103" t="s">
        <v>131</v>
      </c>
      <c r="P24" s="104" t="s">
        <v>168</v>
      </c>
      <c r="Q24" s="103" t="s">
        <v>131</v>
      </c>
      <c r="R24" s="104" t="s">
        <v>169</v>
      </c>
    </row>
    <row r="25">
      <c r="A25" s="13" t="s">
        <v>172</v>
      </c>
      <c r="E25" s="105" t="s">
        <v>173</v>
      </c>
      <c r="F25" s="106">
        <f>SUMIF(G18:G50, "TIMS", H18:H50) + SUMIF(G18:G50, "Casa Miro", H18:H50) + SUMIF(G18:G50, "Toto", H18:H50) + SUMIF(G18:G50, "Coffee Exchange", H18:H50)+ SUMIF(G18:G50, "Ciao Caffe", H18:H50)+ SUMIF(G18:G50, "Starbucks", H18:H50)
</f>
        <v>50.9</v>
      </c>
      <c r="G25" s="21" t="s">
        <v>155</v>
      </c>
      <c r="H25" s="94">
        <v>3.98</v>
      </c>
      <c r="I25" s="109">
        <v>45830.0</v>
      </c>
      <c r="J25" s="93"/>
      <c r="K25" s="19"/>
      <c r="L25" s="19"/>
      <c r="M25" s="107"/>
      <c r="N25" s="19"/>
      <c r="O25" s="103" t="s">
        <v>132</v>
      </c>
      <c r="P25" s="104" t="s">
        <v>168</v>
      </c>
      <c r="Q25" s="103" t="s">
        <v>132</v>
      </c>
      <c r="R25" s="104" t="s">
        <v>169</v>
      </c>
    </row>
    <row r="26">
      <c r="A26" s="21" t="s">
        <v>350</v>
      </c>
      <c r="B26" s="166"/>
      <c r="C26" s="109"/>
      <c r="D26" s="19"/>
      <c r="E26" s="79" t="s">
        <v>52</v>
      </c>
      <c r="F26" s="110">
        <f>SUM(F18:F25)
</f>
        <v>177.69</v>
      </c>
      <c r="G26" s="21" t="s">
        <v>383</v>
      </c>
      <c r="H26" s="94">
        <v>28.67</v>
      </c>
      <c r="I26" s="109">
        <v>45829.0</v>
      </c>
      <c r="J26" s="89"/>
      <c r="K26" s="21" t="s">
        <v>174</v>
      </c>
      <c r="L26" s="19" t="s">
        <v>52</v>
      </c>
      <c r="M26" s="97">
        <f>M20++M19+M21+M22+M24+M23+M25</f>
        <v>1190</v>
      </c>
      <c r="O26" s="103" t="s">
        <v>126</v>
      </c>
      <c r="P26" s="104" t="s">
        <v>175</v>
      </c>
      <c r="Q26" s="103" t="s">
        <v>126</v>
      </c>
      <c r="R26" s="104" t="s">
        <v>176</v>
      </c>
    </row>
    <row r="27">
      <c r="A27" s="10" t="s">
        <v>384</v>
      </c>
      <c r="B27" s="10"/>
      <c r="C27" s="94"/>
      <c r="D27" s="21"/>
      <c r="E27" s="79" t="s">
        <v>177</v>
      </c>
      <c r="F27" s="111">
        <f>I1/(15-F3)</f>
        <v>4.844487179</v>
      </c>
      <c r="G27" s="21" t="s">
        <v>150</v>
      </c>
      <c r="H27" s="94">
        <v>2.17</v>
      </c>
      <c r="I27" s="109">
        <v>45831.0</v>
      </c>
      <c r="J27" s="89"/>
      <c r="K27" s="21" t="s">
        <v>164</v>
      </c>
      <c r="L27" s="10"/>
      <c r="O27" s="103" t="s">
        <v>127</v>
      </c>
      <c r="P27" s="104" t="s">
        <v>175</v>
      </c>
      <c r="Q27" s="103" t="s">
        <v>127</v>
      </c>
      <c r="R27" s="104" t="s">
        <v>178</v>
      </c>
    </row>
    <row r="28">
      <c r="A28" s="98" t="s">
        <v>179</v>
      </c>
      <c r="B28" s="28"/>
      <c r="C28" s="112"/>
      <c r="D28" s="19"/>
      <c r="E28" s="10" t="s">
        <v>180</v>
      </c>
      <c r="F28" s="26">
        <f>I1-F26
</f>
        <v>200.18</v>
      </c>
      <c r="G28" s="21" t="s">
        <v>150</v>
      </c>
      <c r="H28" s="94">
        <v>2.29</v>
      </c>
      <c r="I28" s="109">
        <v>45832.0</v>
      </c>
      <c r="J28" s="89"/>
      <c r="K28" s="21" t="s">
        <v>182</v>
      </c>
      <c r="O28" s="103" t="s">
        <v>128</v>
      </c>
      <c r="P28" s="104" t="s">
        <v>168</v>
      </c>
      <c r="Q28" s="103" t="s">
        <v>128</v>
      </c>
      <c r="R28" s="104" t="s">
        <v>183</v>
      </c>
    </row>
    <row r="29">
      <c r="A29" s="21"/>
      <c r="B29" s="94"/>
      <c r="C29" s="109"/>
      <c r="D29" s="19"/>
      <c r="E29" s="10" t="s">
        <v>171</v>
      </c>
      <c r="F29" s="26">
        <f>SUMIF(G18:G60, "Wal Mart", H18:H60) </f>
        <v>12.4</v>
      </c>
      <c r="G29" s="21" t="s">
        <v>385</v>
      </c>
      <c r="H29" s="94">
        <v>4.0</v>
      </c>
      <c r="I29" s="109">
        <v>45833.0</v>
      </c>
      <c r="J29" s="89"/>
      <c r="K29" s="10" t="s">
        <v>325</v>
      </c>
      <c r="O29" s="103" t="s">
        <v>129</v>
      </c>
      <c r="P29" s="104" t="s">
        <v>168</v>
      </c>
      <c r="Q29" s="103" t="s">
        <v>129</v>
      </c>
      <c r="R29" s="104" t="s">
        <v>169</v>
      </c>
    </row>
    <row r="30">
      <c r="A30" s="21"/>
      <c r="B30" s="94"/>
      <c r="C30" s="109"/>
      <c r="D30" s="89"/>
      <c r="F30" s="135"/>
      <c r="G30" s="21" t="s">
        <v>150</v>
      </c>
      <c r="H30" s="94">
        <v>6.53</v>
      </c>
      <c r="I30" s="109">
        <v>45833.0</v>
      </c>
      <c r="J30" s="21"/>
      <c r="K30" s="10" t="s">
        <v>327</v>
      </c>
      <c r="Q30" s="122" t="s">
        <v>186</v>
      </c>
    </row>
    <row r="31">
      <c r="A31" s="21" t="s">
        <v>356</v>
      </c>
      <c r="B31" s="94"/>
      <c r="C31" s="109"/>
      <c r="D31" s="89"/>
      <c r="F31" s="135"/>
      <c r="G31" s="21" t="s">
        <v>257</v>
      </c>
      <c r="H31" s="94">
        <v>27.82</v>
      </c>
      <c r="I31" s="109">
        <v>45834.0</v>
      </c>
      <c r="J31" s="21"/>
      <c r="K31" s="10" t="s">
        <v>329</v>
      </c>
      <c r="L31" s="10"/>
      <c r="Q31" s="125" t="s">
        <v>130</v>
      </c>
      <c r="R31" s="125" t="s">
        <v>190</v>
      </c>
    </row>
    <row r="32">
      <c r="A32" s="21"/>
      <c r="C32" s="62"/>
      <c r="F32" s="135"/>
      <c r="G32" s="21" t="s">
        <v>150</v>
      </c>
      <c r="H32" s="94">
        <v>2.17</v>
      </c>
      <c r="I32" s="109">
        <v>45834.0</v>
      </c>
      <c r="J32" s="93"/>
      <c r="K32" s="10" t="s">
        <v>192</v>
      </c>
      <c r="N32" s="10" t="s">
        <v>193</v>
      </c>
      <c r="Q32" s="128" t="s">
        <v>131</v>
      </c>
      <c r="R32" s="128" t="s">
        <v>190</v>
      </c>
    </row>
    <row r="33">
      <c r="A33" s="10" t="s">
        <v>358</v>
      </c>
      <c r="B33" s="10" t="s">
        <v>359</v>
      </c>
      <c r="C33" s="10" t="s">
        <v>360</v>
      </c>
      <c r="D33" s="10"/>
      <c r="E33" s="135"/>
      <c r="F33" s="135"/>
      <c r="G33" s="21" t="s">
        <v>258</v>
      </c>
      <c r="H33" s="94">
        <v>2.0</v>
      </c>
      <c r="I33" s="109">
        <v>45835.0</v>
      </c>
      <c r="J33" s="93"/>
      <c r="K33" s="132" t="s">
        <v>196</v>
      </c>
      <c r="Q33" s="128" t="s">
        <v>132</v>
      </c>
      <c r="R33" s="128" t="s">
        <v>190</v>
      </c>
    </row>
    <row r="34">
      <c r="E34" s="135"/>
      <c r="F34" s="167"/>
      <c r="G34" s="21" t="s">
        <v>386</v>
      </c>
      <c r="H34" s="94">
        <v>3.29</v>
      </c>
      <c r="I34" s="161">
        <v>45835.0</v>
      </c>
      <c r="J34" s="93"/>
      <c r="K34" s="132" t="s">
        <v>330</v>
      </c>
      <c r="M34" s="10">
        <v>200.0</v>
      </c>
      <c r="N34" s="173">
        <v>45874.0</v>
      </c>
      <c r="O34" s="10" t="s">
        <v>289</v>
      </c>
      <c r="Q34" s="128" t="s">
        <v>126</v>
      </c>
      <c r="R34" s="128" t="s">
        <v>201</v>
      </c>
    </row>
    <row r="35">
      <c r="E35" s="135"/>
      <c r="F35" s="132" t="s">
        <v>362</v>
      </c>
      <c r="G35" s="21" t="s">
        <v>150</v>
      </c>
      <c r="H35" s="94">
        <v>10.88</v>
      </c>
      <c r="I35" s="109">
        <v>45836.0</v>
      </c>
      <c r="J35" s="93"/>
      <c r="K35" s="132"/>
      <c r="Q35" s="128" t="s">
        <v>127</v>
      </c>
      <c r="R35" s="128" t="s">
        <v>201</v>
      </c>
    </row>
    <row r="36">
      <c r="E36" s="135"/>
      <c r="F36" s="135"/>
      <c r="G36" s="10" t="s">
        <v>150</v>
      </c>
      <c r="H36" s="10">
        <v>4.68</v>
      </c>
      <c r="I36" s="62">
        <v>45836.0</v>
      </c>
      <c r="K36" s="10"/>
      <c r="Q36" s="128" t="s">
        <v>128</v>
      </c>
      <c r="R36" s="128" t="s">
        <v>203</v>
      </c>
    </row>
    <row r="37">
      <c r="A37" s="84"/>
      <c r="B37" s="84"/>
      <c r="C37" s="84"/>
      <c r="D37" s="84"/>
      <c r="E37" s="84"/>
      <c r="F37" s="84"/>
      <c r="G37" s="10" t="s">
        <v>150</v>
      </c>
      <c r="H37" s="10">
        <v>6.06</v>
      </c>
      <c r="I37" s="62">
        <v>45837.0</v>
      </c>
      <c r="J37" s="93"/>
      <c r="K37" s="135"/>
      <c r="Q37" s="128" t="s">
        <v>129</v>
      </c>
      <c r="R37" s="128" t="s">
        <v>203</v>
      </c>
    </row>
    <row r="38">
      <c r="A38" s="85" t="s">
        <v>87</v>
      </c>
      <c r="B38" s="10">
        <v>31200.0</v>
      </c>
      <c r="E38" s="85" t="s">
        <v>363</v>
      </c>
      <c r="F38" s="132">
        <v>200.0</v>
      </c>
      <c r="G38" s="10" t="s">
        <v>27</v>
      </c>
      <c r="H38" s="10">
        <v>59.18</v>
      </c>
      <c r="I38" s="62">
        <v>45837.0</v>
      </c>
      <c r="J38" s="93"/>
      <c r="K38" s="135"/>
      <c r="Q38" s="142" t="s">
        <v>209</v>
      </c>
    </row>
    <row r="39">
      <c r="A39" s="85" t="s">
        <v>364</v>
      </c>
      <c r="B39" s="10">
        <v>36008.0</v>
      </c>
      <c r="E39" s="85" t="s">
        <v>365</v>
      </c>
      <c r="F39" s="135">
        <f>F38*5</f>
        <v>1000</v>
      </c>
      <c r="G39" s="10" t="s">
        <v>387</v>
      </c>
      <c r="H39" s="10">
        <v>48.59</v>
      </c>
      <c r="I39" s="62">
        <v>45837.0</v>
      </c>
      <c r="J39" s="93"/>
      <c r="K39" s="132"/>
      <c r="Q39" s="145" t="s">
        <v>212</v>
      </c>
    </row>
    <row r="40">
      <c r="A40" s="85" t="s">
        <v>52</v>
      </c>
      <c r="B40" s="26">
        <f>SUM(B38:B39)
</f>
        <v>67208</v>
      </c>
      <c r="E40" s="85" t="s">
        <v>366</v>
      </c>
      <c r="F40" s="135">
        <f>F39*4</f>
        <v>4000</v>
      </c>
      <c r="G40" s="10" t="s">
        <v>150</v>
      </c>
      <c r="H40" s="10">
        <v>2.17</v>
      </c>
      <c r="I40" s="147">
        <v>45838.0</v>
      </c>
      <c r="J40" s="93"/>
      <c r="K40" s="132"/>
      <c r="Q40" s="145" t="s">
        <v>214</v>
      </c>
    </row>
    <row r="41">
      <c r="A41" s="126" t="s">
        <v>367</v>
      </c>
      <c r="B41" s="168"/>
      <c r="C41" s="169">
        <f>TODAY()
</f>
        <v>45905</v>
      </c>
      <c r="E41" s="85" t="s">
        <v>368</v>
      </c>
      <c r="F41" s="135">
        <f>F40*12</f>
        <v>48000</v>
      </c>
      <c r="G41" s="10" t="s">
        <v>155</v>
      </c>
      <c r="H41" s="10">
        <v>13.75</v>
      </c>
      <c r="I41" s="62">
        <v>45838.0</v>
      </c>
      <c r="J41" s="93"/>
      <c r="K41" s="132"/>
      <c r="Q41" s="145" t="s">
        <v>216</v>
      </c>
    </row>
    <row r="42">
      <c r="A42" s="10" t="s">
        <v>369</v>
      </c>
      <c r="B42" s="26">
        <f>B40*(C42/100)</f>
        <v>8737.04</v>
      </c>
      <c r="C42" s="10">
        <v>13.0</v>
      </c>
      <c r="G42" s="21" t="s">
        <v>388</v>
      </c>
      <c r="H42" s="94">
        <v>2.25</v>
      </c>
      <c r="I42" s="151">
        <v>45840.0</v>
      </c>
      <c r="Q42" s="145" t="s">
        <v>218</v>
      </c>
    </row>
    <row r="43">
      <c r="G43" s="21" t="s">
        <v>150</v>
      </c>
      <c r="H43" s="94">
        <v>4.68</v>
      </c>
      <c r="I43" s="151">
        <v>45840.0</v>
      </c>
      <c r="Q43" s="145" t="s">
        <v>219</v>
      </c>
    </row>
    <row r="44">
      <c r="G44" s="10" t="s">
        <v>155</v>
      </c>
      <c r="H44" s="10">
        <v>13.75</v>
      </c>
      <c r="I44" s="151">
        <v>45840.0</v>
      </c>
      <c r="J44" s="165"/>
      <c r="Q44" s="145" t="s">
        <v>221</v>
      </c>
    </row>
    <row r="45">
      <c r="G45" s="10" t="s">
        <v>254</v>
      </c>
      <c r="H45" s="10">
        <v>8.31</v>
      </c>
      <c r="I45" s="62">
        <v>45841.0</v>
      </c>
      <c r="J45" s="10" t="s">
        <v>254</v>
      </c>
      <c r="K45" s="10">
        <v>8.31</v>
      </c>
      <c r="L45" s="62">
        <v>45841.0</v>
      </c>
      <c r="Q45" s="145" t="s">
        <v>223</v>
      </c>
    </row>
    <row r="46">
      <c r="I46" s="62"/>
    </row>
    <row r="47">
      <c r="I47" s="62"/>
    </row>
    <row r="48">
      <c r="I48" s="121"/>
    </row>
    <row r="49">
      <c r="I49" s="121"/>
    </row>
    <row r="50">
      <c r="I50" s="121"/>
    </row>
    <row r="51">
      <c r="I51" s="121"/>
    </row>
    <row r="52">
      <c r="I52" s="62"/>
    </row>
    <row r="53">
      <c r="I53" s="62"/>
    </row>
    <row r="54">
      <c r="I54" s="147"/>
    </row>
  </sheetData>
  <conditionalFormatting sqref="I1">
    <cfRule type="notContainsBlanks" dxfId="2" priority="1">
      <formula>LEN(TRIM(I1))&gt;0</formula>
    </cfRule>
  </conditionalFormatting>
  <conditionalFormatting sqref="A9:N15">
    <cfRule type="cellIs" dxfId="3" priority="2" operator="equal">
      <formula>"TIMS"</formula>
    </cfRule>
  </conditionalFormatting>
  <conditionalFormatting sqref="A9:N15">
    <cfRule type="cellIs" dxfId="4" priority="3" operator="equal">
      <formula>"Dispo"</formula>
    </cfRule>
  </conditionalFormatting>
  <conditionalFormatting sqref="A9:N15">
    <cfRule type="cellIs" dxfId="1" priority="4" operator="equal">
      <formula>"Gas"</formula>
    </cfRule>
  </conditionalFormatting>
  <conditionalFormatting sqref="G18:G29 A26 A30:A31 G31 G33:G42 G44:G56 J45">
    <cfRule type="cellIs" dxfId="3" priority="5" operator="equal">
      <formula>"TIMS"</formula>
    </cfRule>
  </conditionalFormatting>
  <conditionalFormatting sqref="G18:G29 A26 A30:A31 G31 G33:G42 G44:G56 J45">
    <cfRule type="cellIs" dxfId="4" priority="6" operator="equal">
      <formula>"Dispo"</formula>
    </cfRule>
  </conditionalFormatting>
  <conditionalFormatting sqref="G18:G29 A26 A30:A31 G31 G33:G42 G44:G56 J45">
    <cfRule type="cellIs" dxfId="5" priority="7" operator="equal">
      <formula>"McDonalds"</formula>
    </cfRule>
  </conditionalFormatting>
  <conditionalFormatting sqref="H18:H26 B26 B28 H28:H29 B30:B32 H31 H33:H42 H44:H60 K45">
    <cfRule type="cellIs" dxfId="1" priority="8" operator="greaterThan">
      <formula>60</formula>
    </cfRule>
  </conditionalFormatting>
  <conditionalFormatting sqref="H18:H26 B26 B28 H28:H29 B30:B32 H31 H33:H42 H44:H60 K45">
    <cfRule type="cellIs" dxfId="6" priority="9" operator="between">
      <formula>30</formula>
      <formula>60</formula>
    </cfRule>
  </conditionalFormatting>
  <conditionalFormatting sqref="I5">
    <cfRule type="cellIs" dxfId="0" priority="10" operator="greaterThan">
      <formula>0</formula>
    </cfRule>
  </conditionalFormatting>
  <conditionalFormatting sqref="I5">
    <cfRule type="cellIs" dxfId="1" priority="11" operator="lessThanOrEqual">
      <formula>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13"/>
      <c r="C1" s="1"/>
      <c r="E1" s="54" t="s">
        <v>114</v>
      </c>
      <c r="F1" s="55">
        <f>TODAY()
</f>
        <v>45905</v>
      </c>
      <c r="H1" s="56" t="s">
        <v>115</v>
      </c>
      <c r="I1" s="32">
        <f>SUM(IFERROR(16:16, 0))
</f>
        <v>532.41</v>
      </c>
      <c r="K1" s="57" t="s">
        <v>265</v>
      </c>
      <c r="L1" s="58"/>
      <c r="M1" s="57" t="s">
        <v>266</v>
      </c>
      <c r="O1" s="7" t="s">
        <v>116</v>
      </c>
      <c r="P1" s="59" t="s">
        <v>117</v>
      </c>
    </row>
    <row r="2">
      <c r="E2" s="10" t="s">
        <v>118</v>
      </c>
      <c r="F2" s="60">
        <v>45827.0</v>
      </c>
      <c r="H2" s="56" t="s">
        <v>119</v>
      </c>
      <c r="I2" s="61">
        <f>500 + 50 </f>
        <v>550</v>
      </c>
      <c r="K2" s="10" t="s">
        <v>173</v>
      </c>
      <c r="L2" s="10">
        <v>40.0</v>
      </c>
      <c r="M2" s="10" t="s">
        <v>267</v>
      </c>
      <c r="P2" s="10" t="s">
        <v>377</v>
      </c>
      <c r="Q2" s="10" t="s">
        <v>378</v>
      </c>
    </row>
    <row r="3">
      <c r="C3" s="62"/>
      <c r="E3" s="10" t="s">
        <v>120</v>
      </c>
      <c r="F3" s="26">
        <f>F2-F1+1
</f>
        <v>-77</v>
      </c>
      <c r="H3" s="24" t="s">
        <v>80</v>
      </c>
      <c r="I3" s="56">
        <f>I2-I1
</f>
        <v>17.59</v>
      </c>
      <c r="K3" s="10" t="s">
        <v>268</v>
      </c>
      <c r="L3" s="10" t="s">
        <v>269</v>
      </c>
      <c r="M3" s="10" t="s">
        <v>270</v>
      </c>
      <c r="O3" s="10" t="s">
        <v>121</v>
      </c>
    </row>
    <row r="4">
      <c r="C4" s="62"/>
      <c r="E4" s="10" t="s">
        <v>49</v>
      </c>
      <c r="F4" s="26">
        <f>I2-I1
</f>
        <v>17.59</v>
      </c>
      <c r="H4" s="63"/>
      <c r="I4" s="63"/>
      <c r="K4" s="10" t="s">
        <v>27</v>
      </c>
      <c r="L4" s="10" t="s">
        <v>271</v>
      </c>
    </row>
    <row r="5">
      <c r="C5" s="62"/>
      <c r="E5" s="10" t="s">
        <v>122</v>
      </c>
      <c r="H5" s="64" t="s">
        <v>123</v>
      </c>
      <c r="I5" s="64">
        <f>I3/F3
</f>
        <v>-0.2284415584</v>
      </c>
    </row>
    <row r="6">
      <c r="C6" s="62"/>
      <c r="K6" s="65"/>
      <c r="R6" s="66"/>
    </row>
    <row r="7">
      <c r="A7" s="69"/>
      <c r="B7" s="53"/>
      <c r="C7" s="70"/>
      <c r="D7" s="63"/>
      <c r="F7" s="44"/>
      <c r="G7" s="70"/>
      <c r="H7" s="69"/>
      <c r="I7" s="32"/>
      <c r="J7" s="174"/>
      <c r="K7" s="32"/>
      <c r="M7" s="69"/>
      <c r="N7" s="44"/>
      <c r="P7" s="10" t="s">
        <v>313</v>
      </c>
    </row>
    <row r="8">
      <c r="A8" s="72">
        <v>45814.0</v>
      </c>
      <c r="B8" s="72">
        <v>45815.0</v>
      </c>
      <c r="C8" s="73">
        <v>45816.0</v>
      </c>
      <c r="D8" s="72">
        <v>45817.0</v>
      </c>
      <c r="E8" s="72">
        <v>45818.0</v>
      </c>
      <c r="F8" s="72">
        <v>45819.0</v>
      </c>
      <c r="G8" s="72">
        <v>45820.0</v>
      </c>
      <c r="H8" s="72">
        <v>45821.0</v>
      </c>
      <c r="I8" s="72">
        <v>45822.0</v>
      </c>
      <c r="J8" s="72">
        <v>45823.0</v>
      </c>
      <c r="K8" s="72">
        <v>45824.0</v>
      </c>
      <c r="L8" s="72">
        <v>45825.0</v>
      </c>
      <c r="M8" s="72">
        <v>45826.0</v>
      </c>
      <c r="N8" s="72">
        <v>45827.0</v>
      </c>
      <c r="O8" s="74"/>
      <c r="P8" s="10" t="s">
        <v>125</v>
      </c>
      <c r="Q8" s="75"/>
      <c r="R8" s="10" t="s">
        <v>47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  <c r="O9" s="53"/>
      <c r="P9" s="10" t="s">
        <v>133</v>
      </c>
    </row>
    <row r="10">
      <c r="A10" s="26" t="str">
        <f>IFERROR(__xludf.DUMMYFUNCTION("FILTER(G17:G52, I17:I52=A8)
"),"TIMS")</f>
        <v>TIMS</v>
      </c>
      <c r="B10" s="10" t="str">
        <f>IFERROR(__xludf.DUMMYFUNCTION("FILTER(G17:G52, I17:I52=B8)
"),"TIMS")</f>
        <v>TIMS</v>
      </c>
      <c r="C10" s="10" t="str">
        <f>IFERROR(__xludf.DUMMYFUNCTION("FILTER(G17:G52, I17:I52=C8)
"),"TIMS")</f>
        <v>TIMS</v>
      </c>
      <c r="D10" s="26" t="str">
        <f>IFERROR(__xludf.DUMMYFUNCTION("FILTER(G17:G52, I17:I52=D8)
"),"McDonalds")</f>
        <v>McDonalds</v>
      </c>
      <c r="E10" s="26" t="str">
        <f>IFERROR(__xludf.DUMMYFUNCTION("FILTER(G17:G52, I17:I52=E8)
"),"City Cafe")</f>
        <v>City Cafe</v>
      </c>
      <c r="F10" s="26" t="str">
        <f>IFERROR(__xludf.DUMMYFUNCTION("FILTER(G17:G52, I17:I52=F8)
"),"TIMS")</f>
        <v>TIMS</v>
      </c>
      <c r="G10" s="26" t="str">
        <f>IFERROR(__xludf.DUMMYFUNCTION("FILTER(G17:G52, I17:I52=G8)
"),"TIMS")</f>
        <v>TIMS</v>
      </c>
      <c r="H10" s="26" t="str">
        <f>IFERROR(__xludf.DUMMYFUNCTION("FILTER(G17:G52, I17:I52=H8)
"),"TIMS")</f>
        <v>TIMS</v>
      </c>
      <c r="I10" s="10" t="str">
        <f>IFERROR(__xludf.DUMMYFUNCTION("FILTER(G16:G51, I16:I51=I8)
"),"McDonalds")</f>
        <v>McDonalds</v>
      </c>
      <c r="J10" s="26" t="str">
        <f>IFERROR(__xludf.DUMMYFUNCTION("FILTER(G15:G50, I15:I50=J8)
"),"Caribbean")</f>
        <v>Caribbean</v>
      </c>
      <c r="K10" s="26" t="str">
        <f>IFERROR(__xludf.DUMMYFUNCTION("FILTER(G15:G50, I15:I50=K8)
"),"Gas")</f>
        <v>Gas</v>
      </c>
      <c r="L10" s="26" t="str">
        <f>IFERROR(__xludf.DUMMYFUNCTION("FILTER(G15:G65, I15:I65=L8)
"),"Cinema")</f>
        <v>Cinema</v>
      </c>
      <c r="M10" s="10" t="str">
        <f>IFERROR(__xludf.DUMMYFUNCTION("FILTER(G15:G65, I15:I65=M8)
"),"Prime")</f>
        <v>Prime</v>
      </c>
      <c r="N10" s="26" t="str">
        <f>IFERROR(__xludf.DUMMYFUNCTION("FILTER(G15:G65, I15:I65=N8)
"),"TIMS")</f>
        <v>TIMS</v>
      </c>
      <c r="P10" s="10" t="s">
        <v>134</v>
      </c>
    </row>
    <row r="11">
      <c r="A11" s="26" t="str">
        <f>IFERROR(__xludf.DUMMYFUNCTION("""COMPUTED_VALUE"""),"Hot Tacos")</f>
        <v>Hot Tacos</v>
      </c>
      <c r="B11" s="26" t="str">
        <f>IFERROR(__xludf.DUMMYFUNCTION("""COMPUTED_VALUE"""),"Dollarama ")</f>
        <v>Dollarama </v>
      </c>
      <c r="C11" s="26" t="str">
        <f>IFERROR(__xludf.DUMMYFUNCTION("""COMPUTED_VALUE"""),"TIMS")</f>
        <v>TIMS</v>
      </c>
      <c r="E11" s="26" t="str">
        <f>IFERROR(__xludf.DUMMYFUNCTION("""COMPUTED_VALUE"""),"Subway ")</f>
        <v>Subway </v>
      </c>
      <c r="G11" s="26" t="str">
        <f>IFERROR(__xludf.DUMMYFUNCTION("""COMPUTED_VALUE"""),"TIMS")</f>
        <v>TIMS</v>
      </c>
      <c r="H11" s="26" t="str">
        <f>IFERROR(__xludf.DUMMYFUNCTION("""COMPUTED_VALUE"""),"Kona")</f>
        <v>Kona</v>
      </c>
      <c r="I11" s="26" t="str">
        <f>IFERROR(__xludf.DUMMYFUNCTION("""COMPUTED_VALUE"""),"TIMS")</f>
        <v>TIMS</v>
      </c>
      <c r="J11" s="26" t="str">
        <f>IFERROR(__xludf.DUMMYFUNCTION("""COMPUTED_VALUE"""),"Dispo")</f>
        <v>Dispo</v>
      </c>
      <c r="L11" s="26" t="str">
        <f>IFERROR(__xludf.DUMMYFUNCTION("""COMPUTED_VALUE"""),"TIMS")</f>
        <v>TIMS</v>
      </c>
      <c r="M11" s="26" t="str">
        <f>IFERROR(__xludf.DUMMYFUNCTION("""COMPUTED_VALUE"""),"TIMS")</f>
        <v>TIMS</v>
      </c>
    </row>
    <row r="12">
      <c r="A12" s="26" t="str">
        <f>IFERROR(__xludf.DUMMYFUNCTION("""COMPUTED_VALUE"""),"LCBO")</f>
        <v>LCBO</v>
      </c>
      <c r="B12" s="26" t="str">
        <f>IFERROR(__xludf.DUMMYFUNCTION("""COMPUTED_VALUE"""),"Art in Park")</f>
        <v>Art in Park</v>
      </c>
      <c r="I12" s="26" t="str">
        <f>IFERROR(__xludf.DUMMYFUNCTION("""COMPUTED_VALUE"""),"Wal Mart")</f>
        <v>Wal Mart</v>
      </c>
      <c r="M12" s="26" t="str">
        <f>IFERROR(__xludf.DUMMYFUNCTION("""COMPUTED_VALUE"""),"Creatine")</f>
        <v>Creatine</v>
      </c>
    </row>
    <row r="13">
      <c r="A13" s="77" t="str">
        <f>IFERROR(__xludf.DUMMYFUNCTION("""COMPUTED_VALUE"""),"Loose Goose ")</f>
        <v>Loose Goose </v>
      </c>
      <c r="B13" s="77" t="str">
        <f>IFERROR(__xludf.DUMMYFUNCTION("""COMPUTED_VALUE"""),"Dispo")</f>
        <v>Dispo</v>
      </c>
      <c r="I13" s="26" t="str">
        <f>IFERROR(__xludf.DUMMYFUNCTION("""COMPUTED_VALUE"""),"Dollarama ")</f>
        <v>Dollarama </v>
      </c>
      <c r="M13" s="26" t="str">
        <f>IFERROR(__xludf.DUMMYFUNCTION("""COMPUTED_VALUE"""),"LCBO")</f>
        <v>LCBO</v>
      </c>
    </row>
    <row r="14">
      <c r="A14" s="77"/>
      <c r="B14" s="77"/>
      <c r="I14" s="26" t="str">
        <f>IFERROR(__xludf.DUMMYFUNCTION("""COMPUTED_VALUE"""),"Dominos")</f>
        <v>Dominos</v>
      </c>
      <c r="K14" s="10" t="s">
        <v>122</v>
      </c>
      <c r="M14" s="26" t="str">
        <f>IFERROR(__xludf.DUMMYFUNCTION("""COMPUTED_VALUE"""),"Freedom ")</f>
        <v>Freedom </v>
      </c>
    </row>
    <row r="15">
      <c r="A15" s="78"/>
      <c r="B15" s="78"/>
      <c r="I15" s="26" t="str">
        <f>IFERROR(__xludf.DUMMYFUNCTION("""COMPUTED_VALUE"""),"Dispo")</f>
        <v>Dispo</v>
      </c>
    </row>
    <row r="16">
      <c r="A16" s="56">
        <f>IFERROR(__xludf.DUMMYFUNCTION("SUM(FILTER(H17:H52, I17:I52=A8))
"),45.6)</f>
        <v>45.6</v>
      </c>
      <c r="B16" s="56">
        <f>IFERROR(__xludf.DUMMYFUNCTION("SUM(FILTER(H17:H52, I17:I52=B8))
"),58.0)</f>
        <v>58</v>
      </c>
      <c r="C16" s="56">
        <f>IFERROR(__xludf.DUMMYFUNCTION("SUM(FILTER(H17:H52, I17:I52=C8))
"),7.7700000000000005)</f>
        <v>7.77</v>
      </c>
      <c r="D16" s="56">
        <f>IFERROR(__xludf.DUMMYFUNCTION("SUM(FILTER(H17:H52, I17:I52=D8))
"),22.88)</f>
        <v>22.88</v>
      </c>
      <c r="E16" s="56">
        <f>IFERROR(__xludf.DUMMYFUNCTION("SUM(FILTER(H17:H52, I17:I52=E8))
"),20.66)</f>
        <v>20.66</v>
      </c>
      <c r="F16" s="56">
        <f>IFERROR(__xludf.DUMMYFUNCTION("SUM(FILTER(H17:H52, I17:I52=F8))
"),2.17)</f>
        <v>2.17</v>
      </c>
      <c r="G16" s="56">
        <f>IFERROR(__xludf.DUMMYFUNCTION("SUM(FILTER(H17:H52, I17:I52=G8))
"),5.2700000000000005)</f>
        <v>5.27</v>
      </c>
      <c r="H16" s="56">
        <f>IFERROR(__xludf.DUMMYFUNCTION("SUM(FILTER(H17:H52, I17:I52=H8))
"),32.37)</f>
        <v>32.37</v>
      </c>
      <c r="I16" s="56">
        <f>IFERROR(__xludf.DUMMYFUNCTION("SUM(FILTER(H17:H52, I17:I52=I8))
"),135.62)</f>
        <v>135.62</v>
      </c>
      <c r="J16" s="56">
        <f>IFERROR(__xludf.DUMMYFUNCTION("SUM(FILTER(H17:H52, I17:I52=J8))
"),48.82)</f>
        <v>48.82</v>
      </c>
      <c r="K16" s="56">
        <f>IFERROR(__xludf.DUMMYFUNCTION("SUM(FILTER(H17:H52, I17:I52=K8))
"),57.66)</f>
        <v>57.66</v>
      </c>
      <c r="L16" s="56">
        <f>IFERROR(__xludf.DUMMYFUNCTION("SUM(FILTER(H17:H52, I17:I52=L8))
"),12.17)</f>
        <v>12.17</v>
      </c>
      <c r="M16" s="56">
        <f>IFERROR(__xludf.DUMMYFUNCTION("SUM(FILTER(H17:H62, I17:I62=M8))
"),78.84)</f>
        <v>78.84</v>
      </c>
      <c r="N16" s="35">
        <f>IFERROR(__xludf.DUMMYFUNCTION("SUM(FILTER(H17:H62, I17:I62=N8))
"),4.58)</f>
        <v>4.58</v>
      </c>
      <c r="O16" s="10" t="s">
        <v>314</v>
      </c>
    </row>
    <row r="17">
      <c r="A17" s="31" t="s">
        <v>389</v>
      </c>
      <c r="E17" s="79" t="s">
        <v>135</v>
      </c>
      <c r="F17" s="80">
        <f>COUNTIF(G18:G1002, "TIMS")+COUNTIF(G18:G1002, "Casa Miro")+COUNTIF(G18:G1002, "Toto")+COUNTIF(G18:G1002, "Coffee Exchange")+COUNTIF(G18:G1002, "Ciao Caffe")
</f>
        <v>12</v>
      </c>
      <c r="G17" s="81"/>
      <c r="H17" s="81"/>
      <c r="I17" s="82"/>
      <c r="J17" s="83" t="s">
        <v>136</v>
      </c>
      <c r="K17" s="84"/>
      <c r="L17" s="84"/>
      <c r="M17" s="84"/>
      <c r="N17" s="84"/>
    </row>
    <row r="18">
      <c r="A18" s="85" t="s">
        <v>137</v>
      </c>
      <c r="B18" s="86"/>
      <c r="C18" s="86"/>
      <c r="E18" s="87" t="s">
        <v>138</v>
      </c>
      <c r="F18" s="88">
        <f>SUMIF(G18:G50, "Dispo", H18:H50)+SUMIF(G18:G50, "c cabana", H18:H50)</f>
        <v>119.66</v>
      </c>
      <c r="G18" s="10" t="s">
        <v>150</v>
      </c>
      <c r="H18" s="10">
        <v>4.58</v>
      </c>
      <c r="I18" s="62">
        <v>45814.0</v>
      </c>
      <c r="J18" s="89"/>
      <c r="K18" s="90"/>
      <c r="L18" s="19" t="s">
        <v>140</v>
      </c>
      <c r="M18" s="19"/>
      <c r="N18" s="19" t="s">
        <v>141</v>
      </c>
    </row>
    <row r="19">
      <c r="A19" s="85" t="s">
        <v>144</v>
      </c>
      <c r="B19" s="86"/>
      <c r="C19" s="86"/>
      <c r="E19" s="92" t="s">
        <v>145</v>
      </c>
      <c r="F19" s="92">
        <f>SUMIF(G18:G50, "Republik", H18:H50)+SUMIF(G18:G50, "Stacked", H18:H50)+SUMIF(G18:G50, "Halibut House", H18:H50)+SUMIF(G18:G50, "Keg", H18:H50)+SUMIF(G18:G50, "Ramen", H18:H50)+SUMIF(G18:G50, "Pizza", H18:H50) +SUMIF(G18:G50, "A&amp;W", H18:H50) + SUMIF(G18:G50, "Chucks", H18:H50) + SUMIF(G18:G50, "Cookie Bar", H18:H50) + SUMIF(G18:G50, "Burger King", H18:H50) + SUMIF(G18:G50, "Pho", H18:H50)+SUMIF(G18:G50, "Wendys", H18:H50)+SUMIF(G18:G50, "Hot Tacos", H18:H50)+SUMIF(G18:G50, "Popeyes", H18:H50)+SUMIF(G18:G50, "Chucks", H18:H50)</f>
        <v>17.8</v>
      </c>
      <c r="G19" s="21" t="s">
        <v>390</v>
      </c>
      <c r="H19" s="94">
        <v>17.8</v>
      </c>
      <c r="I19" s="109">
        <v>45814.0</v>
      </c>
      <c r="J19" s="93"/>
      <c r="K19" s="90"/>
      <c r="L19" s="21" t="s">
        <v>147</v>
      </c>
      <c r="M19" s="94">
        <v>40.0</v>
      </c>
      <c r="N19" s="19"/>
    </row>
    <row r="20">
      <c r="E20" s="54" t="s">
        <v>27</v>
      </c>
      <c r="F20" s="95">
        <f>SUMIF(G18:G60, "Gas", H18:H60)</f>
        <v>57.66</v>
      </c>
      <c r="G20" s="21" t="s">
        <v>254</v>
      </c>
      <c r="H20" s="94">
        <v>11.22</v>
      </c>
      <c r="I20" s="109">
        <v>45814.0</v>
      </c>
      <c r="J20" s="93"/>
      <c r="K20" s="96"/>
      <c r="L20" s="19" t="s">
        <v>151</v>
      </c>
      <c r="M20" s="97">
        <v>120.0</v>
      </c>
      <c r="N20" s="19" t="s">
        <v>152</v>
      </c>
    </row>
    <row r="21">
      <c r="A21" s="85" t="s">
        <v>153</v>
      </c>
      <c r="B21" s="85" t="s">
        <v>154</v>
      </c>
      <c r="C21" s="86"/>
      <c r="E21" s="85" t="s">
        <v>155</v>
      </c>
      <c r="F21" s="86">
        <f>SUMIF(G18:G50, "McDonalds", H18:H50) </f>
        <v>30.78</v>
      </c>
      <c r="G21" s="21" t="s">
        <v>391</v>
      </c>
      <c r="H21" s="94">
        <v>12.0</v>
      </c>
      <c r="I21" s="109">
        <v>45814.0</v>
      </c>
      <c r="J21" s="93"/>
      <c r="K21" s="90"/>
      <c r="L21" s="98" t="s">
        <v>157</v>
      </c>
      <c r="M21" s="94">
        <v>1000.0</v>
      </c>
      <c r="N21" s="19"/>
    </row>
    <row r="22">
      <c r="A22" s="85" t="s">
        <v>158</v>
      </c>
      <c r="B22" s="85" t="s">
        <v>159</v>
      </c>
      <c r="C22" s="86"/>
      <c r="E22" s="10" t="s">
        <v>160</v>
      </c>
      <c r="F22" s="10">
        <f>SUMIF(G18:G50, "Urbn Planet", H18:H50)+SUMIF(G18:G50, "Winners", H18:H50) +SUMIF(G18:G50, "Platos", H18:H50) </f>
        <v>0</v>
      </c>
      <c r="G22" s="21" t="s">
        <v>150</v>
      </c>
      <c r="H22" s="94">
        <v>4.79</v>
      </c>
      <c r="I22" s="109">
        <v>45815.0</v>
      </c>
      <c r="J22" s="93"/>
      <c r="K22" s="90"/>
      <c r="L22" s="21" t="s">
        <v>162</v>
      </c>
      <c r="M22" s="97"/>
      <c r="N22" s="19"/>
      <c r="O22" s="99" t="s">
        <v>163</v>
      </c>
      <c r="Q22" s="99" t="s">
        <v>164</v>
      </c>
    </row>
    <row r="23">
      <c r="A23" s="85" t="s">
        <v>165</v>
      </c>
      <c r="B23" s="85" t="s">
        <v>166</v>
      </c>
      <c r="C23" s="86"/>
      <c r="E23" s="10" t="s">
        <v>117</v>
      </c>
      <c r="F23" s="26">
        <f>0</f>
        <v>0</v>
      </c>
      <c r="G23" s="21" t="s">
        <v>392</v>
      </c>
      <c r="H23" s="94">
        <v>6.0</v>
      </c>
      <c r="I23" s="109">
        <v>45815.0</v>
      </c>
      <c r="J23" s="89"/>
      <c r="K23" s="90"/>
      <c r="L23" s="21" t="s">
        <v>167</v>
      </c>
      <c r="M23" s="94">
        <v>30.0</v>
      </c>
      <c r="N23" s="19"/>
      <c r="O23" s="100" t="s">
        <v>130</v>
      </c>
      <c r="P23" s="101" t="s">
        <v>168</v>
      </c>
      <c r="Q23" s="100" t="s">
        <v>130</v>
      </c>
      <c r="R23" s="101" t="s">
        <v>169</v>
      </c>
    </row>
    <row r="24">
      <c r="E24" s="102" t="s">
        <v>170</v>
      </c>
      <c r="F24" s="33">
        <f>SUMIF(G18:G50, "LCBO", H18:H50) + SUMIF(G18:G50, "Beer Store", H18:H50)+ SUMIF(G18:G50, "Drinks", H18:H50)+SUMIF(G18:G50, "Beer", H18:H50)+SUMIF(G18:G50, "Wine", H18:H50)</f>
        <v>18.86</v>
      </c>
      <c r="G24" s="21" t="s">
        <v>393</v>
      </c>
      <c r="H24" s="94">
        <v>14.0</v>
      </c>
      <c r="I24" s="109">
        <v>45815.0</v>
      </c>
      <c r="J24" s="89"/>
      <c r="K24" s="90"/>
      <c r="L24" s="19"/>
      <c r="M24" s="97"/>
      <c r="N24" s="19"/>
      <c r="O24" s="103" t="s">
        <v>131</v>
      </c>
      <c r="P24" s="104" t="s">
        <v>168</v>
      </c>
      <c r="Q24" s="103" t="s">
        <v>131</v>
      </c>
      <c r="R24" s="104" t="s">
        <v>169</v>
      </c>
    </row>
    <row r="25">
      <c r="A25" s="13" t="s">
        <v>172</v>
      </c>
      <c r="E25" s="105" t="s">
        <v>173</v>
      </c>
      <c r="F25" s="106">
        <f>SUMIF(G18:G50, "TIMS", H18:H50) + SUMIF(G18:G50, "Casa Miro", H18:H50) + SUMIF(G18:G50, "Toto", H18:H50) + SUMIF(G18:G50, "Coffee Exchange", H18:H50)+ SUMIF(G18:G50, "Ciao Caffe", H18:H50)+ SUMIF(G18:G50, "Starbucks", H18:H50)
</f>
        <v>36.36</v>
      </c>
      <c r="G25" s="21" t="s">
        <v>257</v>
      </c>
      <c r="H25" s="94">
        <v>33.21</v>
      </c>
      <c r="I25" s="109">
        <v>45815.0</v>
      </c>
      <c r="J25" s="93"/>
      <c r="K25" s="19"/>
      <c r="L25" s="19"/>
      <c r="M25" s="107"/>
      <c r="N25" s="19"/>
      <c r="O25" s="103" t="s">
        <v>132</v>
      </c>
      <c r="P25" s="104" t="s">
        <v>168</v>
      </c>
      <c r="Q25" s="103" t="s">
        <v>132</v>
      </c>
      <c r="R25" s="104" t="s">
        <v>169</v>
      </c>
    </row>
    <row r="26">
      <c r="A26" s="21" t="s">
        <v>350</v>
      </c>
      <c r="B26" s="166"/>
      <c r="C26" s="109"/>
      <c r="D26" s="19"/>
      <c r="E26" s="79" t="s">
        <v>52</v>
      </c>
      <c r="F26" s="110">
        <f>SUM(F18:F25)
</f>
        <v>281.12</v>
      </c>
      <c r="G26" s="21" t="s">
        <v>150</v>
      </c>
      <c r="H26" s="94">
        <v>2.29</v>
      </c>
      <c r="I26" s="109">
        <v>45816.0</v>
      </c>
      <c r="J26" s="89"/>
      <c r="K26" s="21" t="s">
        <v>174</v>
      </c>
      <c r="L26" s="19" t="s">
        <v>52</v>
      </c>
      <c r="M26" s="97">
        <f>M20++M19+M21+M22+M24+M23+M25</f>
        <v>1190</v>
      </c>
      <c r="O26" s="103" t="s">
        <v>126</v>
      </c>
      <c r="P26" s="104" t="s">
        <v>175</v>
      </c>
      <c r="Q26" s="103" t="s">
        <v>126</v>
      </c>
      <c r="R26" s="104" t="s">
        <v>176</v>
      </c>
    </row>
    <row r="27">
      <c r="A27" s="10" t="s">
        <v>384</v>
      </c>
      <c r="B27" s="10"/>
      <c r="C27" s="94"/>
      <c r="D27" s="21"/>
      <c r="E27" s="79" t="s">
        <v>177</v>
      </c>
      <c r="F27" s="111">
        <f>I1/(15-F3)</f>
        <v>5.787065217</v>
      </c>
      <c r="G27" s="21" t="s">
        <v>150</v>
      </c>
      <c r="H27" s="94">
        <v>5.48</v>
      </c>
      <c r="I27" s="109">
        <v>45816.0</v>
      </c>
      <c r="J27" s="89"/>
      <c r="K27" s="21" t="s">
        <v>164</v>
      </c>
      <c r="L27" s="10"/>
      <c r="O27" s="103" t="s">
        <v>127</v>
      </c>
      <c r="P27" s="104" t="s">
        <v>175</v>
      </c>
      <c r="Q27" s="103" t="s">
        <v>127</v>
      </c>
      <c r="R27" s="104" t="s">
        <v>178</v>
      </c>
    </row>
    <row r="28">
      <c r="A28" s="21" t="s">
        <v>27</v>
      </c>
      <c r="B28" s="94">
        <v>65.0</v>
      </c>
      <c r="C28" s="109">
        <v>45827.0</v>
      </c>
      <c r="D28" s="19"/>
      <c r="E28" s="10" t="s">
        <v>180</v>
      </c>
      <c r="F28" s="26">
        <f>I1-F26
</f>
        <v>251.29</v>
      </c>
      <c r="G28" s="21" t="s">
        <v>258</v>
      </c>
      <c r="H28" s="94">
        <v>2.0</v>
      </c>
      <c r="I28" s="109">
        <v>45818.0</v>
      </c>
      <c r="J28" s="89"/>
      <c r="K28" s="21" t="s">
        <v>182</v>
      </c>
      <c r="O28" s="103" t="s">
        <v>128</v>
      </c>
      <c r="P28" s="104" t="s">
        <v>168</v>
      </c>
      <c r="Q28" s="103" t="s">
        <v>128</v>
      </c>
      <c r="R28" s="104" t="s">
        <v>183</v>
      </c>
    </row>
    <row r="29">
      <c r="A29" s="21"/>
      <c r="B29" s="94"/>
      <c r="C29" s="109"/>
      <c r="D29" s="19"/>
      <c r="E29" s="10" t="s">
        <v>171</v>
      </c>
      <c r="F29" s="26">
        <f>SUMIF(G18:G60, "Wal Mart", H18:H60) </f>
        <v>62.08</v>
      </c>
      <c r="G29" s="21" t="s">
        <v>155</v>
      </c>
      <c r="H29" s="94">
        <v>22.88</v>
      </c>
      <c r="I29" s="109">
        <v>45817.0</v>
      </c>
      <c r="J29" s="89" t="s">
        <v>394</v>
      </c>
      <c r="K29" s="10" t="s">
        <v>325</v>
      </c>
      <c r="O29" s="103" t="s">
        <v>129</v>
      </c>
      <c r="P29" s="104" t="s">
        <v>168</v>
      </c>
      <c r="Q29" s="103" t="s">
        <v>129</v>
      </c>
      <c r="R29" s="104" t="s">
        <v>169</v>
      </c>
    </row>
    <row r="30">
      <c r="A30" s="21"/>
      <c r="B30" s="94"/>
      <c r="C30" s="109"/>
      <c r="D30" s="89"/>
      <c r="F30" s="135"/>
      <c r="G30" s="21" t="s">
        <v>395</v>
      </c>
      <c r="H30" s="94">
        <v>18.66</v>
      </c>
      <c r="I30" s="109">
        <v>45818.0</v>
      </c>
      <c r="J30" s="21"/>
      <c r="K30" s="10" t="s">
        <v>327</v>
      </c>
      <c r="Q30" s="122" t="s">
        <v>186</v>
      </c>
    </row>
    <row r="31">
      <c r="A31" s="21" t="s">
        <v>356</v>
      </c>
      <c r="B31" s="94"/>
      <c r="C31" s="109"/>
      <c r="D31" s="89"/>
      <c r="F31" s="135"/>
      <c r="G31" s="21" t="s">
        <v>150</v>
      </c>
      <c r="H31" s="94">
        <v>2.17</v>
      </c>
      <c r="I31" s="109">
        <v>45819.0</v>
      </c>
      <c r="J31" s="21"/>
      <c r="K31" s="10" t="s">
        <v>329</v>
      </c>
      <c r="L31" s="10"/>
      <c r="Q31" s="125" t="s">
        <v>130</v>
      </c>
      <c r="R31" s="125" t="s">
        <v>190</v>
      </c>
    </row>
    <row r="32">
      <c r="A32" s="21"/>
      <c r="C32" s="62"/>
      <c r="F32" s="135"/>
      <c r="G32" s="21" t="s">
        <v>150</v>
      </c>
      <c r="H32" s="94">
        <v>5.15</v>
      </c>
      <c r="I32" s="109">
        <v>45820.0</v>
      </c>
      <c r="J32" s="93"/>
      <c r="K32" s="10" t="s">
        <v>192</v>
      </c>
      <c r="N32" s="10" t="s">
        <v>193</v>
      </c>
      <c r="Q32" s="128" t="s">
        <v>131</v>
      </c>
      <c r="R32" s="128" t="s">
        <v>190</v>
      </c>
    </row>
    <row r="33">
      <c r="A33" s="10" t="s">
        <v>358</v>
      </c>
      <c r="B33" s="10" t="s">
        <v>359</v>
      </c>
      <c r="C33" s="10" t="s">
        <v>360</v>
      </c>
      <c r="D33" s="10"/>
      <c r="E33" s="135"/>
      <c r="F33" s="135"/>
      <c r="G33" s="21" t="s">
        <v>150</v>
      </c>
      <c r="H33" s="94">
        <v>0.12</v>
      </c>
      <c r="I33" s="109">
        <v>45820.0</v>
      </c>
      <c r="J33" s="93"/>
      <c r="K33" s="132" t="s">
        <v>196</v>
      </c>
      <c r="Q33" s="128" t="s">
        <v>132</v>
      </c>
      <c r="R33" s="128" t="s">
        <v>190</v>
      </c>
    </row>
    <row r="34">
      <c r="E34" s="135"/>
      <c r="F34" s="167"/>
      <c r="G34" s="21" t="s">
        <v>150</v>
      </c>
      <c r="H34" s="94">
        <v>5.15</v>
      </c>
      <c r="I34" s="161">
        <v>45821.0</v>
      </c>
      <c r="J34" s="93"/>
      <c r="K34" s="132" t="s">
        <v>330</v>
      </c>
      <c r="M34" s="10">
        <v>200.0</v>
      </c>
      <c r="N34" s="173">
        <v>45874.0</v>
      </c>
      <c r="O34" s="10" t="s">
        <v>289</v>
      </c>
      <c r="Q34" s="128" t="s">
        <v>126</v>
      </c>
      <c r="R34" s="128" t="s">
        <v>201</v>
      </c>
    </row>
    <row r="35">
      <c r="E35" s="135"/>
      <c r="F35" s="132"/>
      <c r="G35" s="21" t="s">
        <v>326</v>
      </c>
      <c r="H35" s="94">
        <v>27.22</v>
      </c>
      <c r="I35" s="109">
        <v>45821.0</v>
      </c>
      <c r="J35" s="93"/>
      <c r="K35" s="132"/>
      <c r="Q35" s="128" t="s">
        <v>127</v>
      </c>
      <c r="R35" s="128" t="s">
        <v>201</v>
      </c>
    </row>
    <row r="36">
      <c r="E36" s="135"/>
      <c r="F36" s="135"/>
      <c r="G36" s="10" t="s">
        <v>155</v>
      </c>
      <c r="H36" s="10">
        <v>7.9</v>
      </c>
      <c r="I36" s="62">
        <v>45822.0</v>
      </c>
      <c r="K36" s="10"/>
      <c r="Q36" s="128" t="s">
        <v>128</v>
      </c>
      <c r="R36" s="128" t="s">
        <v>203</v>
      </c>
    </row>
    <row r="37">
      <c r="A37" s="84"/>
      <c r="B37" s="84"/>
      <c r="C37" s="84"/>
      <c r="D37" s="84"/>
      <c r="E37" s="84"/>
      <c r="F37" s="84"/>
      <c r="G37" s="10" t="s">
        <v>150</v>
      </c>
      <c r="H37" s="10">
        <v>2.17</v>
      </c>
      <c r="I37" s="62">
        <v>45822.0</v>
      </c>
      <c r="J37" s="93"/>
      <c r="K37" s="135"/>
      <c r="Q37" s="128" t="s">
        <v>129</v>
      </c>
      <c r="R37" s="128" t="s">
        <v>203</v>
      </c>
    </row>
    <row r="38">
      <c r="A38" s="85" t="s">
        <v>87</v>
      </c>
      <c r="B38" s="10">
        <v>31200.0</v>
      </c>
      <c r="E38" s="85" t="s">
        <v>363</v>
      </c>
      <c r="F38" s="132">
        <v>200.0</v>
      </c>
      <c r="G38" s="10" t="s">
        <v>171</v>
      </c>
      <c r="H38" s="10">
        <v>62.08</v>
      </c>
      <c r="I38" s="62">
        <v>45822.0</v>
      </c>
      <c r="J38" s="93"/>
      <c r="K38" s="135"/>
      <c r="Q38" s="142" t="s">
        <v>209</v>
      </c>
    </row>
    <row r="39">
      <c r="A39" s="85" t="s">
        <v>364</v>
      </c>
      <c r="B39" s="10">
        <v>36008.0</v>
      </c>
      <c r="E39" s="85" t="s">
        <v>365</v>
      </c>
      <c r="F39" s="135">
        <f>F38*5</f>
        <v>1000</v>
      </c>
      <c r="G39" s="10" t="s">
        <v>392</v>
      </c>
      <c r="H39" s="10">
        <v>2.54</v>
      </c>
      <c r="I39" s="62">
        <v>45822.0</v>
      </c>
      <c r="J39" s="93"/>
      <c r="K39" s="132"/>
      <c r="Q39" s="145" t="s">
        <v>212</v>
      </c>
    </row>
    <row r="40">
      <c r="A40" s="85" t="s">
        <v>52</v>
      </c>
      <c r="B40" s="26">
        <f>SUM(B38:B39)
</f>
        <v>67208</v>
      </c>
      <c r="E40" s="85" t="s">
        <v>366</v>
      </c>
      <c r="F40" s="135">
        <f>F39*4</f>
        <v>4000</v>
      </c>
      <c r="G40" s="10" t="s">
        <v>181</v>
      </c>
      <c r="H40" s="10">
        <v>11.3</v>
      </c>
      <c r="I40" s="147">
        <v>45822.0</v>
      </c>
      <c r="J40" s="93"/>
      <c r="K40" s="132"/>
      <c r="Q40" s="145" t="s">
        <v>214</v>
      </c>
    </row>
    <row r="41">
      <c r="A41" s="126" t="s">
        <v>367</v>
      </c>
      <c r="B41" s="168"/>
      <c r="C41" s="169">
        <f>TODAY()
</f>
        <v>45905</v>
      </c>
      <c r="E41" s="85" t="s">
        <v>368</v>
      </c>
      <c r="F41" s="135">
        <f>F40*12</f>
        <v>48000</v>
      </c>
      <c r="G41" s="10" t="s">
        <v>257</v>
      </c>
      <c r="H41" s="10">
        <v>49.63</v>
      </c>
      <c r="I41" s="62">
        <v>45822.0</v>
      </c>
      <c r="J41" s="93"/>
      <c r="K41" s="132"/>
      <c r="Q41" s="145" t="s">
        <v>216</v>
      </c>
    </row>
    <row r="42">
      <c r="A42" s="10" t="s">
        <v>369</v>
      </c>
      <c r="B42" s="26">
        <f>B40*(C42/100)</f>
        <v>8737.04</v>
      </c>
      <c r="C42" s="10">
        <v>13.0</v>
      </c>
      <c r="G42" s="19" t="s">
        <v>396</v>
      </c>
      <c r="H42" s="97">
        <v>12.0</v>
      </c>
      <c r="I42" s="175">
        <v>45823.0</v>
      </c>
      <c r="Q42" s="145" t="s">
        <v>218</v>
      </c>
    </row>
    <row r="43">
      <c r="G43" s="21" t="s">
        <v>257</v>
      </c>
      <c r="H43" s="94">
        <v>36.82</v>
      </c>
      <c r="I43" s="109">
        <v>45823.0</v>
      </c>
      <c r="Q43" s="145" t="s">
        <v>219</v>
      </c>
    </row>
    <row r="44">
      <c r="G44" s="10" t="s">
        <v>397</v>
      </c>
      <c r="H44" s="10">
        <v>10.0</v>
      </c>
      <c r="I44" s="62">
        <v>45825.0</v>
      </c>
      <c r="J44" s="165"/>
      <c r="Q44" s="145" t="s">
        <v>221</v>
      </c>
    </row>
    <row r="45">
      <c r="G45" s="10" t="s">
        <v>27</v>
      </c>
      <c r="H45" s="10">
        <v>57.66</v>
      </c>
      <c r="I45" s="62">
        <v>45824.0</v>
      </c>
      <c r="Q45" s="145" t="s">
        <v>223</v>
      </c>
    </row>
    <row r="46">
      <c r="G46" s="10" t="s">
        <v>150</v>
      </c>
      <c r="H46" s="10">
        <v>2.17</v>
      </c>
      <c r="I46" s="62">
        <v>45825.0</v>
      </c>
    </row>
    <row r="47">
      <c r="G47" s="10" t="s">
        <v>398</v>
      </c>
      <c r="H47" s="10">
        <v>1.12</v>
      </c>
      <c r="I47" s="62">
        <v>45826.0</v>
      </c>
    </row>
    <row r="48">
      <c r="G48" s="10" t="s">
        <v>150</v>
      </c>
      <c r="H48" s="10">
        <v>2.29</v>
      </c>
      <c r="I48" s="121">
        <v>45826.0</v>
      </c>
    </row>
    <row r="49">
      <c r="G49" s="10" t="s">
        <v>399</v>
      </c>
      <c r="H49" s="10">
        <v>22.59</v>
      </c>
      <c r="I49" s="121">
        <v>45826.0</v>
      </c>
    </row>
    <row r="50">
      <c r="G50" s="10" t="s">
        <v>254</v>
      </c>
      <c r="H50" s="10">
        <v>7.64</v>
      </c>
      <c r="I50" s="121">
        <v>45826.0</v>
      </c>
    </row>
    <row r="51">
      <c r="G51" s="10" t="s">
        <v>400</v>
      </c>
      <c r="H51" s="10">
        <v>45.2</v>
      </c>
      <c r="I51" s="121">
        <v>45826.0</v>
      </c>
    </row>
    <row r="52">
      <c r="G52" s="10" t="s">
        <v>150</v>
      </c>
      <c r="H52" s="10">
        <v>4.58</v>
      </c>
      <c r="I52" s="62">
        <v>45827.0</v>
      </c>
    </row>
    <row r="53">
      <c r="I53" s="62"/>
    </row>
    <row r="54">
      <c r="I54" s="147"/>
    </row>
  </sheetData>
  <conditionalFormatting sqref="I1">
    <cfRule type="notContainsBlanks" dxfId="2" priority="1">
      <formula>LEN(TRIM(I1))&gt;0</formula>
    </cfRule>
  </conditionalFormatting>
  <conditionalFormatting sqref="A9:N15">
    <cfRule type="cellIs" dxfId="3" priority="2" operator="equal">
      <formula>"TIMS"</formula>
    </cfRule>
  </conditionalFormatting>
  <conditionalFormatting sqref="A9:N15">
    <cfRule type="cellIs" dxfId="4" priority="3" operator="equal">
      <formula>"Dispo"</formula>
    </cfRule>
  </conditionalFormatting>
  <conditionalFormatting sqref="A9:N15">
    <cfRule type="cellIs" dxfId="1" priority="4" operator="equal">
      <formula>"Gas"</formula>
    </cfRule>
  </conditionalFormatting>
  <conditionalFormatting sqref="G18:G29 A26 A30:A31 G31 G33:G42 G44:G56">
    <cfRule type="cellIs" dxfId="3" priority="5" operator="equal">
      <formula>"TIMS"</formula>
    </cfRule>
  </conditionalFormatting>
  <conditionalFormatting sqref="G18:G29 A26 A30:A31 G31 G33:G42 G44:G56">
    <cfRule type="cellIs" dxfId="4" priority="6" operator="equal">
      <formula>"Dispo"</formula>
    </cfRule>
  </conditionalFormatting>
  <conditionalFormatting sqref="G18:G29 A26 A30:A31 G31 G33:G42 G44:G56">
    <cfRule type="cellIs" dxfId="5" priority="7" operator="equal">
      <formula>"McDonalds"</formula>
    </cfRule>
  </conditionalFormatting>
  <conditionalFormatting sqref="H18:H26 B26 B28 H28:H29 B30:B32 H31 H33:H42 H44:H60">
    <cfRule type="cellIs" dxfId="1" priority="8" operator="greaterThan">
      <formula>60</formula>
    </cfRule>
  </conditionalFormatting>
  <conditionalFormatting sqref="H18:H26 B26 B28 H28:H29 B30:B32 H31 H33:H42 H44:H60">
    <cfRule type="cellIs" dxfId="6" priority="9" operator="between">
      <formula>30</formula>
      <formula>60</formula>
    </cfRule>
  </conditionalFormatting>
  <conditionalFormatting sqref="I5">
    <cfRule type="cellIs" dxfId="0" priority="10" operator="greaterThan">
      <formula>0</formula>
    </cfRule>
  </conditionalFormatting>
  <conditionalFormatting sqref="I5">
    <cfRule type="cellIs" dxfId="1" priority="11" operator="lessThanOrEqual">
      <formula>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13"/>
      <c r="C1" s="1"/>
      <c r="E1" s="54" t="s">
        <v>114</v>
      </c>
      <c r="F1" s="55">
        <f>TODAY()
</f>
        <v>45905</v>
      </c>
      <c r="H1" s="56" t="s">
        <v>115</v>
      </c>
      <c r="I1" s="32">
        <f>SUM(IFERROR(16:16, 0))
</f>
        <v>504.63</v>
      </c>
      <c r="K1" s="57" t="s">
        <v>265</v>
      </c>
      <c r="L1" s="58"/>
      <c r="M1" s="57" t="s">
        <v>266</v>
      </c>
      <c r="O1" s="7" t="s">
        <v>116</v>
      </c>
      <c r="P1" s="59" t="s">
        <v>117</v>
      </c>
    </row>
    <row r="2">
      <c r="E2" s="10" t="s">
        <v>118</v>
      </c>
      <c r="F2" s="60">
        <v>45813.0</v>
      </c>
      <c r="H2" s="56" t="s">
        <v>119</v>
      </c>
      <c r="I2" s="61">
        <f>500 + 35 + 0</f>
        <v>535</v>
      </c>
      <c r="K2" s="10" t="s">
        <v>173</v>
      </c>
      <c r="L2" s="10">
        <v>40.0</v>
      </c>
      <c r="M2" s="10" t="s">
        <v>267</v>
      </c>
      <c r="P2" s="10" t="s">
        <v>377</v>
      </c>
      <c r="Q2" s="10" t="s">
        <v>378</v>
      </c>
    </row>
    <row r="3">
      <c r="C3" s="62"/>
      <c r="E3" s="10" t="s">
        <v>120</v>
      </c>
      <c r="F3" s="26">
        <f>F2-F1+1
</f>
        <v>-91</v>
      </c>
      <c r="H3" s="24" t="s">
        <v>80</v>
      </c>
      <c r="I3" s="56">
        <f>I2-I1
</f>
        <v>30.37</v>
      </c>
      <c r="K3" s="10" t="s">
        <v>268</v>
      </c>
      <c r="L3" s="10" t="s">
        <v>269</v>
      </c>
      <c r="M3" s="10" t="s">
        <v>270</v>
      </c>
      <c r="O3" s="10" t="s">
        <v>121</v>
      </c>
    </row>
    <row r="4">
      <c r="C4" s="62"/>
      <c r="E4" s="10" t="s">
        <v>49</v>
      </c>
      <c r="F4" s="26">
        <f>I2-I1
</f>
        <v>30.37</v>
      </c>
      <c r="H4" s="63"/>
      <c r="I4" s="63"/>
      <c r="K4" s="10" t="s">
        <v>27</v>
      </c>
      <c r="L4" s="10" t="s">
        <v>271</v>
      </c>
    </row>
    <row r="5">
      <c r="C5" s="62"/>
      <c r="E5" s="10" t="s">
        <v>122</v>
      </c>
      <c r="H5" s="64" t="s">
        <v>123</v>
      </c>
      <c r="I5" s="64">
        <f>I3/F3
</f>
        <v>-0.3337362637</v>
      </c>
    </row>
    <row r="6">
      <c r="C6" s="62"/>
      <c r="K6" s="65"/>
      <c r="R6" s="66"/>
    </row>
    <row r="7">
      <c r="A7" s="53"/>
      <c r="B7" s="44"/>
      <c r="C7" s="170"/>
      <c r="D7" s="176"/>
      <c r="E7" s="53"/>
      <c r="F7" s="172"/>
      <c r="G7" s="70"/>
      <c r="H7" s="69"/>
      <c r="I7" s="1"/>
      <c r="J7" s="174"/>
      <c r="K7" s="31"/>
      <c r="M7" s="44"/>
      <c r="N7" s="53"/>
      <c r="O7" s="177"/>
      <c r="P7" s="10" t="s">
        <v>313</v>
      </c>
    </row>
    <row r="8">
      <c r="A8" s="72">
        <v>45800.0</v>
      </c>
      <c r="B8" s="72">
        <v>45801.0</v>
      </c>
      <c r="C8" s="73">
        <v>45802.0</v>
      </c>
      <c r="D8" s="72">
        <v>45803.0</v>
      </c>
      <c r="E8" s="72">
        <v>45804.0</v>
      </c>
      <c r="F8" s="72">
        <v>45805.0</v>
      </c>
      <c r="G8" s="72">
        <v>45806.0</v>
      </c>
      <c r="H8" s="72">
        <v>45807.0</v>
      </c>
      <c r="I8" s="72">
        <v>45808.0</v>
      </c>
      <c r="J8" s="72">
        <v>45809.0</v>
      </c>
      <c r="K8" s="72">
        <v>45810.0</v>
      </c>
      <c r="L8" s="72">
        <v>45811.0</v>
      </c>
      <c r="M8" s="72">
        <v>45812.0</v>
      </c>
      <c r="N8" s="72">
        <v>45813.0</v>
      </c>
      <c r="O8" s="74"/>
      <c r="P8" s="10" t="s">
        <v>125</v>
      </c>
      <c r="Q8" s="75"/>
      <c r="R8" s="10" t="s">
        <v>47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  <c r="O9" s="53"/>
      <c r="P9" s="10" t="s">
        <v>133</v>
      </c>
    </row>
    <row r="10">
      <c r="A10" s="26" t="str">
        <f>IFERROR(__xludf.DUMMYFUNCTION("FILTER(G17:G52, I17:I52=A8)
"),"TIMS")</f>
        <v>TIMS</v>
      </c>
      <c r="B10" s="10" t="str">
        <f>IFERROR(__xludf.DUMMYFUNCTION("FILTER(G17:G52, I17:I52=B8)
"),"TIMS")</f>
        <v>TIMS</v>
      </c>
      <c r="C10" s="10" t="str">
        <f>IFERROR(__xludf.DUMMYFUNCTION("FILTER(G17:G52, I17:I52=C8)
"),"TIMS")</f>
        <v>TIMS</v>
      </c>
      <c r="D10" s="69" t="str">
        <f>IFERROR(__xludf.DUMMYFUNCTION("FILTER(G17:G52, I17:I52=D8)
"),"Temu")</f>
        <v>Temu</v>
      </c>
      <c r="E10" s="75" t="str">
        <f>IFERROR(__xludf.DUMMYFUNCTION("FILTER(G17:G52, I17:I52=E8)
"),"The goat")</f>
        <v>The goat</v>
      </c>
      <c r="F10" s="69" t="str">
        <f>IFERROR(__xludf.DUMMYFUNCTION("FILTER(G17:G52, I17:I52=F8)
"),"Minecraft")</f>
        <v>Minecraft</v>
      </c>
      <c r="G10" s="26" t="str">
        <f>IFERROR(__xludf.DUMMYFUNCTION("FILTER(G17:G52, I17:I52=G8)
"),"TIMS")</f>
        <v>TIMS</v>
      </c>
      <c r="H10" s="26" t="str">
        <f>IFERROR(__xludf.DUMMYFUNCTION("FILTER(G17:G52, I17:I52=H8)
"),"TIMS")</f>
        <v>TIMS</v>
      </c>
      <c r="I10" s="10" t="str">
        <f>IFERROR(__xludf.DUMMYFUNCTION("FILTER(G16:G51, I16:I51=I8)
"),"Food Basics")</f>
        <v>Food Basics</v>
      </c>
      <c r="J10" s="26" t="str">
        <f>IFERROR(__xludf.DUMMYFUNCTION("FILTER(G15:G50, I15:I50=J8)
"),"Metro")</f>
        <v>Metro</v>
      </c>
      <c r="K10" s="26" t="str">
        <f>IFERROR(__xludf.DUMMYFUNCTION("FILTER(G15:G50, I15:I50=K8)
"),"TIMS")</f>
        <v>TIMS</v>
      </c>
      <c r="L10" s="26" t="str">
        <f>IFERROR(__xludf.DUMMYFUNCTION("FILTER(G15:G65, I15:I65=L8)
"),"TIMS")</f>
        <v>TIMS</v>
      </c>
      <c r="M10" s="10" t="str">
        <f>IFERROR(__xludf.DUMMYFUNCTION("FILTER(G15:G65, I15:I65=M8)
"),"Slushie")</f>
        <v>Slushie</v>
      </c>
      <c r="N10" s="26" t="str">
        <f>IFERROR(__xludf.DUMMYFUNCTION("FILTER(G15:G65, I15:I65=N8)
"),"Gas ")</f>
        <v>Gas </v>
      </c>
      <c r="P10" s="10" t="s">
        <v>134</v>
      </c>
    </row>
    <row r="11">
      <c r="A11" s="26" t="str">
        <f>IFERROR(__xludf.DUMMYFUNCTION("""COMPUTED_VALUE"""),"City Cafe")</f>
        <v>City Cafe</v>
      </c>
      <c r="C11" s="26" t="str">
        <f>IFERROR(__xludf.DUMMYFUNCTION("""COMPUTED_VALUE"""),"Dollarama")</f>
        <v>Dollarama</v>
      </c>
      <c r="D11" s="26" t="str">
        <f>IFERROR(__xludf.DUMMYFUNCTION("""COMPUTED_VALUE"""),"Car Wash")</f>
        <v>Car Wash</v>
      </c>
      <c r="F11" s="26" t="str">
        <f>IFERROR(__xludf.DUMMYFUNCTION("""COMPUTED_VALUE"""),"TIMS")</f>
        <v>TIMS</v>
      </c>
      <c r="H11" s="75" t="str">
        <f>IFERROR(__xludf.DUMMYFUNCTION("""COMPUTED_VALUE"""),"LCBO")</f>
        <v>LCBO</v>
      </c>
      <c r="I11" s="26" t="str">
        <f>IFERROR(__xludf.DUMMYFUNCTION("""COMPUTED_VALUE"""),"Dispo")</f>
        <v>Dispo</v>
      </c>
      <c r="J11" s="26" t="str">
        <f>IFERROR(__xludf.DUMMYFUNCTION("""COMPUTED_VALUE"""),"TIMS")</f>
        <v>TIMS</v>
      </c>
      <c r="L11" s="26" t="str">
        <f>IFERROR(__xludf.DUMMYFUNCTION("""COMPUTED_VALUE"""),"Shoppers ")</f>
        <v>Shoppers </v>
      </c>
      <c r="N11" s="26" t="str">
        <f>IFERROR(__xludf.DUMMYFUNCTION("""COMPUTED_VALUE"""),"TIMS")</f>
        <v>TIMS</v>
      </c>
    </row>
    <row r="12">
      <c r="A12" s="26" t="str">
        <f>IFERROR(__xludf.DUMMYFUNCTION("""COMPUTED_VALUE"""),"Gas")</f>
        <v>Gas</v>
      </c>
      <c r="C12" s="26" t="str">
        <f>IFERROR(__xludf.DUMMYFUNCTION("""COMPUTED_VALUE"""),"TIMS")</f>
        <v>TIMS</v>
      </c>
      <c r="F12" s="26" t="str">
        <f>IFERROR(__xludf.DUMMYFUNCTION("""COMPUTED_VALUE"""),"TIMS")</f>
        <v>TIMS</v>
      </c>
      <c r="H12" s="75" t="str">
        <f>IFERROR(__xludf.DUMMYFUNCTION("""COMPUTED_VALUE"""),"Jose's")</f>
        <v>Jose's</v>
      </c>
      <c r="I12" s="26" t="str">
        <f>IFERROR(__xludf.DUMMYFUNCTION("""COMPUTED_VALUE"""),"Subway")</f>
        <v>Subway</v>
      </c>
      <c r="J12" s="75" t="str">
        <f>IFERROR(__xludf.DUMMYFUNCTION("""COMPUTED_VALUE"""),"Simon's Prime")</f>
        <v>Simon's Prime</v>
      </c>
    </row>
    <row r="13">
      <c r="A13" s="77"/>
      <c r="B13" s="77"/>
      <c r="F13" s="69" t="str">
        <f>IFERROR(__xludf.DUMMYFUNCTION("""COMPUTED_VALUE"""),"Minecraft")</f>
        <v>Minecraft</v>
      </c>
      <c r="H13" s="75" t="str">
        <f>IFERROR(__xludf.DUMMYFUNCTION("""COMPUTED_VALUE"""),"Legends")</f>
        <v>Legends</v>
      </c>
    </row>
    <row r="14">
      <c r="A14" s="77"/>
      <c r="B14" s="77"/>
      <c r="K14" s="10" t="s">
        <v>122</v>
      </c>
    </row>
    <row r="15">
      <c r="A15" s="78"/>
      <c r="B15" s="78"/>
    </row>
    <row r="16">
      <c r="A16" s="56">
        <f>IFERROR(__xludf.DUMMYFUNCTION("SUM(FILTER(H17:H52, I17:I52=A8))
"),62.33)</f>
        <v>62.33</v>
      </c>
      <c r="B16" s="56">
        <f>IFERROR(__xludf.DUMMYFUNCTION("SUM(FILTER(H17:H52, I17:I52=B8))
"),4.79)</f>
        <v>4.79</v>
      </c>
      <c r="C16" s="56">
        <f>IFERROR(__xludf.DUMMYFUNCTION("SUM(FILTER(H17:H52, I17:I52=C8))
"),12.76)</f>
        <v>12.76</v>
      </c>
      <c r="D16" s="56">
        <f>IFERROR(__xludf.DUMMYFUNCTION("SUM(FILTER(H17:H52, I17:I52=D8))
"),51.06)</f>
        <v>51.06</v>
      </c>
      <c r="E16" s="56">
        <f>IFERROR(__xludf.DUMMYFUNCTION("SUM(FILTER(H17:H52, I17:I52=E8))
"),81.78)</f>
        <v>81.78</v>
      </c>
      <c r="F16" s="56">
        <f>IFERROR(__xludf.DUMMYFUNCTION("SUM(FILTER(H17:H52, I17:I52=F8))
"),63.37)</f>
        <v>63.37</v>
      </c>
      <c r="G16" s="56">
        <f>IFERROR(__xludf.DUMMYFUNCTION("SUM(FILTER(H17:H52, I17:I52=G8))
"),2.51)</f>
        <v>2.51</v>
      </c>
      <c r="H16" s="56">
        <f>IFERROR(__xludf.DUMMYFUNCTION("SUM(FILTER(H17:H52, I17:I52=H8))
"),42.10000000000001)</f>
        <v>42.1</v>
      </c>
      <c r="I16" s="56">
        <f>IFERROR(__xludf.DUMMYFUNCTION("SUM(FILTER(H17:H52, I17:I52=I8))
"),49.55)</f>
        <v>49.55</v>
      </c>
      <c r="J16" s="56">
        <f>IFERROR(__xludf.DUMMYFUNCTION("SUM(FILTER(H17:H52, I17:I52=J8))
"),38.75)</f>
        <v>38.75</v>
      </c>
      <c r="K16" s="56">
        <f>IFERROR(__xludf.DUMMYFUNCTION("SUM(FILTER(H17:H52, I17:I52=K8))
"),2.17)</f>
        <v>2.17</v>
      </c>
      <c r="L16" s="56">
        <f>IFERROR(__xludf.DUMMYFUNCTION("SUM(FILTER(H17:H52, I17:I52=L8))
"),23.03)</f>
        <v>23.03</v>
      </c>
      <c r="M16" s="56">
        <f>IFERROR(__xludf.DUMMYFUNCTION("SUM(FILTER(H17:H62, I17:I62=M8))
"),4.52)</f>
        <v>4.52</v>
      </c>
      <c r="N16" s="35">
        <f>IFERROR(__xludf.DUMMYFUNCTION("SUM(FILTER(H17:H62, I17:I62=N8))
"),65.91)</f>
        <v>65.91</v>
      </c>
      <c r="O16" s="10" t="s">
        <v>314</v>
      </c>
    </row>
    <row r="17">
      <c r="A17" s="32" t="s">
        <v>389</v>
      </c>
      <c r="E17" s="79" t="s">
        <v>135</v>
      </c>
      <c r="F17" s="80">
        <f>COUNTIF(G18:G1002, "TIMS")+COUNTIF(G18:G1002, "Casa Miro")+COUNTIF(G18:G1002, "Toto")+COUNTIF(G18:G1002, "Coffee Exchange")+COUNTIF(G18:G1002, "Ciao Caffe")
</f>
        <v>12</v>
      </c>
      <c r="G17" s="81"/>
      <c r="H17" s="81"/>
      <c r="I17" s="82"/>
      <c r="J17" s="83" t="s">
        <v>136</v>
      </c>
      <c r="K17" s="84"/>
      <c r="L17" s="84"/>
      <c r="M17" s="84"/>
      <c r="N17" s="84"/>
    </row>
    <row r="18">
      <c r="A18" s="85" t="s">
        <v>137</v>
      </c>
      <c r="B18" s="86"/>
      <c r="C18" s="86"/>
      <c r="E18" s="87" t="s">
        <v>138</v>
      </c>
      <c r="F18" s="88">
        <f>SUMIF(G18:G50, "Dispo", H18:H50)+SUMIF(G18:G50, "c cabana", H18:H50)</f>
        <v>29.64</v>
      </c>
      <c r="G18" s="10" t="s">
        <v>150</v>
      </c>
      <c r="H18" s="10">
        <v>4.1</v>
      </c>
      <c r="I18" s="62">
        <v>45800.0</v>
      </c>
      <c r="J18" s="89"/>
      <c r="K18" s="90"/>
      <c r="L18" s="19" t="s">
        <v>140</v>
      </c>
      <c r="M18" s="19"/>
      <c r="N18" s="19" t="s">
        <v>141</v>
      </c>
    </row>
    <row r="19">
      <c r="A19" s="85" t="s">
        <v>144</v>
      </c>
      <c r="B19" s="86"/>
      <c r="C19" s="86"/>
      <c r="E19" s="92" t="s">
        <v>145</v>
      </c>
      <c r="F19" s="92">
        <f>SUMIF(G18:G50, "Republik", H18:H50)+SUMIF(G18:G50, "Stacked", H18:H50)+SUMIF(G18:G50, "Halibut House", H18:H50)+SUMIF(G18:G50, "Keg", H18:H50)+SUMIF(G18:G50, "Ramen", H18:H50)+SUMIF(G18:G50, "Pizza", H18:H50) +SUMIF(G18:G50, "A&amp;W", H18:H50) + SUMIF(G18:G50, "Chucks", H18:H50) + SUMIF(G18:G50, "Cookie Bar", H18:H50) + SUMIF(G18:G50, "Burger King", H18:H50) + SUMIF(G18:G50, "Pho", H18:H50)+SUMIF(G18:G50, "Wendys", H18:H50)+SUMIF(G18:G50, "Hot Tacos", H18:H50)+SUMIF(G18:G50, "Popeyes", H18:H50)+SUMIF(G18:G50, "Chucks", H18:H50)</f>
        <v>0</v>
      </c>
      <c r="G19" s="21" t="s">
        <v>258</v>
      </c>
      <c r="H19" s="94">
        <v>4.0</v>
      </c>
      <c r="I19" s="109">
        <v>45800.0</v>
      </c>
      <c r="J19" s="93"/>
      <c r="K19" s="90"/>
      <c r="L19" s="21" t="s">
        <v>147</v>
      </c>
      <c r="M19" s="94">
        <v>40.0</v>
      </c>
      <c r="N19" s="19"/>
    </row>
    <row r="20">
      <c r="E20" s="54" t="s">
        <v>27</v>
      </c>
      <c r="F20" s="95">
        <f>SUMIF(G18:G60, "Gas", H18:H60)</f>
        <v>54.23</v>
      </c>
      <c r="G20" s="21" t="s">
        <v>27</v>
      </c>
      <c r="H20" s="94">
        <v>54.23</v>
      </c>
      <c r="I20" s="109">
        <v>45800.0</v>
      </c>
      <c r="J20" s="93"/>
      <c r="K20" s="96"/>
      <c r="L20" s="19" t="s">
        <v>151</v>
      </c>
      <c r="M20" s="97">
        <v>120.0</v>
      </c>
      <c r="N20" s="19" t="s">
        <v>152</v>
      </c>
    </row>
    <row r="21">
      <c r="A21" s="85" t="s">
        <v>153</v>
      </c>
      <c r="B21" s="85" t="s">
        <v>154</v>
      </c>
      <c r="C21" s="86"/>
      <c r="E21" s="85" t="s">
        <v>155</v>
      </c>
      <c r="F21" s="86">
        <f>SUMIF(G18:G50, "McDonalds", H18:H50) </f>
        <v>0</v>
      </c>
      <c r="G21" s="21" t="s">
        <v>150</v>
      </c>
      <c r="H21" s="94">
        <v>4.79</v>
      </c>
      <c r="I21" s="109">
        <v>45801.0</v>
      </c>
      <c r="J21" s="93"/>
      <c r="K21" s="90"/>
      <c r="L21" s="98" t="s">
        <v>157</v>
      </c>
      <c r="M21" s="94">
        <v>1000.0</v>
      </c>
      <c r="N21" s="19"/>
    </row>
    <row r="22">
      <c r="A22" s="85" t="s">
        <v>158</v>
      </c>
      <c r="B22" s="85" t="s">
        <v>159</v>
      </c>
      <c r="C22" s="86"/>
      <c r="E22" s="10" t="s">
        <v>160</v>
      </c>
      <c r="F22" s="10">
        <f>SUMIF(G18:G50, "Urbn Planet", H18:H50)+SUMIF(G18:G50, "Winners", H18:H50) +SUMIF(G18:G50, "Platos", H18:H50) </f>
        <v>0</v>
      </c>
      <c r="G22" s="21" t="s">
        <v>150</v>
      </c>
      <c r="H22" s="94">
        <v>5.3</v>
      </c>
      <c r="I22" s="109">
        <v>45802.0</v>
      </c>
      <c r="J22" s="93"/>
      <c r="K22" s="90"/>
      <c r="L22" s="21" t="s">
        <v>162</v>
      </c>
      <c r="M22" s="97"/>
      <c r="N22" s="19"/>
      <c r="O22" s="99" t="s">
        <v>163</v>
      </c>
      <c r="Q22" s="99" t="s">
        <v>164</v>
      </c>
    </row>
    <row r="23">
      <c r="A23" s="85" t="s">
        <v>165</v>
      </c>
      <c r="B23" s="85" t="s">
        <v>166</v>
      </c>
      <c r="C23" s="86"/>
      <c r="E23" s="10" t="s">
        <v>117</v>
      </c>
      <c r="F23" s="26">
        <f>0</f>
        <v>0</v>
      </c>
      <c r="G23" s="21" t="s">
        <v>259</v>
      </c>
      <c r="H23" s="94">
        <v>3.39</v>
      </c>
      <c r="I23" s="109">
        <v>45802.0</v>
      </c>
      <c r="J23" s="89"/>
      <c r="K23" s="90"/>
      <c r="L23" s="21" t="s">
        <v>167</v>
      </c>
      <c r="M23" s="94">
        <v>30.0</v>
      </c>
      <c r="N23" s="19"/>
      <c r="O23" s="100" t="s">
        <v>130</v>
      </c>
      <c r="P23" s="101" t="s">
        <v>168</v>
      </c>
      <c r="Q23" s="100" t="s">
        <v>130</v>
      </c>
      <c r="R23" s="101" t="s">
        <v>169</v>
      </c>
    </row>
    <row r="24">
      <c r="E24" s="102" t="s">
        <v>170</v>
      </c>
      <c r="F24" s="33">
        <f>SUMIF(G18:G50, "LCBO", H18:H50) + SUMIF(G18:G50, "Beer Store", H18:H50)+ SUMIF(G18:G50, "Drinks", H18:H50)+SUMIF(G18:G50, "Beer", H18:H50)+SUMIF(G18:G50, "Wine", H18:H50)</f>
        <v>7.86</v>
      </c>
      <c r="G24" s="21" t="s">
        <v>150</v>
      </c>
      <c r="H24" s="94">
        <v>4.07</v>
      </c>
      <c r="I24" s="109">
        <v>45802.0</v>
      </c>
      <c r="J24" s="89"/>
      <c r="K24" s="90"/>
      <c r="L24" s="19"/>
      <c r="M24" s="97"/>
      <c r="N24" s="19"/>
      <c r="O24" s="103" t="s">
        <v>131</v>
      </c>
      <c r="P24" s="104" t="s">
        <v>168</v>
      </c>
      <c r="Q24" s="103" t="s">
        <v>131</v>
      </c>
      <c r="R24" s="104" t="s">
        <v>169</v>
      </c>
    </row>
    <row r="25">
      <c r="A25" s="13" t="s">
        <v>172</v>
      </c>
      <c r="E25" s="105" t="s">
        <v>173</v>
      </c>
      <c r="F25" s="106">
        <f>SUMIF(G18:G50, "TIMS", H18:H50) + SUMIF(G18:G50, "Casa Miro", H18:H50) + SUMIF(G18:G50, "Toto", H18:H50) + SUMIF(G18:G50, "Coffee Exchange", H18:H50)+ SUMIF(G18:G50, "Ciao Caffe", H18:H50)+ SUMIF(G18:G50, "Starbucks", H18:H50)
</f>
        <v>42.04</v>
      </c>
      <c r="G25" s="21" t="s">
        <v>401</v>
      </c>
      <c r="H25" s="94">
        <v>47.06</v>
      </c>
      <c r="I25" s="109">
        <v>45803.0</v>
      </c>
      <c r="J25" s="89"/>
      <c r="K25" s="19"/>
      <c r="L25" s="19"/>
      <c r="M25" s="107"/>
      <c r="N25" s="19"/>
      <c r="O25" s="103" t="s">
        <v>132</v>
      </c>
      <c r="P25" s="104" t="s">
        <v>168</v>
      </c>
      <c r="Q25" s="103" t="s">
        <v>132</v>
      </c>
      <c r="R25" s="104" t="s">
        <v>169</v>
      </c>
    </row>
    <row r="26">
      <c r="A26" s="98" t="s">
        <v>402</v>
      </c>
      <c r="B26" s="178"/>
      <c r="C26" s="112"/>
      <c r="D26" s="19"/>
      <c r="E26" s="79" t="s">
        <v>52</v>
      </c>
      <c r="F26" s="110">
        <f>SUM(F18:F25)
</f>
        <v>133.77</v>
      </c>
      <c r="G26" s="21" t="s">
        <v>371</v>
      </c>
      <c r="H26" s="94">
        <v>4.0</v>
      </c>
      <c r="I26" s="109">
        <v>45803.0</v>
      </c>
      <c r="J26" s="89"/>
      <c r="K26" s="21" t="s">
        <v>174</v>
      </c>
      <c r="L26" s="19" t="s">
        <v>52</v>
      </c>
      <c r="M26" s="97">
        <f>M20++M19+M21+M22+M24+M23+M25</f>
        <v>1190</v>
      </c>
      <c r="O26" s="103" t="s">
        <v>126</v>
      </c>
      <c r="P26" s="104" t="s">
        <v>175</v>
      </c>
      <c r="Q26" s="103" t="s">
        <v>126</v>
      </c>
      <c r="R26" s="104" t="s">
        <v>176</v>
      </c>
    </row>
    <row r="27">
      <c r="A27" s="31" t="s">
        <v>403</v>
      </c>
      <c r="B27" s="31">
        <v>5.71</v>
      </c>
      <c r="C27" s="179">
        <f>B27+B28+B29</f>
        <v>47.32</v>
      </c>
      <c r="D27" s="180">
        <f>1.13*C27</f>
        <v>53.4716</v>
      </c>
      <c r="E27" s="79" t="s">
        <v>177</v>
      </c>
      <c r="F27" s="111">
        <f>I1/(15-F3)</f>
        <v>4.760660377</v>
      </c>
      <c r="G27" s="21" t="s">
        <v>404</v>
      </c>
      <c r="H27" s="94">
        <v>81.78</v>
      </c>
      <c r="I27" s="109">
        <v>45804.0</v>
      </c>
      <c r="J27" s="89" t="s">
        <v>405</v>
      </c>
      <c r="K27" s="21" t="s">
        <v>164</v>
      </c>
      <c r="L27" s="10"/>
      <c r="O27" s="103" t="s">
        <v>127</v>
      </c>
      <c r="P27" s="104" t="s">
        <v>175</v>
      </c>
      <c r="Q27" s="103" t="s">
        <v>127</v>
      </c>
      <c r="R27" s="104" t="s">
        <v>178</v>
      </c>
    </row>
    <row r="28">
      <c r="A28" s="180" t="s">
        <v>406</v>
      </c>
      <c r="B28" s="179">
        <v>21.61</v>
      </c>
      <c r="C28" s="109"/>
      <c r="D28" s="19"/>
      <c r="E28" s="10" t="s">
        <v>180</v>
      </c>
      <c r="F28" s="26">
        <f>I1-F26
</f>
        <v>370.86</v>
      </c>
      <c r="G28" s="21" t="s">
        <v>407</v>
      </c>
      <c r="H28" s="94">
        <v>28.97</v>
      </c>
      <c r="I28" s="109">
        <v>45805.0</v>
      </c>
      <c r="J28" s="89" t="s">
        <v>408</v>
      </c>
      <c r="K28" s="21" t="s">
        <v>182</v>
      </c>
      <c r="O28" s="103" t="s">
        <v>128</v>
      </c>
      <c r="P28" s="104" t="s">
        <v>168</v>
      </c>
      <c r="Q28" s="103" t="s">
        <v>128</v>
      </c>
      <c r="R28" s="104" t="s">
        <v>183</v>
      </c>
    </row>
    <row r="29">
      <c r="A29" s="21" t="s">
        <v>173</v>
      </c>
      <c r="B29" s="94">
        <v>20.0</v>
      </c>
      <c r="C29" s="109">
        <v>45813.0</v>
      </c>
      <c r="D29" s="19"/>
      <c r="E29" s="10" t="s">
        <v>171</v>
      </c>
      <c r="F29" s="26">
        <f>SUMIF(G18:G60, "Wal Mart", H18:H60) </f>
        <v>0</v>
      </c>
      <c r="G29" s="21" t="s">
        <v>150</v>
      </c>
      <c r="H29" s="94">
        <v>2.17</v>
      </c>
      <c r="I29" s="109">
        <v>45805.0</v>
      </c>
      <c r="J29" s="89"/>
      <c r="K29" s="10" t="s">
        <v>325</v>
      </c>
      <c r="O29" s="103" t="s">
        <v>129</v>
      </c>
      <c r="P29" s="104" t="s">
        <v>168</v>
      </c>
      <c r="Q29" s="103" t="s">
        <v>129</v>
      </c>
      <c r="R29" s="104" t="s">
        <v>169</v>
      </c>
    </row>
    <row r="30">
      <c r="A30" s="21"/>
      <c r="B30" s="94"/>
      <c r="C30" s="109"/>
      <c r="D30" s="89"/>
      <c r="F30" s="135"/>
      <c r="G30" s="21" t="s">
        <v>150</v>
      </c>
      <c r="H30" s="94">
        <v>5.4</v>
      </c>
      <c r="I30" s="109">
        <v>45805.0</v>
      </c>
      <c r="J30" s="21"/>
      <c r="K30" s="10" t="s">
        <v>327</v>
      </c>
      <c r="Q30" s="122" t="s">
        <v>186</v>
      </c>
    </row>
    <row r="31">
      <c r="A31" s="21"/>
      <c r="B31" s="94"/>
      <c r="C31" s="109"/>
      <c r="D31" s="89"/>
      <c r="F31" s="135"/>
      <c r="G31" s="21" t="s">
        <v>407</v>
      </c>
      <c r="H31" s="94">
        <v>26.83</v>
      </c>
      <c r="I31" s="109">
        <v>45805.0</v>
      </c>
      <c r="J31" s="21" t="s">
        <v>409</v>
      </c>
      <c r="K31" s="10" t="s">
        <v>329</v>
      </c>
      <c r="L31" s="10"/>
      <c r="Q31" s="125" t="s">
        <v>130</v>
      </c>
      <c r="R31" s="125" t="s">
        <v>190</v>
      </c>
    </row>
    <row r="32">
      <c r="A32" s="21" t="s">
        <v>410</v>
      </c>
      <c r="C32" s="62"/>
      <c r="F32" s="135"/>
      <c r="G32" s="21" t="s">
        <v>150</v>
      </c>
      <c r="H32" s="94">
        <v>2.51</v>
      </c>
      <c r="I32" s="109">
        <v>45806.0</v>
      </c>
      <c r="J32" s="93"/>
      <c r="K32" s="10" t="s">
        <v>192</v>
      </c>
      <c r="N32" s="10" t="s">
        <v>193</v>
      </c>
      <c r="Q32" s="128" t="s">
        <v>131</v>
      </c>
      <c r="R32" s="128" t="s">
        <v>190</v>
      </c>
    </row>
    <row r="33">
      <c r="A33" s="10" t="s">
        <v>358</v>
      </c>
      <c r="B33" s="10" t="s">
        <v>359</v>
      </c>
      <c r="C33" s="10" t="s">
        <v>360</v>
      </c>
      <c r="D33" s="10"/>
      <c r="E33" s="135"/>
      <c r="F33" s="135"/>
      <c r="G33" s="21" t="s">
        <v>150</v>
      </c>
      <c r="H33" s="94">
        <v>2.17</v>
      </c>
      <c r="I33" s="109">
        <v>45807.0</v>
      </c>
      <c r="J33" s="93"/>
      <c r="K33" s="132" t="s">
        <v>196</v>
      </c>
      <c r="Q33" s="128" t="s">
        <v>132</v>
      </c>
      <c r="R33" s="128" t="s">
        <v>190</v>
      </c>
    </row>
    <row r="34">
      <c r="E34" s="135"/>
      <c r="F34" s="167"/>
      <c r="G34" s="21" t="s">
        <v>254</v>
      </c>
      <c r="H34" s="94">
        <v>7.86</v>
      </c>
      <c r="I34" s="161">
        <v>45807.0</v>
      </c>
      <c r="J34" s="93"/>
      <c r="K34" s="132" t="s">
        <v>330</v>
      </c>
      <c r="M34" s="10">
        <v>200.0</v>
      </c>
      <c r="N34" s="173">
        <v>45874.0</v>
      </c>
      <c r="O34" s="10" t="s">
        <v>289</v>
      </c>
      <c r="Q34" s="128" t="s">
        <v>126</v>
      </c>
      <c r="R34" s="128" t="s">
        <v>201</v>
      </c>
    </row>
    <row r="35">
      <c r="E35" s="135"/>
      <c r="F35" s="132"/>
      <c r="G35" s="21" t="s">
        <v>411</v>
      </c>
      <c r="H35" s="94">
        <v>13.56</v>
      </c>
      <c r="I35" s="109">
        <v>45807.0</v>
      </c>
      <c r="J35" s="93"/>
      <c r="K35" s="132"/>
      <c r="Q35" s="128" t="s">
        <v>127</v>
      </c>
      <c r="R35" s="128" t="s">
        <v>201</v>
      </c>
    </row>
    <row r="36">
      <c r="E36" s="135"/>
      <c r="F36" s="135"/>
      <c r="G36" s="10" t="s">
        <v>412</v>
      </c>
      <c r="H36" s="10">
        <v>18.51</v>
      </c>
      <c r="I36" s="62">
        <v>45807.0</v>
      </c>
      <c r="J36" s="93"/>
      <c r="K36" s="10"/>
      <c r="Q36" s="128" t="s">
        <v>128</v>
      </c>
      <c r="R36" s="128" t="s">
        <v>203</v>
      </c>
    </row>
    <row r="37">
      <c r="A37" s="84"/>
      <c r="B37" s="84"/>
      <c r="C37" s="84"/>
      <c r="D37" s="84"/>
      <c r="E37" s="84"/>
      <c r="F37" s="84"/>
      <c r="G37" s="10" t="s">
        <v>195</v>
      </c>
      <c r="H37" s="10">
        <v>9.0</v>
      </c>
      <c r="I37" s="62">
        <v>45808.0</v>
      </c>
      <c r="J37" s="93"/>
      <c r="K37" s="135"/>
      <c r="Q37" s="128" t="s">
        <v>129</v>
      </c>
      <c r="R37" s="128" t="s">
        <v>203</v>
      </c>
    </row>
    <row r="38">
      <c r="A38" s="85" t="s">
        <v>87</v>
      </c>
      <c r="B38" s="10">
        <v>31200.0</v>
      </c>
      <c r="E38" s="85" t="s">
        <v>363</v>
      </c>
      <c r="F38" s="132">
        <v>200.0</v>
      </c>
      <c r="G38" s="10" t="s">
        <v>257</v>
      </c>
      <c r="H38" s="10">
        <v>29.64</v>
      </c>
      <c r="I38" s="62">
        <v>45808.0</v>
      </c>
      <c r="J38" s="93"/>
      <c r="K38" s="135"/>
      <c r="Q38" s="142" t="s">
        <v>209</v>
      </c>
    </row>
    <row r="39">
      <c r="A39" s="85" t="s">
        <v>364</v>
      </c>
      <c r="B39" s="10">
        <v>36008.0</v>
      </c>
      <c r="E39" s="85" t="s">
        <v>365</v>
      </c>
      <c r="F39" s="135">
        <f>F38*5</f>
        <v>1000</v>
      </c>
      <c r="G39" s="10" t="s">
        <v>310</v>
      </c>
      <c r="H39" s="10">
        <v>10.91</v>
      </c>
      <c r="I39" s="62">
        <v>45808.0</v>
      </c>
      <c r="J39" s="93"/>
      <c r="K39" s="132"/>
      <c r="Q39" s="145" t="s">
        <v>212</v>
      </c>
    </row>
    <row r="40">
      <c r="A40" s="85" t="s">
        <v>52</v>
      </c>
      <c r="B40" s="26">
        <f>SUM(B38:B39)
</f>
        <v>67208</v>
      </c>
      <c r="E40" s="85" t="s">
        <v>366</v>
      </c>
      <c r="F40" s="135">
        <f>F39*4</f>
        <v>4000</v>
      </c>
      <c r="G40" s="10" t="s">
        <v>261</v>
      </c>
      <c r="H40" s="10">
        <v>15.73</v>
      </c>
      <c r="I40" s="147">
        <v>45809.0</v>
      </c>
      <c r="J40" s="93"/>
      <c r="K40" s="132"/>
      <c r="Q40" s="145" t="s">
        <v>214</v>
      </c>
    </row>
    <row r="41">
      <c r="A41" s="126" t="s">
        <v>367</v>
      </c>
      <c r="B41" s="168"/>
      <c r="C41" s="169">
        <f>TODAY()
</f>
        <v>45905</v>
      </c>
      <c r="E41" s="85" t="s">
        <v>368</v>
      </c>
      <c r="F41" s="135">
        <f>F40*12</f>
        <v>48000</v>
      </c>
      <c r="G41" s="10" t="s">
        <v>150</v>
      </c>
      <c r="H41" s="10">
        <v>5.02</v>
      </c>
      <c r="I41" s="62">
        <v>45809.0</v>
      </c>
      <c r="J41" s="93"/>
      <c r="K41" s="132"/>
      <c r="Q41" s="145" t="s">
        <v>216</v>
      </c>
    </row>
    <row r="42">
      <c r="A42" s="10" t="s">
        <v>369</v>
      </c>
      <c r="B42" s="26">
        <f>B40*(C42/100)</f>
        <v>8737.04</v>
      </c>
      <c r="C42" s="10">
        <v>13.0</v>
      </c>
      <c r="G42" s="10" t="s">
        <v>413</v>
      </c>
      <c r="H42" s="10">
        <v>18.0</v>
      </c>
      <c r="I42" s="62">
        <v>45809.0</v>
      </c>
      <c r="Q42" s="145" t="s">
        <v>218</v>
      </c>
    </row>
    <row r="43">
      <c r="G43" s="21" t="s">
        <v>150</v>
      </c>
      <c r="H43" s="94">
        <v>2.17</v>
      </c>
      <c r="I43" s="109">
        <v>45810.0</v>
      </c>
      <c r="Q43" s="145" t="s">
        <v>219</v>
      </c>
    </row>
    <row r="44">
      <c r="G44" s="10" t="s">
        <v>150</v>
      </c>
      <c r="H44" s="10">
        <v>2.17</v>
      </c>
      <c r="I44" s="62">
        <v>45811.0</v>
      </c>
      <c r="J44" s="165"/>
      <c r="Q44" s="145" t="s">
        <v>221</v>
      </c>
    </row>
    <row r="45">
      <c r="G45" s="10" t="s">
        <v>414</v>
      </c>
      <c r="H45" s="10">
        <v>20.86</v>
      </c>
      <c r="I45" s="62">
        <v>45811.0</v>
      </c>
      <c r="Q45" s="145" t="s">
        <v>223</v>
      </c>
    </row>
    <row r="46">
      <c r="G46" s="10" t="s">
        <v>415</v>
      </c>
      <c r="H46" s="10">
        <v>4.52</v>
      </c>
      <c r="I46" s="62">
        <v>45812.0</v>
      </c>
    </row>
    <row r="47">
      <c r="G47" s="10" t="s">
        <v>302</v>
      </c>
      <c r="H47" s="10">
        <v>63.74</v>
      </c>
      <c r="I47" s="62">
        <v>45813.0</v>
      </c>
    </row>
    <row r="48">
      <c r="G48" s="10" t="s">
        <v>150</v>
      </c>
      <c r="H48" s="10">
        <v>2.17</v>
      </c>
      <c r="I48" s="121">
        <v>45813.0</v>
      </c>
    </row>
    <row r="49">
      <c r="I49" s="121"/>
    </row>
    <row r="50">
      <c r="I50" s="121"/>
    </row>
    <row r="51">
      <c r="I51" s="121"/>
    </row>
    <row r="52">
      <c r="I52" s="62"/>
    </row>
    <row r="53">
      <c r="I53" s="62"/>
    </row>
    <row r="54">
      <c r="I54" s="147"/>
    </row>
  </sheetData>
  <conditionalFormatting sqref="I1">
    <cfRule type="notContainsBlanks" dxfId="2" priority="1">
      <formula>LEN(TRIM(I1))&gt;0</formula>
    </cfRule>
  </conditionalFormatting>
  <conditionalFormatting sqref="A9:N15">
    <cfRule type="cellIs" dxfId="3" priority="2" operator="equal">
      <formula>"TIMS"</formula>
    </cfRule>
  </conditionalFormatting>
  <conditionalFormatting sqref="A9:N15">
    <cfRule type="cellIs" dxfId="4" priority="3" operator="equal">
      <formula>"Dispo"</formula>
    </cfRule>
  </conditionalFormatting>
  <conditionalFormatting sqref="A9:N15">
    <cfRule type="cellIs" dxfId="1" priority="4" operator="equal">
      <formula>"Gas"</formula>
    </cfRule>
  </conditionalFormatting>
  <conditionalFormatting sqref="G18:G26 A26 G28:G29 A30:A31 G31 G33:G42 G44:G56">
    <cfRule type="cellIs" dxfId="3" priority="5" operator="equal">
      <formula>"TIMS"</formula>
    </cfRule>
  </conditionalFormatting>
  <conditionalFormatting sqref="G18:G26 A26 G28:G29 A30:A31 G31 G33:G42 G44:G56">
    <cfRule type="cellIs" dxfId="4" priority="6" operator="equal">
      <formula>"Dispo"</formula>
    </cfRule>
  </conditionalFormatting>
  <conditionalFormatting sqref="G18:G26 A26 G28:G29 A30:A31 G31 G33:G42 G44:G56">
    <cfRule type="cellIs" dxfId="5" priority="7" operator="equal">
      <formula>"McDonalds"</formula>
    </cfRule>
  </conditionalFormatting>
  <conditionalFormatting sqref="H18:H26 B26 B28 H28:H29 B30:B32 H31 H33:H42 H44:H60">
    <cfRule type="cellIs" dxfId="1" priority="8" operator="greaterThan">
      <formula>60</formula>
    </cfRule>
  </conditionalFormatting>
  <conditionalFormatting sqref="H18:H26 B26 B28 H28:H29 B30:B32 H31 H33:H42 H44:H60">
    <cfRule type="cellIs" dxfId="6" priority="9" operator="between">
      <formula>30</formula>
      <formula>60</formula>
    </cfRule>
  </conditionalFormatting>
  <conditionalFormatting sqref="I5">
    <cfRule type="cellIs" dxfId="0" priority="10" operator="greaterThan">
      <formula>0</formula>
    </cfRule>
  </conditionalFormatting>
  <conditionalFormatting sqref="I5">
    <cfRule type="cellIs" dxfId="1" priority="11" operator="lessThanOr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181"/>
      <c r="C1" s="1"/>
      <c r="E1" s="54" t="s">
        <v>114</v>
      </c>
      <c r="F1" s="55">
        <f>TODAY()
</f>
        <v>45905</v>
      </c>
      <c r="H1" s="56" t="s">
        <v>115</v>
      </c>
      <c r="I1" s="32">
        <f>SUM(IFERROR(16:16, 0))
</f>
        <v>710.72</v>
      </c>
      <c r="K1" s="57" t="s">
        <v>265</v>
      </c>
      <c r="L1" s="58"/>
      <c r="M1" s="57" t="s">
        <v>266</v>
      </c>
      <c r="O1" s="7" t="s">
        <v>116</v>
      </c>
      <c r="P1" s="59" t="s">
        <v>117</v>
      </c>
    </row>
    <row r="2">
      <c r="C2" s="62"/>
      <c r="E2" s="10" t="s">
        <v>118</v>
      </c>
      <c r="F2" s="60">
        <v>45785.0</v>
      </c>
      <c r="H2" s="56" t="s">
        <v>119</v>
      </c>
      <c r="I2" s="61">
        <f>550+150</f>
        <v>700</v>
      </c>
      <c r="K2" s="10" t="s">
        <v>173</v>
      </c>
      <c r="L2" s="10">
        <v>40.0</v>
      </c>
      <c r="M2" s="10" t="s">
        <v>267</v>
      </c>
      <c r="P2" s="10" t="s">
        <v>377</v>
      </c>
      <c r="Q2" s="10" t="s">
        <v>378</v>
      </c>
    </row>
    <row r="3">
      <c r="C3" s="62"/>
      <c r="E3" s="10" t="s">
        <v>120</v>
      </c>
      <c r="F3" s="26">
        <f>F2-F1+1
</f>
        <v>-119</v>
      </c>
      <c r="H3" s="24" t="s">
        <v>80</v>
      </c>
      <c r="I3" s="56">
        <f>I2-I1
</f>
        <v>-10.72</v>
      </c>
      <c r="K3" s="10" t="s">
        <v>268</v>
      </c>
      <c r="L3" s="10" t="s">
        <v>269</v>
      </c>
      <c r="M3" s="10" t="s">
        <v>270</v>
      </c>
      <c r="O3" s="10" t="s">
        <v>121</v>
      </c>
    </row>
    <row r="4">
      <c r="C4" s="62"/>
      <c r="E4" s="10" t="s">
        <v>49</v>
      </c>
      <c r="F4" s="26">
        <f>I2-I1
</f>
        <v>-10.72</v>
      </c>
      <c r="H4" s="63"/>
      <c r="I4" s="63"/>
      <c r="K4" s="10" t="s">
        <v>27</v>
      </c>
      <c r="L4" s="10" t="s">
        <v>271</v>
      </c>
    </row>
    <row r="5">
      <c r="C5" s="62"/>
      <c r="E5" s="10" t="s">
        <v>122</v>
      </c>
      <c r="H5" s="64" t="s">
        <v>123</v>
      </c>
      <c r="I5" s="64">
        <f>I3/F3
</f>
        <v>0.09008403361</v>
      </c>
    </row>
    <row r="6">
      <c r="C6" s="62"/>
      <c r="K6" s="65"/>
      <c r="R6" s="66"/>
    </row>
    <row r="7">
      <c r="A7" s="53"/>
      <c r="B7" s="69"/>
      <c r="C7" s="170"/>
      <c r="D7" s="171"/>
      <c r="E7" s="53"/>
      <c r="F7" s="182"/>
      <c r="G7" s="70"/>
      <c r="H7" s="44"/>
      <c r="I7" s="1"/>
      <c r="J7" s="172"/>
      <c r="L7" s="53"/>
      <c r="M7" s="44"/>
      <c r="O7" s="177"/>
      <c r="P7" s="10" t="s">
        <v>313</v>
      </c>
    </row>
    <row r="8">
      <c r="A8" s="72">
        <v>45772.0</v>
      </c>
      <c r="B8" s="72">
        <v>45773.0</v>
      </c>
      <c r="C8" s="73">
        <v>45774.0</v>
      </c>
      <c r="D8" s="72">
        <v>45775.0</v>
      </c>
      <c r="E8" s="72">
        <v>45776.0</v>
      </c>
      <c r="F8" s="72">
        <v>45777.0</v>
      </c>
      <c r="G8" s="72">
        <v>45778.0</v>
      </c>
      <c r="H8" s="72">
        <v>45779.0</v>
      </c>
      <c r="I8" s="72">
        <v>45780.0</v>
      </c>
      <c r="J8" s="72">
        <v>45781.0</v>
      </c>
      <c r="K8" s="72">
        <v>45782.0</v>
      </c>
      <c r="L8" s="72">
        <v>45783.0</v>
      </c>
      <c r="M8" s="72">
        <v>45784.0</v>
      </c>
      <c r="N8" s="72">
        <v>45785.0</v>
      </c>
      <c r="O8" s="74"/>
      <c r="P8" s="10" t="s">
        <v>125</v>
      </c>
      <c r="Q8" s="75"/>
      <c r="R8" s="10" t="s">
        <v>47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  <c r="O9" s="53"/>
      <c r="P9" s="10" t="s">
        <v>133</v>
      </c>
    </row>
    <row r="10">
      <c r="A10" s="75" t="str">
        <f>IFERROR(__xludf.DUMMYFUNCTION("FILTER(G17:G52, I17:I52=A8)
"),"LCBO")</f>
        <v>LCBO</v>
      </c>
      <c r="B10" s="130" t="str">
        <f>IFERROR(__xludf.DUMMYFUNCTION("FILTER(G17:G52, I17:I52=B8)
"),"Mi Casita")</f>
        <v>Mi Casita</v>
      </c>
      <c r="C10" s="10" t="str">
        <f>IFERROR(__xludf.DUMMYFUNCTION("FILTER(G17:G52, I17:I52=C8)
"),"TIMS")</f>
        <v>TIMS</v>
      </c>
      <c r="D10" s="26" t="str">
        <f>IFERROR(__xludf.DUMMYFUNCTION("FILTER(G17:G52, I17:I52=D8)
"),"Basil Court")</f>
        <v>Basil Court</v>
      </c>
      <c r="E10" s="26" t="str">
        <f>IFERROR(__xludf.DUMMYFUNCTION("FILTER(G17:G52, I17:I52=E8)
"),"TIMS")</f>
        <v>TIMS</v>
      </c>
      <c r="F10" s="26" t="str">
        <f>IFERROR(__xludf.DUMMYFUNCTION("FILTER(G17:G52, I17:I52=F8)
"),"Dollarama")</f>
        <v>Dollarama</v>
      </c>
      <c r="G10" s="26" t="str">
        <f>IFERROR(__xludf.DUMMYFUNCTION("FILTER(G17:G52, I17:I52=G8)
"),"TIMS")</f>
        <v>TIMS</v>
      </c>
      <c r="H10" s="26" t="str">
        <f>IFERROR(__xludf.DUMMYFUNCTION("FILTER(G17:G52, I17:I52=H8)
"),"TIMS")</f>
        <v>TIMS</v>
      </c>
      <c r="I10" s="10" t="str">
        <f>IFERROR(__xludf.DUMMYFUNCTION("FILTER(G16:G51, I16:I51=I8)
"),"TIMS")</f>
        <v>TIMS</v>
      </c>
      <c r="J10" s="26" t="str">
        <f>IFERROR(__xludf.DUMMYFUNCTION("FILTER(G15:G50, I15:I50=J8)
"),"TIMS")</f>
        <v>TIMS</v>
      </c>
      <c r="K10" s="26" t="str">
        <f>IFERROR(__xludf.DUMMYFUNCTION("FILTER(G15:G50, I15:I50=K8)
"),"Snapchat")</f>
        <v>Snapchat</v>
      </c>
      <c r="L10" s="75" t="str">
        <f>IFERROR(__xludf.DUMMYFUNCTION("FILTER(G15:G65, I15:I65=L8)
"),"Lemon Grill")</f>
        <v>Lemon Grill</v>
      </c>
      <c r="M10" s="10" t="str">
        <f>IFERROR(__xludf.DUMMYFUNCTION("FILTER(G15:G65, I15:I65=M8)
"),"TIMS")</f>
        <v>TIMS</v>
      </c>
      <c r="N10" s="26" t="str">
        <f>IFERROR(__xludf.DUMMYFUNCTION("FILTER(G15:G65, I15:I65=N8)
"),"Metro")</f>
        <v>Metro</v>
      </c>
      <c r="O10" s="183"/>
      <c r="P10" s="10" t="s">
        <v>134</v>
      </c>
    </row>
    <row r="11">
      <c r="A11" s="75" t="str">
        <f>IFERROR(__xludf.DUMMYFUNCTION("""COMPUTED_VALUE"""),"Shoppers")</f>
        <v>Shoppers</v>
      </c>
      <c r="B11" s="26" t="str">
        <f>IFERROR(__xludf.DUMMYFUNCTION("""COMPUTED_VALUE"""),"TIMS")</f>
        <v>TIMS</v>
      </c>
      <c r="C11" s="26" t="str">
        <f>IFERROR(__xludf.DUMMYFUNCTION("""COMPUTED_VALUE"""),"Metro")</f>
        <v>Metro</v>
      </c>
      <c r="D11" s="26" t="str">
        <f>IFERROR(__xludf.DUMMYFUNCTION("""COMPUTED_VALUE"""),"TIMS")</f>
        <v>TIMS</v>
      </c>
      <c r="E11" s="75" t="str">
        <f>IFERROR(__xludf.DUMMYFUNCTION("""COMPUTED_VALUE"""),"TIMS")</f>
        <v>TIMS</v>
      </c>
      <c r="G11" s="26" t="str">
        <f>IFERROR(__xludf.DUMMYFUNCTION("""COMPUTED_VALUE"""),"TIMS")</f>
        <v>TIMS</v>
      </c>
      <c r="H11" s="26" t="str">
        <f>IFERROR(__xludf.DUMMYFUNCTION("""COMPUTED_VALUE"""),"TIMS")</f>
        <v>TIMS</v>
      </c>
      <c r="I11" s="75" t="str">
        <f>IFERROR(__xludf.DUMMYFUNCTION("""COMPUTED_VALUE"""),"Wineology")</f>
        <v>Wineology</v>
      </c>
      <c r="J11" s="26" t="str">
        <f>IFERROR(__xludf.DUMMYFUNCTION("""COMPUTED_VALUE"""),"Udemy")</f>
        <v>Udemy</v>
      </c>
      <c r="K11" s="26" t="str">
        <f>IFERROR(__xludf.DUMMYFUNCTION("""COMPUTED_VALUE"""),"Minecraft")</f>
        <v>Minecraft</v>
      </c>
      <c r="L11" s="26" t="str">
        <f>IFERROR(__xludf.DUMMYFUNCTION("""COMPUTED_VALUE"""),"Massage Addict")</f>
        <v>Massage Addict</v>
      </c>
      <c r="N11" s="26" t="str">
        <f>IFERROR(__xludf.DUMMYFUNCTION("""COMPUTED_VALUE"""),"NAYAX")</f>
        <v>NAYAX</v>
      </c>
    </row>
    <row r="12">
      <c r="A12" s="75" t="str">
        <f>IFERROR(__xludf.DUMMYFUNCTION("""COMPUTED_VALUE"""),"LCBO")</f>
        <v>LCBO</v>
      </c>
      <c r="E12" s="75" t="str">
        <f>IFERROR(__xludf.DUMMYFUNCTION("""COMPUTED_VALUE"""),"Stubhub")</f>
        <v>Stubhub</v>
      </c>
      <c r="H12" s="75" t="str">
        <f>IFERROR(__xludf.DUMMYFUNCTION("""COMPUTED_VALUE"""),"LCBO")</f>
        <v>LCBO</v>
      </c>
      <c r="I12" s="75" t="str">
        <f>IFERROR(__xludf.DUMMYFUNCTION("""COMPUTED_VALUE"""),"McDonalds")</f>
        <v>McDonalds</v>
      </c>
      <c r="J12" s="26" t="str">
        <f>IFERROR(__xludf.DUMMYFUNCTION("""COMPUTED_VALUE"""),"TIMS")</f>
        <v>TIMS</v>
      </c>
      <c r="K12" s="26" t="str">
        <f>IFERROR(__xludf.DUMMYFUNCTION("""COMPUTED_VALUE"""),"TIMS")</f>
        <v>TIMS</v>
      </c>
      <c r="L12" s="26" t="str">
        <f>IFERROR(__xludf.DUMMYFUNCTION("""COMPUTED_VALUE"""),"TIMS")</f>
        <v>TIMS</v>
      </c>
    </row>
    <row r="13">
      <c r="A13" s="77"/>
      <c r="B13" s="77"/>
      <c r="E13" s="26" t="str">
        <f>IFERROR(__xludf.DUMMYFUNCTION("""COMPUTED_VALUE"""),"Gas")</f>
        <v>Gas</v>
      </c>
      <c r="K13" s="26" t="str">
        <f>IFERROR(__xludf.DUMMYFUNCTION("""COMPUTED_VALUE"""),"Metro")</f>
        <v>Metro</v>
      </c>
      <c r="L13" s="26" t="str">
        <f>IFERROR(__xludf.DUMMYFUNCTION("""COMPUTED_VALUE"""),"Macs")</f>
        <v>Macs</v>
      </c>
    </row>
    <row r="14">
      <c r="A14" s="77"/>
      <c r="B14" s="77"/>
      <c r="E14" s="75" t="str">
        <f>IFERROR(__xludf.DUMMYFUNCTION("""COMPUTED_VALUE"""),"Subway")</f>
        <v>Subway</v>
      </c>
      <c r="K14" s="10" t="s">
        <v>122</v>
      </c>
    </row>
    <row r="15">
      <c r="A15" s="78"/>
      <c r="B15" s="78"/>
    </row>
    <row r="16">
      <c r="A16" s="56">
        <f>IFERROR(__xludf.DUMMYFUNCTION("SUM(FILTER(H17:H52, I17:I52=A8))
"),89.42)</f>
        <v>89.42</v>
      </c>
      <c r="B16" s="56">
        <f>IFERROR(__xludf.DUMMYFUNCTION("SUM(FILTER(H17:H52, I17:I52=B8))
"),43.06999999999999)</f>
        <v>43.07</v>
      </c>
      <c r="C16" s="56">
        <f>IFERROR(__xludf.DUMMYFUNCTION("SUM(FILTER(H17:H52, I17:I52=C8))
"),21.13)</f>
        <v>21.13</v>
      </c>
      <c r="D16" s="56">
        <f>IFERROR(__xludf.DUMMYFUNCTION("SUM(FILTER(H17:H52, I17:I52=D8))
"),13.79)</f>
        <v>13.79</v>
      </c>
      <c r="E16" s="56">
        <f>IFERROR(__xludf.DUMMYFUNCTION("SUM(FILTER(H17:H52, I17:I52=E8))
"),300.31999999999994)</f>
        <v>300.32</v>
      </c>
      <c r="F16" s="56">
        <f>IFERROR(__xludf.DUMMYFUNCTION("SUM(FILTER(H17:H52, I17:I52=F8))
"),13.0)</f>
        <v>13</v>
      </c>
      <c r="G16" s="56">
        <f>IFERROR(__xludf.DUMMYFUNCTION("SUM(FILTER(H17:H52, I17:I52=G8))
"),4.07)</f>
        <v>4.07</v>
      </c>
      <c r="H16" s="56">
        <f>IFERROR(__xludf.DUMMYFUNCTION("SUM(FILTER(H17:H52, I17:I52=H8))
"),12.43)</f>
        <v>12.43</v>
      </c>
      <c r="I16" s="56">
        <f>IFERROR(__xludf.DUMMYFUNCTION("SUM(FILTER(H17:H52, I17:I52=I8))
"),33.2)</f>
        <v>33.2</v>
      </c>
      <c r="J16" s="56">
        <f>IFERROR(__xludf.DUMMYFUNCTION("SUM(FILTER(H17:H52, I17:I52=J8))
"),60.050000000000004)</f>
        <v>60.05</v>
      </c>
      <c r="K16" s="56">
        <f>IFERROR(__xludf.DUMMYFUNCTION("SUM(FILTER(H17:H52, I17:I52=K8))
"),27.53)</f>
        <v>27.53</v>
      </c>
      <c r="L16" s="56">
        <f>IFERROR(__xludf.DUMMYFUNCTION("SUM(FILTER(H17:H52, I17:I52=L8))
"),74.43)</f>
        <v>74.43</v>
      </c>
      <c r="M16" s="56">
        <f>IFERROR(__xludf.DUMMYFUNCTION("SUM(FILTER(H17:H62, I17:I62=M8))
"),2.29)</f>
        <v>2.29</v>
      </c>
      <c r="N16" s="35">
        <f>IFERROR(__xludf.DUMMYFUNCTION("SUM(FILTER(H17:H62, I17:I62=N8))
"),15.99)</f>
        <v>15.99</v>
      </c>
      <c r="O16" s="10" t="s">
        <v>314</v>
      </c>
    </row>
    <row r="17">
      <c r="E17" s="79" t="s">
        <v>135</v>
      </c>
      <c r="F17" s="80">
        <f>COUNTIF(G18:G1002, "TIMS")+COUNTIF(G18:G1002, "Casa Miro")+COUNTIF(G18:G1002, "Toto")+COUNTIF(G18:G1002, "Coffee Exchange")+COUNTIF(G18:G1002, "Ciao Caffe")
</f>
        <v>15</v>
      </c>
      <c r="G17" s="81"/>
      <c r="H17" s="81"/>
      <c r="I17" s="82"/>
      <c r="J17" s="83" t="s">
        <v>136</v>
      </c>
      <c r="K17" s="84"/>
      <c r="L17" s="84"/>
      <c r="M17" s="84"/>
      <c r="N17" s="84"/>
    </row>
    <row r="18">
      <c r="E18" s="87" t="s">
        <v>138</v>
      </c>
      <c r="F18" s="88">
        <f>SUMIF(G18:G50, "Dispo", H18:H50)+SUMIF(G18:G50, "c cabana", H18:H50)</f>
        <v>0</v>
      </c>
      <c r="G18" s="10" t="s">
        <v>254</v>
      </c>
      <c r="H18" s="10">
        <v>11.45</v>
      </c>
      <c r="I18" s="62">
        <v>45772.0</v>
      </c>
      <c r="J18" s="89"/>
      <c r="K18" s="90"/>
      <c r="L18" s="19" t="s">
        <v>140</v>
      </c>
      <c r="M18" s="19"/>
      <c r="N18" s="19" t="s">
        <v>141</v>
      </c>
    </row>
    <row r="19">
      <c r="E19" s="92" t="s">
        <v>145</v>
      </c>
      <c r="F19" s="92">
        <f>SUMIF(G18:G50, "Republik", H18:H50)+SUMIF(G18:G50, "Stacked", H18:H50)+SUMIF(G18:G50, "Halibut House", H18:H50)+SUMIF(G18:G50, "Keg", H18:H50)+SUMIF(G18:G50, "Ramen", H18:H50)+SUMIF(G18:G50, "Pizza", H18:H50) +SUMIF(G18:G50, "A&amp;W", H18:H50) + SUMIF(G18:G50, "Chucks", H18:H50) + SUMIF(G18:G50, "Cookie Bar", H18:H50) + SUMIF(G18:G50, "Burger King", H18:H50) + SUMIF(G18:G50, "Pho", H18:H50)+SUMIF(G18:G50, "Wendys", H18:H50)+SUMIF(G18:G50, "Hot Tacos", H18:H50)+SUMIF(G18:G50, "Popeyes", H18:H50)+SUMIF(G18:G50, "Chucks", H18:H50)</f>
        <v>0</v>
      </c>
      <c r="G19" s="21" t="s">
        <v>324</v>
      </c>
      <c r="H19" s="94">
        <v>62.77</v>
      </c>
      <c r="I19" s="109">
        <v>45772.0</v>
      </c>
      <c r="J19" s="93" t="s">
        <v>416</v>
      </c>
      <c r="K19" s="90"/>
      <c r="L19" s="21" t="s">
        <v>147</v>
      </c>
      <c r="M19" s="94">
        <v>40.0</v>
      </c>
      <c r="N19" s="19"/>
    </row>
    <row r="20">
      <c r="E20" s="54" t="s">
        <v>27</v>
      </c>
      <c r="F20" s="95">
        <f>SUMIF(G18:G60, "Gas", H18:H60)</f>
        <v>61.44</v>
      </c>
      <c r="G20" s="21" t="s">
        <v>254</v>
      </c>
      <c r="H20" s="94">
        <v>15.2</v>
      </c>
      <c r="I20" s="109">
        <v>45772.0</v>
      </c>
      <c r="J20" s="93"/>
      <c r="K20" s="96"/>
      <c r="L20" s="19" t="s">
        <v>151</v>
      </c>
      <c r="M20" s="97">
        <v>120.0</v>
      </c>
      <c r="N20" s="19" t="s">
        <v>152</v>
      </c>
      <c r="P20" s="26">
        <f>H21/28</f>
        <v>1.362857143</v>
      </c>
    </row>
    <row r="21">
      <c r="A21" s="10" t="s">
        <v>153</v>
      </c>
      <c r="B21" s="10" t="s">
        <v>154</v>
      </c>
      <c r="E21" s="85" t="s">
        <v>155</v>
      </c>
      <c r="F21" s="86">
        <f>SUMIF(G18:G50, "McDonalds", H18:H50) </f>
        <v>3.68</v>
      </c>
      <c r="G21" s="21" t="s">
        <v>417</v>
      </c>
      <c r="H21" s="94">
        <v>38.16</v>
      </c>
      <c r="I21" s="109">
        <v>45773.0</v>
      </c>
      <c r="J21" s="93"/>
      <c r="K21" s="90"/>
      <c r="L21" s="98" t="s">
        <v>157</v>
      </c>
      <c r="M21" s="94">
        <v>1000.0</v>
      </c>
      <c r="N21" s="19"/>
    </row>
    <row r="22">
      <c r="A22" s="10" t="s">
        <v>158</v>
      </c>
      <c r="B22" s="10" t="s">
        <v>159</v>
      </c>
      <c r="E22" s="10" t="s">
        <v>160</v>
      </c>
      <c r="F22" s="10">
        <f>SUMIF(G18:G50, "Urbn Planet", H18:H50)+SUMIF(G18:G50, "Winners", H18:H50) +SUMIF(G18:G50, "Platos", H18:H50) </f>
        <v>0</v>
      </c>
      <c r="G22" s="21" t="s">
        <v>150</v>
      </c>
      <c r="H22" s="94">
        <v>4.91</v>
      </c>
      <c r="I22" s="109">
        <v>45773.0</v>
      </c>
      <c r="J22" s="93"/>
      <c r="K22" s="90"/>
      <c r="L22" s="21" t="s">
        <v>162</v>
      </c>
      <c r="M22" s="97"/>
      <c r="N22" s="19"/>
    </row>
    <row r="23">
      <c r="A23" s="10" t="s">
        <v>165</v>
      </c>
      <c r="B23" s="10" t="s">
        <v>166</v>
      </c>
      <c r="E23" s="10" t="s">
        <v>117</v>
      </c>
      <c r="F23" s="26">
        <f>0</f>
        <v>0</v>
      </c>
      <c r="G23" s="21" t="s">
        <v>150</v>
      </c>
      <c r="H23" s="94">
        <v>4.68</v>
      </c>
      <c r="I23" s="109">
        <v>45774.0</v>
      </c>
      <c r="J23" s="89"/>
      <c r="K23" s="90"/>
      <c r="L23" s="21" t="s">
        <v>167</v>
      </c>
      <c r="M23" s="94">
        <v>30.0</v>
      </c>
      <c r="N23" s="19"/>
    </row>
    <row r="24">
      <c r="E24" s="102" t="s">
        <v>170</v>
      </c>
      <c r="F24" s="33">
        <f>SUMIF(G18:G50, "LCBO", H18:H50) + SUMIF(G18:G50, "Beer Store", H18:H50)+ SUMIF(G18:G50, "Drinks", H18:H50)+SUMIF(G18:G50, "Beer", H18:H50)+SUMIF(G18:G50, "Wine", H18:H50)</f>
        <v>34.62</v>
      </c>
      <c r="G24" s="21" t="s">
        <v>261</v>
      </c>
      <c r="H24" s="94">
        <v>16.45</v>
      </c>
      <c r="I24" s="109">
        <v>45774.0</v>
      </c>
      <c r="J24" s="89" t="s">
        <v>418</v>
      </c>
      <c r="K24" s="90"/>
      <c r="L24" s="19"/>
      <c r="M24" s="97"/>
      <c r="N24" s="19"/>
    </row>
    <row r="25">
      <c r="A25" s="10" t="s">
        <v>172</v>
      </c>
      <c r="E25" s="105" t="s">
        <v>173</v>
      </c>
      <c r="F25" s="106">
        <f>SUMIF(G18:G50, "TIMS", H18:H50) + SUMIF(G18:G50, "Casa Miro", H18:H50) + SUMIF(G18:G50, "Toto", H18:H50) + SUMIF(G18:G50, "Coffee Exchange", H18:H50)+ SUMIF(G18:G50, "Ciao Caffe", H18:H50)+ SUMIF(G18:G50, "Starbucks", H18:H50)
</f>
        <v>37.22</v>
      </c>
      <c r="G25" s="21" t="s">
        <v>419</v>
      </c>
      <c r="H25" s="94">
        <v>11.87</v>
      </c>
      <c r="I25" s="109">
        <v>45775.0</v>
      </c>
      <c r="J25" s="89"/>
      <c r="K25" s="19"/>
      <c r="L25" s="19"/>
      <c r="M25" s="107"/>
      <c r="N25" s="19"/>
    </row>
    <row r="26">
      <c r="A26" s="21" t="s">
        <v>402</v>
      </c>
      <c r="B26" s="166"/>
      <c r="C26" s="109"/>
      <c r="D26" s="19"/>
      <c r="E26" s="79" t="s">
        <v>52</v>
      </c>
      <c r="F26" s="110">
        <f>SUM(F18:F25)
</f>
        <v>136.96</v>
      </c>
      <c r="G26" s="21" t="s">
        <v>150</v>
      </c>
      <c r="H26" s="94">
        <v>1.92</v>
      </c>
      <c r="I26" s="109">
        <v>45775.0</v>
      </c>
      <c r="J26" s="89"/>
      <c r="K26" s="21" t="s">
        <v>174</v>
      </c>
      <c r="L26" s="19" t="s">
        <v>52</v>
      </c>
      <c r="M26" s="97">
        <f>M20++M19+M21+M22+M24+M23+M25</f>
        <v>1190</v>
      </c>
    </row>
    <row r="27">
      <c r="A27" s="107"/>
      <c r="B27" s="166"/>
      <c r="C27" s="184"/>
      <c r="D27" s="19"/>
      <c r="E27" s="79" t="s">
        <v>177</v>
      </c>
      <c r="F27" s="111">
        <f>I1/(15-F3)</f>
        <v>5.303880597</v>
      </c>
      <c r="G27" s="21" t="s">
        <v>150</v>
      </c>
      <c r="H27" s="94">
        <v>1.92</v>
      </c>
      <c r="I27" s="109">
        <v>45776.0</v>
      </c>
      <c r="J27" s="89"/>
      <c r="K27" s="21" t="s">
        <v>164</v>
      </c>
      <c r="L27" s="10"/>
    </row>
    <row r="28">
      <c r="A28" s="21" t="s">
        <v>410</v>
      </c>
      <c r="B28" s="94"/>
      <c r="C28" s="109"/>
      <c r="D28" s="19"/>
      <c r="E28" s="10" t="s">
        <v>180</v>
      </c>
      <c r="F28" s="26">
        <f>I1-F26
</f>
        <v>573.76</v>
      </c>
      <c r="G28" s="21" t="s">
        <v>150</v>
      </c>
      <c r="H28" s="94">
        <v>2.17</v>
      </c>
      <c r="I28" s="109">
        <v>45776.0</v>
      </c>
      <c r="J28" s="89"/>
      <c r="K28" s="21" t="s">
        <v>182</v>
      </c>
    </row>
    <row r="29">
      <c r="A29" s="107"/>
      <c r="B29" s="97"/>
      <c r="C29" s="184"/>
      <c r="D29" s="19"/>
      <c r="E29" s="10" t="s">
        <v>171</v>
      </c>
      <c r="F29" s="26">
        <f>SUMIF(G18:G60, "Wal Mart", H18:H60) </f>
        <v>0</v>
      </c>
      <c r="G29" s="21" t="s">
        <v>420</v>
      </c>
      <c r="H29" s="94">
        <v>216.51</v>
      </c>
      <c r="I29" s="109">
        <v>45776.0</v>
      </c>
      <c r="J29" s="89" t="s">
        <v>421</v>
      </c>
      <c r="K29" s="10" t="s">
        <v>325</v>
      </c>
    </row>
    <row r="30">
      <c r="A30" s="21" t="s">
        <v>422</v>
      </c>
      <c r="B30" s="94">
        <v>37.0</v>
      </c>
      <c r="C30" s="109">
        <v>45748.0</v>
      </c>
      <c r="D30" s="89" t="s">
        <v>423</v>
      </c>
      <c r="F30" s="135"/>
      <c r="G30" s="21" t="s">
        <v>27</v>
      </c>
      <c r="H30" s="94">
        <v>61.44</v>
      </c>
      <c r="I30" s="109">
        <v>45776.0</v>
      </c>
      <c r="J30" s="21"/>
      <c r="K30" s="10" t="s">
        <v>327</v>
      </c>
    </row>
    <row r="31">
      <c r="A31" s="21" t="s">
        <v>424</v>
      </c>
      <c r="B31" s="94">
        <v>32.34</v>
      </c>
      <c r="C31" s="109">
        <v>45748.0</v>
      </c>
      <c r="D31" s="89"/>
      <c r="F31" s="135"/>
      <c r="G31" s="21" t="s">
        <v>310</v>
      </c>
      <c r="H31" s="94">
        <v>18.28</v>
      </c>
      <c r="I31" s="109">
        <v>45776.0</v>
      </c>
      <c r="J31" s="19"/>
      <c r="K31" s="10" t="s">
        <v>329</v>
      </c>
      <c r="L31" s="10"/>
    </row>
    <row r="32">
      <c r="C32" s="147"/>
      <c r="F32" s="135"/>
      <c r="G32" s="10" t="s">
        <v>259</v>
      </c>
      <c r="H32" s="10">
        <v>13.0</v>
      </c>
      <c r="I32" s="147">
        <v>45777.0</v>
      </c>
      <c r="J32" s="93"/>
      <c r="K32" s="10" t="s">
        <v>192</v>
      </c>
      <c r="N32" s="10" t="s">
        <v>193</v>
      </c>
    </row>
    <row r="33">
      <c r="C33" s="147"/>
      <c r="D33" s="10"/>
      <c r="E33" s="135"/>
      <c r="F33" s="135"/>
      <c r="G33" s="10" t="s">
        <v>150</v>
      </c>
      <c r="H33" s="10">
        <v>2.17</v>
      </c>
      <c r="I33" s="62">
        <v>45778.0</v>
      </c>
      <c r="J33" s="93"/>
      <c r="K33" s="132" t="s">
        <v>196</v>
      </c>
    </row>
    <row r="34">
      <c r="E34" s="135"/>
      <c r="F34" s="167"/>
      <c r="G34" s="21" t="s">
        <v>150</v>
      </c>
      <c r="H34" s="94">
        <v>1.9</v>
      </c>
      <c r="I34" s="109">
        <v>45778.0</v>
      </c>
      <c r="J34" s="93"/>
      <c r="K34" s="132" t="s">
        <v>330</v>
      </c>
      <c r="M34" s="10">
        <v>200.0</v>
      </c>
      <c r="N34" s="173">
        <v>45874.0</v>
      </c>
      <c r="O34" s="10" t="s">
        <v>289</v>
      </c>
    </row>
    <row r="35">
      <c r="E35" s="135"/>
      <c r="F35" s="132"/>
      <c r="G35" s="21" t="s">
        <v>150</v>
      </c>
      <c r="H35" s="94">
        <v>2.17</v>
      </c>
      <c r="I35" s="109">
        <v>45779.0</v>
      </c>
      <c r="J35" s="93"/>
      <c r="K35" s="132"/>
    </row>
    <row r="36">
      <c r="E36" s="135"/>
      <c r="F36" s="135"/>
      <c r="G36" s="10" t="s">
        <v>150</v>
      </c>
      <c r="H36" s="10">
        <v>2.29</v>
      </c>
      <c r="I36" s="62">
        <v>45779.0</v>
      </c>
      <c r="J36" s="93"/>
      <c r="K36" s="10"/>
    </row>
    <row r="37">
      <c r="A37" s="84"/>
      <c r="B37" s="84"/>
      <c r="C37" s="84"/>
      <c r="D37" s="84"/>
      <c r="E37" s="84"/>
      <c r="F37" s="84"/>
      <c r="G37" s="10" t="s">
        <v>254</v>
      </c>
      <c r="H37" s="10">
        <v>7.97</v>
      </c>
      <c r="I37" s="62">
        <v>45779.0</v>
      </c>
      <c r="J37" s="93"/>
      <c r="K37" s="135"/>
    </row>
    <row r="38">
      <c r="A38" s="85" t="s">
        <v>87</v>
      </c>
      <c r="B38" s="10">
        <v>31200.0</v>
      </c>
      <c r="E38" s="85" t="s">
        <v>363</v>
      </c>
      <c r="F38" s="132">
        <v>200.0</v>
      </c>
      <c r="G38" s="10" t="s">
        <v>150</v>
      </c>
      <c r="H38" s="10">
        <v>2.17</v>
      </c>
      <c r="I38" s="62">
        <v>45780.0</v>
      </c>
      <c r="J38" s="93"/>
      <c r="K38" s="135"/>
    </row>
    <row r="39">
      <c r="A39" s="85" t="s">
        <v>364</v>
      </c>
      <c r="B39" s="10">
        <v>36008.0</v>
      </c>
      <c r="E39" s="85" t="s">
        <v>365</v>
      </c>
      <c r="F39" s="135">
        <f>F38*5</f>
        <v>1000</v>
      </c>
      <c r="G39" s="10" t="s">
        <v>425</v>
      </c>
      <c r="H39" s="10">
        <v>27.35</v>
      </c>
      <c r="I39" s="62">
        <v>45780.0</v>
      </c>
      <c r="J39" s="93"/>
      <c r="K39" s="132"/>
    </row>
    <row r="40">
      <c r="A40" s="85" t="s">
        <v>52</v>
      </c>
      <c r="B40" s="26">
        <f>SUM(B38:B39)
</f>
        <v>67208</v>
      </c>
      <c r="E40" s="85" t="s">
        <v>366</v>
      </c>
      <c r="F40" s="135">
        <f>F39*4</f>
        <v>4000</v>
      </c>
      <c r="G40" s="10" t="s">
        <v>155</v>
      </c>
      <c r="H40" s="10">
        <v>3.68</v>
      </c>
      <c r="I40" s="62">
        <v>45780.0</v>
      </c>
      <c r="J40" s="93"/>
      <c r="K40" s="135"/>
    </row>
    <row r="41">
      <c r="A41" s="126" t="s">
        <v>367</v>
      </c>
      <c r="B41" s="168"/>
      <c r="C41" s="169">
        <f>TODAY()
</f>
        <v>45905</v>
      </c>
      <c r="E41" s="85" t="s">
        <v>368</v>
      </c>
      <c r="F41" s="135">
        <f>F40*12</f>
        <v>48000</v>
      </c>
      <c r="G41" s="10" t="s">
        <v>150</v>
      </c>
      <c r="H41" s="10">
        <v>4.68</v>
      </c>
      <c r="I41" s="62">
        <v>45781.0</v>
      </c>
      <c r="J41" s="93"/>
      <c r="K41" s="132"/>
    </row>
    <row r="42">
      <c r="A42" s="10" t="s">
        <v>369</v>
      </c>
      <c r="B42" s="26">
        <f>B40*(C42/100)</f>
        <v>8737.04</v>
      </c>
      <c r="C42" s="10">
        <v>13.0</v>
      </c>
      <c r="G42" s="10" t="s">
        <v>426</v>
      </c>
      <c r="H42" s="10">
        <v>53.09</v>
      </c>
      <c r="I42" s="62">
        <v>45781.0</v>
      </c>
      <c r="J42" s="10" t="s">
        <v>427</v>
      </c>
    </row>
    <row r="43">
      <c r="G43" s="10" t="s">
        <v>150</v>
      </c>
      <c r="H43" s="10">
        <v>2.28</v>
      </c>
      <c r="I43" s="62">
        <v>45781.0</v>
      </c>
    </row>
    <row r="44">
      <c r="G44" s="10" t="s">
        <v>428</v>
      </c>
      <c r="H44" s="10">
        <v>1.12</v>
      </c>
      <c r="I44" s="62">
        <v>45782.0</v>
      </c>
      <c r="J44" s="165"/>
    </row>
    <row r="45">
      <c r="G45" s="10" t="s">
        <v>407</v>
      </c>
      <c r="H45" s="10">
        <v>11.29</v>
      </c>
      <c r="I45" s="62">
        <v>45782.0</v>
      </c>
    </row>
    <row r="46">
      <c r="G46" s="10" t="s">
        <v>150</v>
      </c>
      <c r="H46" s="10">
        <v>2.17</v>
      </c>
      <c r="I46" s="62">
        <v>45782.0</v>
      </c>
    </row>
    <row r="47">
      <c r="G47" s="10" t="s">
        <v>261</v>
      </c>
      <c r="H47" s="10">
        <v>12.95</v>
      </c>
      <c r="I47" s="62">
        <v>45782.0</v>
      </c>
      <c r="J47" s="10" t="s">
        <v>429</v>
      </c>
    </row>
    <row r="48">
      <c r="G48" s="10" t="s">
        <v>430</v>
      </c>
      <c r="H48" s="10">
        <v>50.79</v>
      </c>
      <c r="I48" s="121">
        <v>45783.0</v>
      </c>
    </row>
    <row r="49">
      <c r="G49" s="10" t="s">
        <v>431</v>
      </c>
      <c r="H49" s="10">
        <v>19.6</v>
      </c>
      <c r="I49" s="121">
        <v>45783.0</v>
      </c>
    </row>
    <row r="50">
      <c r="G50" s="10" t="s">
        <v>150</v>
      </c>
      <c r="H50" s="10">
        <v>1.79</v>
      </c>
      <c r="I50" s="121">
        <v>45783.0</v>
      </c>
    </row>
    <row r="51">
      <c r="G51" s="10" t="s">
        <v>139</v>
      </c>
      <c r="H51" s="10">
        <v>2.25</v>
      </c>
      <c r="I51" s="121">
        <v>45783.0</v>
      </c>
      <c r="J51" s="10" t="s">
        <v>370</v>
      </c>
    </row>
    <row r="52">
      <c r="G52" s="10" t="s">
        <v>150</v>
      </c>
      <c r="H52" s="10">
        <v>2.29</v>
      </c>
      <c r="I52" s="62">
        <v>45784.0</v>
      </c>
    </row>
    <row r="53">
      <c r="G53" s="10" t="s">
        <v>261</v>
      </c>
      <c r="H53" s="10">
        <v>3.99</v>
      </c>
      <c r="I53" s="62">
        <v>45785.0</v>
      </c>
      <c r="J53" s="10" t="s">
        <v>432</v>
      </c>
    </row>
    <row r="54">
      <c r="G54" s="10" t="s">
        <v>433</v>
      </c>
      <c r="H54" s="10">
        <v>12.0</v>
      </c>
      <c r="I54" s="147">
        <v>45785.0</v>
      </c>
      <c r="J54" s="10" t="s">
        <v>371</v>
      </c>
      <c r="K54" s="10" t="s">
        <v>434</v>
      </c>
    </row>
  </sheetData>
  <conditionalFormatting sqref="I1">
    <cfRule type="notContainsBlanks" dxfId="2" priority="1">
      <formula>LEN(TRIM(I1))&gt;0</formula>
    </cfRule>
  </conditionalFormatting>
  <conditionalFormatting sqref="A9:N15">
    <cfRule type="cellIs" dxfId="3" priority="2" operator="equal">
      <formula>"TIMS"</formula>
    </cfRule>
  </conditionalFormatting>
  <conditionalFormatting sqref="A9:N15">
    <cfRule type="cellIs" dxfId="4" priority="3" operator="equal">
      <formula>"Dispo"</formula>
    </cfRule>
  </conditionalFormatting>
  <conditionalFormatting sqref="A9:N15">
    <cfRule type="cellIs" dxfId="1" priority="4" operator="equal">
      <formula>"Gas"</formula>
    </cfRule>
  </conditionalFormatting>
  <conditionalFormatting sqref="G18:G31 A26:A27 A30:A31 G33:G56">
    <cfRule type="cellIs" dxfId="3" priority="5" operator="equal">
      <formula>"TIMS"</formula>
    </cfRule>
  </conditionalFormatting>
  <conditionalFormatting sqref="G18:G31 A26:A27 A30:A31 G33:G56">
    <cfRule type="cellIs" dxfId="4" priority="6" operator="equal">
      <formula>"Dispo"</formula>
    </cfRule>
  </conditionalFormatting>
  <conditionalFormatting sqref="G18:G31 A26:A27 A30:A31 G33:G56">
    <cfRule type="cellIs" dxfId="5" priority="7" operator="equal">
      <formula>"McDonalds"</formula>
    </cfRule>
  </conditionalFormatting>
  <conditionalFormatting sqref="H18:H31 B26:B28 B30:B31 H33:H60">
    <cfRule type="cellIs" dxfId="1" priority="8" operator="greaterThan">
      <formula>60</formula>
    </cfRule>
  </conditionalFormatting>
  <conditionalFormatting sqref="H18:H31 B26:B28 B30:B31 H33:H60">
    <cfRule type="cellIs" dxfId="6" priority="9" operator="between">
      <formula>30</formula>
      <formula>60</formula>
    </cfRule>
  </conditionalFormatting>
  <conditionalFormatting sqref="I5">
    <cfRule type="cellIs" dxfId="0" priority="10" operator="greaterThan">
      <formula>0</formula>
    </cfRule>
  </conditionalFormatting>
  <conditionalFormatting sqref="I5">
    <cfRule type="cellIs" dxfId="1" priority="11" operator="lessThanOr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435</v>
      </c>
      <c r="B1" s="13" t="s">
        <v>436</v>
      </c>
      <c r="C1" s="1" t="s">
        <v>130</v>
      </c>
      <c r="E1" s="54" t="s">
        <v>114</v>
      </c>
      <c r="F1" s="55">
        <f>TODAY()
</f>
        <v>45905</v>
      </c>
      <c r="H1" s="56" t="s">
        <v>115</v>
      </c>
      <c r="I1" s="32">
        <f>SUM(IFERROR(16:16, 0))
</f>
        <v>616.85</v>
      </c>
      <c r="K1" s="57" t="s">
        <v>265</v>
      </c>
      <c r="L1" s="58"/>
      <c r="M1" s="57" t="s">
        <v>266</v>
      </c>
      <c r="O1" s="7" t="s">
        <v>116</v>
      </c>
      <c r="P1" s="59" t="s">
        <v>117</v>
      </c>
    </row>
    <row r="2">
      <c r="A2" s="10" t="s">
        <v>437</v>
      </c>
      <c r="C2" s="10" t="s">
        <v>438</v>
      </c>
      <c r="E2" s="10" t="s">
        <v>118</v>
      </c>
      <c r="F2" s="60">
        <v>45799.0</v>
      </c>
      <c r="H2" s="56" t="s">
        <v>119</v>
      </c>
      <c r="I2" s="61">
        <f>500+73.84+72.5</f>
        <v>646.34</v>
      </c>
      <c r="K2" s="10" t="s">
        <v>173</v>
      </c>
      <c r="L2" s="10">
        <v>40.0</v>
      </c>
      <c r="M2" s="10" t="s">
        <v>267</v>
      </c>
      <c r="P2" s="10" t="s">
        <v>377</v>
      </c>
      <c r="Q2" s="10" t="s">
        <v>378</v>
      </c>
    </row>
    <row r="3">
      <c r="C3" s="62"/>
      <c r="E3" s="10" t="s">
        <v>120</v>
      </c>
      <c r="F3" s="26">
        <f>F2-F1+1
</f>
        <v>-105</v>
      </c>
      <c r="H3" s="24" t="s">
        <v>80</v>
      </c>
      <c r="I3" s="56">
        <f>I2-I1
</f>
        <v>29.49</v>
      </c>
      <c r="K3" s="10" t="s">
        <v>268</v>
      </c>
      <c r="L3" s="10" t="s">
        <v>269</v>
      </c>
      <c r="M3" s="10" t="s">
        <v>270</v>
      </c>
      <c r="O3" s="10" t="s">
        <v>121</v>
      </c>
    </row>
    <row r="4">
      <c r="C4" s="62"/>
      <c r="E4" s="10" t="s">
        <v>49</v>
      </c>
      <c r="F4" s="26">
        <f>I2-I1
</f>
        <v>29.49</v>
      </c>
      <c r="H4" s="63"/>
      <c r="I4" s="63"/>
      <c r="K4" s="10" t="s">
        <v>27</v>
      </c>
      <c r="L4" s="10" t="s">
        <v>271</v>
      </c>
    </row>
    <row r="5">
      <c r="C5" s="62"/>
      <c r="E5" s="10" t="s">
        <v>122</v>
      </c>
      <c r="H5" s="64" t="s">
        <v>123</v>
      </c>
      <c r="I5" s="64">
        <f>I3/F3
</f>
        <v>-0.2808571429</v>
      </c>
    </row>
    <row r="6">
      <c r="C6" s="62"/>
      <c r="K6" s="65"/>
      <c r="R6" s="66"/>
    </row>
    <row r="7">
      <c r="A7" s="53"/>
      <c r="B7" s="53"/>
      <c r="C7" s="164"/>
      <c r="D7" s="171"/>
      <c r="E7" s="53"/>
      <c r="F7" s="185"/>
      <c r="G7" s="70"/>
      <c r="H7" s="44"/>
      <c r="I7" s="1"/>
      <c r="J7" s="182"/>
      <c r="K7" s="31" t="s">
        <v>439</v>
      </c>
      <c r="L7" s="69"/>
      <c r="M7" s="69"/>
      <c r="O7" s="177"/>
      <c r="P7" s="10" t="s">
        <v>313</v>
      </c>
    </row>
    <row r="8">
      <c r="A8" s="72">
        <v>45786.0</v>
      </c>
      <c r="B8" s="72">
        <v>45787.0</v>
      </c>
      <c r="C8" s="73">
        <v>45788.0</v>
      </c>
      <c r="D8" s="72">
        <v>45789.0</v>
      </c>
      <c r="E8" s="72">
        <v>45790.0</v>
      </c>
      <c r="F8" s="72">
        <v>45791.0</v>
      </c>
      <c r="G8" s="72">
        <v>45792.0</v>
      </c>
      <c r="H8" s="72">
        <v>45793.0</v>
      </c>
      <c r="I8" s="72">
        <v>45794.0</v>
      </c>
      <c r="J8" s="72">
        <v>45795.0</v>
      </c>
      <c r="K8" s="72">
        <v>45796.0</v>
      </c>
      <c r="L8" s="72">
        <v>45797.0</v>
      </c>
      <c r="M8" s="72">
        <v>45798.0</v>
      </c>
      <c r="N8" s="72">
        <v>45799.0</v>
      </c>
      <c r="O8" s="74"/>
      <c r="P8" s="10" t="s">
        <v>125</v>
      </c>
      <c r="Q8" s="75"/>
      <c r="R8" s="10" t="s">
        <v>47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  <c r="O9" s="53"/>
      <c r="P9" s="10" t="s">
        <v>133</v>
      </c>
    </row>
    <row r="10">
      <c r="A10" s="53" t="str">
        <f>IFERROR(__xludf.DUMMYFUNCTION("FILTER(G17:G52, I17:I52=A8)
"),"Bladee")</f>
        <v>Bladee</v>
      </c>
      <c r="B10" s="32" t="str">
        <f>IFERROR(__xludf.DUMMYFUNCTION("FILTER(G17:G52, I17:I52=B8)
"),"Lulu")</f>
        <v>Lulu</v>
      </c>
      <c r="C10" s="10" t="str">
        <f>IFERROR(__xludf.DUMMYFUNCTION("FILTER(G17:G52, I17:I52=C8)
"),"TIMS")</f>
        <v>TIMS</v>
      </c>
      <c r="D10" s="26" t="str">
        <f>IFERROR(__xludf.DUMMYFUNCTION("FILTER(G17:G52, I17:I52=D8)
"),"TIMS")</f>
        <v>TIMS</v>
      </c>
      <c r="E10" s="53" t="str">
        <f>IFERROR(__xludf.DUMMYFUNCTION("FILTER(G17:G52, I17:I52=E8)
"),"Temu")</f>
        <v>Temu</v>
      </c>
      <c r="F10" s="26" t="str">
        <f>IFERROR(__xludf.DUMMYFUNCTION("FILTER(G17:G52, I17:I52=F8)
"),"Wal Mart")</f>
        <v>Wal Mart</v>
      </c>
      <c r="G10" s="26" t="str">
        <f>IFERROR(__xludf.DUMMYFUNCTION("FILTER(G17:G52, I17:I52=G8)
"),"TIMS")</f>
        <v>TIMS</v>
      </c>
      <c r="H10" s="26" t="str">
        <f>IFERROR(__xludf.DUMMYFUNCTION("FILTER(G17:G52, I17:I52=H8)
"),"TIMS")</f>
        <v>TIMS</v>
      </c>
      <c r="I10" s="10" t="str">
        <f>IFERROR(__xludf.DUMMYFUNCTION("FILTER(G16:G51, I16:I51=I8)
"),"TIMS")</f>
        <v>TIMS</v>
      </c>
      <c r="J10" s="26" t="str">
        <f>IFERROR(__xludf.DUMMYFUNCTION("FILTER(G15:G50, I15:I50=J8)
"),"TIMS")</f>
        <v>TIMS</v>
      </c>
      <c r="K10" s="26" t="str">
        <f>IFERROR(__xludf.DUMMYFUNCTION("FILTER(G15:G50, I15:I50=K8)
"),"#N/A")</f>
        <v>#N/A</v>
      </c>
      <c r="L10" s="26" t="str">
        <f>IFERROR(__xludf.DUMMYFUNCTION("FILTER(G15:G65, I15:I65=L8)
"),"Temu")</f>
        <v>Temu</v>
      </c>
      <c r="M10" s="10" t="str">
        <f>IFERROR(__xludf.DUMMYFUNCTION("FILTER(G15:G65, I15:I65=M8)
"),"TIMS")</f>
        <v>TIMS</v>
      </c>
      <c r="N10" s="26" t="str">
        <f>IFERROR(__xludf.DUMMYFUNCTION("FILTER(G15:G65, I15:I65=N8)
"),"TIMS")</f>
        <v>TIMS</v>
      </c>
      <c r="O10" s="183"/>
      <c r="P10" s="10" t="s">
        <v>134</v>
      </c>
    </row>
    <row r="11">
      <c r="A11" s="26" t="str">
        <f>IFERROR(__xludf.DUMMYFUNCTION("""COMPUTED_VALUE"""),"TIMS")</f>
        <v>TIMS</v>
      </c>
      <c r="B11" s="26" t="str">
        <f>IFERROR(__xludf.DUMMYFUNCTION("""COMPUTED_VALUE"""),"TIMS")</f>
        <v>TIMS</v>
      </c>
      <c r="C11" s="26" t="str">
        <f>IFERROR(__xludf.DUMMYFUNCTION("""COMPUTED_VALUE"""),"Gas")</f>
        <v>Gas</v>
      </c>
      <c r="D11" s="26" t="str">
        <f>IFERROR(__xludf.DUMMYFUNCTION("""COMPUTED_VALUE"""),"TIMS")</f>
        <v>TIMS</v>
      </c>
      <c r="E11" s="26" t="str">
        <f>IFERROR(__xludf.DUMMYFUNCTION("""COMPUTED_VALUE"""),"TIMS")</f>
        <v>TIMS</v>
      </c>
      <c r="F11" s="26" t="str">
        <f>IFERROR(__xludf.DUMMYFUNCTION("""COMPUTED_VALUE"""),"TIMS")</f>
        <v>TIMS</v>
      </c>
      <c r="G11" s="26" t="str">
        <f>IFERROR(__xludf.DUMMYFUNCTION("""COMPUTED_VALUE"""),"TIMS")</f>
        <v>TIMS</v>
      </c>
      <c r="H11" s="26" t="str">
        <f>IFERROR(__xludf.DUMMYFUNCTION("""COMPUTED_VALUE"""),"Food Basics ")</f>
        <v>Food Basics </v>
      </c>
      <c r="I11" s="53" t="str">
        <f>IFERROR(__xludf.DUMMYFUNCTION("""COMPUTED_VALUE"""),"LCBO")</f>
        <v>LCBO</v>
      </c>
      <c r="J11" s="26" t="str">
        <f>IFERROR(__xludf.DUMMYFUNCTION("""COMPUTED_VALUE"""),"TIMS")</f>
        <v>TIMS</v>
      </c>
      <c r="L11" s="26" t="str">
        <f>IFERROR(__xludf.DUMMYFUNCTION("""COMPUTED_VALUE"""),"TIMS")</f>
        <v>TIMS</v>
      </c>
      <c r="M11" s="26" t="str">
        <f>IFERROR(__xludf.DUMMYFUNCTION("""COMPUTED_VALUE"""),"TIMS")</f>
        <v>TIMS</v>
      </c>
    </row>
    <row r="12">
      <c r="A12" s="75" t="str">
        <f>IFERROR(__xludf.DUMMYFUNCTION("""COMPUTED_VALUE"""),"LCBO")</f>
        <v>LCBO</v>
      </c>
      <c r="C12" s="26" t="str">
        <f>IFERROR(__xludf.DUMMYFUNCTION("""COMPUTED_VALUE"""),"TIMS")</f>
        <v>TIMS</v>
      </c>
      <c r="E12" s="26" t="str">
        <f>IFERROR(__xludf.DUMMYFUNCTION("""COMPUTED_VALUE"""),"Wal Mart")</f>
        <v>Wal Mart</v>
      </c>
      <c r="F12" s="26" t="str">
        <f>IFERROR(__xludf.DUMMYFUNCTION("""COMPUTED_VALUE"""),"LCBO")</f>
        <v>LCBO</v>
      </c>
      <c r="L12" s="26" t="str">
        <f>IFERROR(__xludf.DUMMYFUNCTION("""COMPUTED_VALUE"""),"McDonalds")</f>
        <v>McDonalds</v>
      </c>
      <c r="M12" s="26" t="str">
        <f>IFERROR(__xludf.DUMMYFUNCTION("""COMPUTED_VALUE"""),"Subway")</f>
        <v>Subway</v>
      </c>
    </row>
    <row r="13">
      <c r="A13" s="186" t="str">
        <f>IFERROR(__xludf.DUMMYFUNCTION("""COMPUTED_VALUE"""),"Taco Bell")</f>
        <v>Taco Bell</v>
      </c>
      <c r="B13" s="77"/>
      <c r="M13" s="26" t="str">
        <f>IFERROR(__xludf.DUMMYFUNCTION("""COMPUTED_VALUE"""),"Subway")</f>
        <v>Subway</v>
      </c>
    </row>
    <row r="14">
      <c r="A14" s="77"/>
      <c r="B14" s="77"/>
      <c r="K14" s="10" t="s">
        <v>122</v>
      </c>
      <c r="M14" s="26" t="str">
        <f>IFERROR(__xludf.DUMMYFUNCTION("""COMPUTED_VALUE"""),"Dollarama")</f>
        <v>Dollarama</v>
      </c>
    </row>
    <row r="15">
      <c r="A15" s="78"/>
      <c r="B15" s="78"/>
    </row>
    <row r="16">
      <c r="A16" s="56">
        <f>IFERROR(__xludf.DUMMYFUNCTION("SUM(FILTER(H17:H52, I17:I52=A8))
"),184.22)</f>
        <v>184.22</v>
      </c>
      <c r="B16" s="56">
        <f>IFERROR(__xludf.DUMMYFUNCTION("SUM(FILTER(H17:H52, I17:I52=B8))
"),146.80999999999997)</f>
        <v>146.81</v>
      </c>
      <c r="C16" s="56">
        <f>IFERROR(__xludf.DUMMYFUNCTION("SUM(FILTER(H17:H52, I17:I52=C8))
"),75.71)</f>
        <v>75.71</v>
      </c>
      <c r="D16" s="56">
        <f>IFERROR(__xludf.DUMMYFUNCTION("SUM(FILTER(H17:H52, I17:I52=D8))
"),4.09)</f>
        <v>4.09</v>
      </c>
      <c r="E16" s="56">
        <f>IFERROR(__xludf.DUMMYFUNCTION("SUM(FILTER(H17:H52, I17:I52=E8))
"),70.27)</f>
        <v>70.27</v>
      </c>
      <c r="F16" s="56">
        <f>IFERROR(__xludf.DUMMYFUNCTION("SUM(FILTER(H17:H52, I17:I52=F8))
"),22.74)</f>
        <v>22.74</v>
      </c>
      <c r="G16" s="56">
        <f>IFERROR(__xludf.DUMMYFUNCTION("SUM(FILTER(H17:H52, I17:I52=G8))
"),3.73)</f>
        <v>3.73</v>
      </c>
      <c r="H16" s="56">
        <f>IFERROR(__xludf.DUMMYFUNCTION("SUM(FILTER(H17:H52, I17:I52=H8))
"),10.23)</f>
        <v>10.23</v>
      </c>
      <c r="I16" s="56">
        <f>IFERROR(__xludf.DUMMYFUNCTION("SUM(FILTER(H17:H52, I17:I52=I8))
"),40.28)</f>
        <v>40.28</v>
      </c>
      <c r="J16" s="56">
        <f>IFERROR(__xludf.DUMMYFUNCTION("SUM(FILTER(H17:H52, I17:I52=J8))
"),4.449999999999999)</f>
        <v>4.45</v>
      </c>
      <c r="K16" s="56" t="str">
        <f>IFERROR(__xludf.DUMMYFUNCTION("SUM(FILTER(H17:H52, I17:I52=K8))
"),"#N/A")</f>
        <v>#N/A</v>
      </c>
      <c r="L16" s="56">
        <f>IFERROR(__xludf.DUMMYFUNCTION("SUM(FILTER(H17:H52, I17:I52=L8))
"),26.970000000000002)</f>
        <v>26.97</v>
      </c>
      <c r="M16" s="56">
        <f>IFERROR(__xludf.DUMMYFUNCTION("SUM(FILTER(H17:H62, I17:I62=M8))
"),25.060000000000002)</f>
        <v>25.06</v>
      </c>
      <c r="N16" s="35">
        <f>IFERROR(__xludf.DUMMYFUNCTION("SUM(FILTER(H17:H62, I17:I62=N8))
"),2.29)</f>
        <v>2.29</v>
      </c>
      <c r="O16" s="10" t="s">
        <v>314</v>
      </c>
    </row>
    <row r="17">
      <c r="A17" s="31" t="s">
        <v>440</v>
      </c>
      <c r="E17" s="79" t="s">
        <v>135</v>
      </c>
      <c r="F17" s="80">
        <f>COUNTIF(G18:G1002, "TIMS")+COUNTIF(G18:G1002, "Casa Miro")+COUNTIF(G18:G1002, "Toto")+COUNTIF(G18:G1002, "Coffee Exchange")+COUNTIF(G18:G1002, "Ciao Caffe")
</f>
        <v>18</v>
      </c>
      <c r="G17" s="81"/>
      <c r="H17" s="81"/>
      <c r="I17" s="82"/>
      <c r="J17" s="83" t="s">
        <v>136</v>
      </c>
      <c r="K17" s="84"/>
      <c r="L17" s="84"/>
      <c r="M17" s="84"/>
      <c r="N17" s="84"/>
    </row>
    <row r="18">
      <c r="A18" s="10" t="s">
        <v>137</v>
      </c>
      <c r="E18" s="87" t="s">
        <v>138</v>
      </c>
      <c r="F18" s="88">
        <f>SUMIF(G18:G50, "Dispo", H18:H50)+SUMIF(G18:G50, "c cabana", H18:H50)</f>
        <v>0</v>
      </c>
      <c r="G18" s="32" t="s">
        <v>441</v>
      </c>
      <c r="H18" s="10">
        <v>151.25</v>
      </c>
      <c r="I18" s="62">
        <v>45786.0</v>
      </c>
      <c r="J18" s="89" t="s">
        <v>442</v>
      </c>
      <c r="K18" s="90"/>
      <c r="L18" s="19" t="s">
        <v>140</v>
      </c>
      <c r="M18" s="19"/>
      <c r="N18" s="19" t="s">
        <v>141</v>
      </c>
    </row>
    <row r="19">
      <c r="A19" s="10" t="s">
        <v>144</v>
      </c>
      <c r="E19" s="92" t="s">
        <v>145</v>
      </c>
      <c r="F19" s="92">
        <f>SUMIF(G18:G50, "Republik", H18:H50)+SUMIF(G18:G50, "Stacked", H18:H50)+SUMIF(G18:G50, "Halibut House", H18:H50)+SUMIF(G18:G50, "Keg", H18:H50)+SUMIF(G18:G50, "Ramen", H18:H50)+SUMIF(G18:G50, "Pizza", H18:H50) +SUMIF(G18:G50, "A&amp;W", H18:H50) + SUMIF(G18:G50, "Chucks", H18:H50) + SUMIF(G18:G50, "Cookie Bar", H18:H50) + SUMIF(G18:G50, "Burger King", H18:H50) + SUMIF(G18:G50, "Pho", H18:H50)+SUMIF(G18:G50, "Wendys", H18:H50)+SUMIF(G18:G50, "Hot Tacos", H18:H50)+SUMIF(G18:G50, "Popeyes", H18:H50)+SUMIF(G18:G50, "Chucks", H18:H50)</f>
        <v>0</v>
      </c>
      <c r="G19" s="21" t="s">
        <v>150</v>
      </c>
      <c r="H19" s="94">
        <v>2.28</v>
      </c>
      <c r="I19" s="109">
        <v>45786.0</v>
      </c>
      <c r="J19" s="93" t="s">
        <v>443</v>
      </c>
      <c r="K19" s="90"/>
      <c r="L19" s="21" t="s">
        <v>147</v>
      </c>
      <c r="M19" s="94">
        <v>40.0</v>
      </c>
      <c r="N19" s="19"/>
    </row>
    <row r="20">
      <c r="E20" s="54" t="s">
        <v>27</v>
      </c>
      <c r="F20" s="95">
        <f>SUMIF(G18:G60, "Gas", H18:H60)</f>
        <v>59.44</v>
      </c>
      <c r="G20" s="98" t="s">
        <v>444</v>
      </c>
      <c r="H20" s="94">
        <v>144.64</v>
      </c>
      <c r="I20" s="109">
        <v>45787.0</v>
      </c>
      <c r="J20" s="93"/>
      <c r="K20" s="96"/>
      <c r="L20" s="19" t="s">
        <v>151</v>
      </c>
      <c r="M20" s="97">
        <v>120.0</v>
      </c>
      <c r="N20" s="19" t="s">
        <v>152</v>
      </c>
    </row>
    <row r="21">
      <c r="A21" s="10" t="s">
        <v>153</v>
      </c>
      <c r="B21" s="10" t="s">
        <v>154</v>
      </c>
      <c r="E21" s="85" t="s">
        <v>155</v>
      </c>
      <c r="F21" s="86">
        <f>SUMIF(G18:G50, "McDonalds", H18:H50) </f>
        <v>7.66</v>
      </c>
      <c r="G21" s="187" t="s">
        <v>254</v>
      </c>
      <c r="H21" s="94">
        <v>16.73</v>
      </c>
      <c r="I21" s="109">
        <v>45786.0</v>
      </c>
      <c r="J21" s="93" t="s">
        <v>349</v>
      </c>
      <c r="K21" s="90"/>
      <c r="L21" s="98" t="s">
        <v>157</v>
      </c>
      <c r="M21" s="94">
        <v>1000.0</v>
      </c>
      <c r="N21" s="19"/>
    </row>
    <row r="22">
      <c r="A22" s="10" t="s">
        <v>158</v>
      </c>
      <c r="B22" s="10" t="s">
        <v>159</v>
      </c>
      <c r="E22" s="10" t="s">
        <v>160</v>
      </c>
      <c r="F22" s="10">
        <f>SUMIF(G18:G50, "Urbn Planet", H18:H50)+SUMIF(G18:G50, "Winners", H18:H50) +SUMIF(G18:G50, "Platos", H18:H50) </f>
        <v>0</v>
      </c>
      <c r="G22" s="187" t="s">
        <v>318</v>
      </c>
      <c r="H22" s="94">
        <v>13.96</v>
      </c>
      <c r="I22" s="109">
        <v>45786.0</v>
      </c>
      <c r="J22" s="93"/>
      <c r="K22" s="90"/>
      <c r="L22" s="21" t="s">
        <v>162</v>
      </c>
      <c r="M22" s="97"/>
      <c r="N22" s="19"/>
      <c r="O22" s="99" t="s">
        <v>163</v>
      </c>
      <c r="Q22" s="99" t="s">
        <v>164</v>
      </c>
    </row>
    <row r="23">
      <c r="A23" s="10" t="s">
        <v>165</v>
      </c>
      <c r="B23" s="10" t="s">
        <v>166</v>
      </c>
      <c r="E23" s="10" t="s">
        <v>117</v>
      </c>
      <c r="F23" s="26">
        <f>0</f>
        <v>0</v>
      </c>
      <c r="G23" s="21" t="s">
        <v>150</v>
      </c>
      <c r="H23" s="94">
        <v>2.17</v>
      </c>
      <c r="I23" s="109">
        <v>45787.0</v>
      </c>
      <c r="J23" s="89"/>
      <c r="K23" s="90"/>
      <c r="L23" s="21" t="s">
        <v>167</v>
      </c>
      <c r="M23" s="94">
        <v>30.0</v>
      </c>
      <c r="N23" s="19"/>
      <c r="O23" s="100" t="s">
        <v>130</v>
      </c>
      <c r="P23" s="101" t="s">
        <v>168</v>
      </c>
      <c r="Q23" s="100" t="s">
        <v>130</v>
      </c>
      <c r="R23" s="101" t="s">
        <v>169</v>
      </c>
    </row>
    <row r="24">
      <c r="E24" s="102" t="s">
        <v>170</v>
      </c>
      <c r="F24" s="33">
        <f>SUMIF(G18:G50, "LCBO", H18:H50) + SUMIF(G18:G50, "Beer Store", H18:H50)+ SUMIF(G18:G50, "Drinks", H18:H50)+SUMIF(G18:G50, "Beer", H18:H50)+SUMIF(G18:G50, "Wine", H18:H50)</f>
        <v>63.91</v>
      </c>
      <c r="G24" s="21" t="s">
        <v>150</v>
      </c>
      <c r="H24" s="94">
        <v>14.07</v>
      </c>
      <c r="I24" s="109">
        <v>45788.0</v>
      </c>
      <c r="J24" s="89" t="s">
        <v>445</v>
      </c>
      <c r="K24" s="90"/>
      <c r="L24" s="19"/>
      <c r="M24" s="97"/>
      <c r="N24" s="19"/>
      <c r="O24" s="103" t="s">
        <v>131</v>
      </c>
      <c r="P24" s="104" t="s">
        <v>168</v>
      </c>
      <c r="Q24" s="103" t="s">
        <v>131</v>
      </c>
      <c r="R24" s="104" t="s">
        <v>169</v>
      </c>
    </row>
    <row r="25">
      <c r="A25" s="10" t="s">
        <v>172</v>
      </c>
      <c r="E25" s="105" t="s">
        <v>173</v>
      </c>
      <c r="F25" s="106">
        <f>SUMIF(G18:G50, "TIMS", H18:H50) + SUMIF(G18:G50, "Casa Miro", H18:H50) + SUMIF(G18:G50, "Toto", H18:H50) + SUMIF(G18:G50, "Coffee Exchange", H18:H50)+ SUMIF(G18:G50, "Ciao Caffe", H18:H50)+ SUMIF(G18:G50, "Starbucks", H18:H50)
</f>
        <v>48.65</v>
      </c>
      <c r="G25" s="98" t="s">
        <v>27</v>
      </c>
      <c r="H25" s="94">
        <v>59.44</v>
      </c>
      <c r="I25" s="109">
        <v>45788.0</v>
      </c>
      <c r="J25" s="89"/>
      <c r="K25" s="19"/>
      <c r="L25" s="19"/>
      <c r="M25" s="107"/>
      <c r="N25" s="19"/>
      <c r="O25" s="103" t="s">
        <v>132</v>
      </c>
      <c r="P25" s="104" t="s">
        <v>168</v>
      </c>
      <c r="Q25" s="103" t="s">
        <v>132</v>
      </c>
      <c r="R25" s="104" t="s">
        <v>169</v>
      </c>
    </row>
    <row r="26">
      <c r="A26" s="180" t="s">
        <v>402</v>
      </c>
      <c r="B26" s="188"/>
      <c r="C26" s="189"/>
      <c r="D26" s="19"/>
      <c r="E26" s="79" t="s">
        <v>52</v>
      </c>
      <c r="F26" s="110">
        <f>SUM(F18:F25)
</f>
        <v>179.66</v>
      </c>
      <c r="G26" s="21" t="s">
        <v>150</v>
      </c>
      <c r="H26" s="94">
        <v>2.2</v>
      </c>
      <c r="I26" s="109">
        <v>45788.0</v>
      </c>
      <c r="J26" s="89"/>
      <c r="K26" s="21" t="s">
        <v>174</v>
      </c>
      <c r="L26" s="19" t="s">
        <v>52</v>
      </c>
      <c r="M26" s="97">
        <f>M20++M19+M21+M22+M24+M23+M25</f>
        <v>1190</v>
      </c>
      <c r="O26" s="103" t="s">
        <v>126</v>
      </c>
      <c r="P26" s="104" t="s">
        <v>175</v>
      </c>
      <c r="Q26" s="103" t="s">
        <v>126</v>
      </c>
      <c r="R26" s="104" t="s">
        <v>176</v>
      </c>
    </row>
    <row r="27">
      <c r="A27" s="31" t="s">
        <v>441</v>
      </c>
      <c r="B27" s="31">
        <v>73.84</v>
      </c>
      <c r="C27" s="179" t="s">
        <v>446</v>
      </c>
      <c r="D27" s="19"/>
      <c r="E27" s="79" t="s">
        <v>177</v>
      </c>
      <c r="F27" s="111">
        <f>I1/(15-F3)</f>
        <v>5.140416667</v>
      </c>
      <c r="G27" s="21" t="s">
        <v>150</v>
      </c>
      <c r="H27" s="94">
        <v>1.92</v>
      </c>
      <c r="I27" s="109">
        <v>45789.0</v>
      </c>
      <c r="J27" s="89"/>
      <c r="K27" s="21" t="s">
        <v>164</v>
      </c>
      <c r="L27" s="10"/>
      <c r="O27" s="103" t="s">
        <v>127</v>
      </c>
      <c r="P27" s="104" t="s">
        <v>175</v>
      </c>
      <c r="Q27" s="103" t="s">
        <v>127</v>
      </c>
      <c r="R27" s="104" t="s">
        <v>178</v>
      </c>
    </row>
    <row r="28">
      <c r="A28" s="21" t="s">
        <v>410</v>
      </c>
      <c r="B28" s="94"/>
      <c r="C28" s="109"/>
      <c r="D28" s="19"/>
      <c r="E28" s="10" t="s">
        <v>180</v>
      </c>
      <c r="F28" s="26">
        <f>I1-F26
</f>
        <v>437.19</v>
      </c>
      <c r="G28" s="21" t="s">
        <v>150</v>
      </c>
      <c r="H28" s="94">
        <v>2.17</v>
      </c>
      <c r="I28" s="109">
        <v>45789.0</v>
      </c>
      <c r="J28" s="89"/>
      <c r="K28" s="21" t="s">
        <v>182</v>
      </c>
      <c r="O28" s="103" t="s">
        <v>128</v>
      </c>
      <c r="P28" s="104" t="s">
        <v>168</v>
      </c>
      <c r="Q28" s="103" t="s">
        <v>128</v>
      </c>
      <c r="R28" s="104" t="s">
        <v>183</v>
      </c>
    </row>
    <row r="29">
      <c r="A29" s="107"/>
      <c r="B29" s="97"/>
      <c r="C29" s="184"/>
      <c r="D29" s="19"/>
      <c r="E29" s="10" t="s">
        <v>171</v>
      </c>
      <c r="F29" s="26">
        <f>SUMIF(G18:G60, "Wal Mart", H18:H60) </f>
        <v>28.5</v>
      </c>
      <c r="G29" s="98" t="s">
        <v>401</v>
      </c>
      <c r="H29" s="94">
        <v>50.87</v>
      </c>
      <c r="I29" s="109">
        <v>45790.0</v>
      </c>
      <c r="J29" s="89" t="s">
        <v>447</v>
      </c>
      <c r="K29" s="10" t="s">
        <v>325</v>
      </c>
      <c r="O29" s="103" t="s">
        <v>129</v>
      </c>
      <c r="P29" s="104" t="s">
        <v>168</v>
      </c>
      <c r="Q29" s="103" t="s">
        <v>129</v>
      </c>
      <c r="R29" s="104" t="s">
        <v>169</v>
      </c>
    </row>
    <row r="30">
      <c r="A30" s="21" t="s">
        <v>422</v>
      </c>
      <c r="B30" s="94">
        <v>37.0</v>
      </c>
      <c r="C30" s="109">
        <v>45748.0</v>
      </c>
      <c r="D30" s="89" t="s">
        <v>423</v>
      </c>
      <c r="F30" s="135"/>
      <c r="G30" s="21" t="s">
        <v>150</v>
      </c>
      <c r="H30" s="94">
        <v>2.17</v>
      </c>
      <c r="I30" s="109">
        <v>45790.0</v>
      </c>
      <c r="J30" s="21"/>
      <c r="K30" s="10" t="s">
        <v>327</v>
      </c>
      <c r="Q30" s="122" t="s">
        <v>186</v>
      </c>
    </row>
    <row r="31">
      <c r="A31" s="21" t="s">
        <v>424</v>
      </c>
      <c r="B31" s="94">
        <v>32.34</v>
      </c>
      <c r="C31" s="109">
        <v>45748.0</v>
      </c>
      <c r="D31" s="89"/>
      <c r="F31" s="135"/>
      <c r="G31" s="21" t="s">
        <v>171</v>
      </c>
      <c r="H31" s="94">
        <v>17.23</v>
      </c>
      <c r="I31" s="109">
        <v>45790.0</v>
      </c>
      <c r="J31" s="19"/>
      <c r="K31" s="10" t="s">
        <v>329</v>
      </c>
      <c r="L31" s="10"/>
      <c r="Q31" s="125" t="s">
        <v>130</v>
      </c>
      <c r="R31" s="125" t="s">
        <v>190</v>
      </c>
    </row>
    <row r="32">
      <c r="A32" s="10" t="s">
        <v>401</v>
      </c>
      <c r="B32" s="10">
        <v>25.0</v>
      </c>
      <c r="C32" s="62">
        <v>45797.0</v>
      </c>
      <c r="F32" s="135"/>
      <c r="G32" s="10" t="s">
        <v>171</v>
      </c>
      <c r="H32" s="10">
        <v>11.27</v>
      </c>
      <c r="I32" s="147">
        <v>45791.0</v>
      </c>
      <c r="J32" s="93" t="s">
        <v>448</v>
      </c>
      <c r="K32" s="10" t="s">
        <v>192</v>
      </c>
      <c r="N32" s="10" t="s">
        <v>193</v>
      </c>
      <c r="Q32" s="128" t="s">
        <v>131</v>
      </c>
      <c r="R32" s="128" t="s">
        <v>190</v>
      </c>
    </row>
    <row r="33">
      <c r="C33" s="147"/>
      <c r="D33" s="10"/>
      <c r="E33" s="135"/>
      <c r="F33" s="135"/>
      <c r="G33" s="10" t="s">
        <v>150</v>
      </c>
      <c r="H33" s="10">
        <v>2.28</v>
      </c>
      <c r="I33" s="62">
        <v>45791.0</v>
      </c>
      <c r="J33" s="93"/>
      <c r="K33" s="132" t="s">
        <v>196</v>
      </c>
      <c r="Q33" s="128" t="s">
        <v>132</v>
      </c>
      <c r="R33" s="128" t="s">
        <v>190</v>
      </c>
    </row>
    <row r="34">
      <c r="E34" s="135"/>
      <c r="F34" s="167"/>
      <c r="G34" s="21" t="s">
        <v>254</v>
      </c>
      <c r="H34" s="94">
        <v>9.19</v>
      </c>
      <c r="I34" s="161">
        <v>45791.0</v>
      </c>
      <c r="J34" s="93" t="s">
        <v>449</v>
      </c>
      <c r="K34" s="132" t="s">
        <v>330</v>
      </c>
      <c r="M34" s="10">
        <v>200.0</v>
      </c>
      <c r="N34" s="173">
        <v>45874.0</v>
      </c>
      <c r="O34" s="10" t="s">
        <v>289</v>
      </c>
      <c r="Q34" s="128" t="s">
        <v>126</v>
      </c>
      <c r="R34" s="128" t="s">
        <v>201</v>
      </c>
    </row>
    <row r="35">
      <c r="E35" s="135"/>
      <c r="F35" s="132"/>
      <c r="G35" s="21" t="s">
        <v>150</v>
      </c>
      <c r="H35" s="94">
        <v>2.17</v>
      </c>
      <c r="I35" s="109">
        <v>45792.0</v>
      </c>
      <c r="J35" s="93"/>
      <c r="K35" s="132"/>
      <c r="Q35" s="128" t="s">
        <v>127</v>
      </c>
      <c r="R35" s="128" t="s">
        <v>201</v>
      </c>
    </row>
    <row r="36">
      <c r="E36" s="135"/>
      <c r="F36" s="135"/>
      <c r="G36" s="10" t="s">
        <v>150</v>
      </c>
      <c r="H36" s="10">
        <v>1.56</v>
      </c>
      <c r="I36" s="62">
        <v>45792.0</v>
      </c>
      <c r="J36" s="93"/>
      <c r="K36" s="10"/>
      <c r="Q36" s="128" t="s">
        <v>128</v>
      </c>
      <c r="R36" s="128" t="s">
        <v>203</v>
      </c>
    </row>
    <row r="37">
      <c r="A37" s="84"/>
      <c r="B37" s="84"/>
      <c r="C37" s="84"/>
      <c r="D37" s="84"/>
      <c r="E37" s="84"/>
      <c r="F37" s="84"/>
      <c r="G37" s="10" t="s">
        <v>150</v>
      </c>
      <c r="H37" s="10">
        <v>2.17</v>
      </c>
      <c r="I37" s="62">
        <v>45793.0</v>
      </c>
      <c r="J37" s="93"/>
      <c r="K37" s="135"/>
      <c r="Q37" s="128" t="s">
        <v>129</v>
      </c>
      <c r="R37" s="128" t="s">
        <v>203</v>
      </c>
    </row>
    <row r="38">
      <c r="A38" s="85" t="s">
        <v>87</v>
      </c>
      <c r="B38" s="10">
        <v>31200.0</v>
      </c>
      <c r="E38" s="85" t="s">
        <v>363</v>
      </c>
      <c r="F38" s="132">
        <v>200.0</v>
      </c>
      <c r="G38" s="10" t="s">
        <v>450</v>
      </c>
      <c r="H38" s="10">
        <v>8.06</v>
      </c>
      <c r="I38" s="62">
        <v>45793.0</v>
      </c>
      <c r="J38" s="93" t="s">
        <v>451</v>
      </c>
      <c r="K38" s="135"/>
      <c r="L38" s="10" t="s">
        <v>452</v>
      </c>
      <c r="Q38" s="142" t="s">
        <v>209</v>
      </c>
    </row>
    <row r="39">
      <c r="A39" s="85" t="s">
        <v>364</v>
      </c>
      <c r="B39" s="10">
        <v>36008.0</v>
      </c>
      <c r="E39" s="85" t="s">
        <v>365</v>
      </c>
      <c r="F39" s="135">
        <f>F38*5</f>
        <v>1000</v>
      </c>
      <c r="G39" s="10" t="s">
        <v>150</v>
      </c>
      <c r="H39" s="10">
        <v>2.29</v>
      </c>
      <c r="I39" s="62">
        <v>45794.0</v>
      </c>
      <c r="J39" s="93"/>
      <c r="K39" s="132"/>
      <c r="Q39" s="145" t="s">
        <v>212</v>
      </c>
    </row>
    <row r="40">
      <c r="A40" s="85" t="s">
        <v>52</v>
      </c>
      <c r="B40" s="26">
        <f>SUM(B38:B39)
</f>
        <v>67208</v>
      </c>
      <c r="E40" s="85" t="s">
        <v>366</v>
      </c>
      <c r="F40" s="135">
        <f>F39*4</f>
        <v>4000</v>
      </c>
      <c r="G40" s="10" t="s">
        <v>254</v>
      </c>
      <c r="H40" s="10">
        <v>37.99</v>
      </c>
      <c r="I40" s="147">
        <v>45794.0</v>
      </c>
      <c r="J40" s="93" t="s">
        <v>453</v>
      </c>
      <c r="K40" s="132" t="s">
        <v>454</v>
      </c>
      <c r="Q40" s="145" t="s">
        <v>214</v>
      </c>
    </row>
    <row r="41">
      <c r="A41" s="126" t="s">
        <v>367</v>
      </c>
      <c r="B41" s="168"/>
      <c r="C41" s="169">
        <f>TODAY()
</f>
        <v>45905</v>
      </c>
      <c r="E41" s="85" t="s">
        <v>368</v>
      </c>
      <c r="F41" s="135">
        <f>F40*12</f>
        <v>48000</v>
      </c>
      <c r="G41" s="10" t="s">
        <v>150</v>
      </c>
      <c r="H41" s="10">
        <v>2.17</v>
      </c>
      <c r="I41" s="62">
        <v>45795.0</v>
      </c>
      <c r="J41" s="93"/>
      <c r="K41" s="132"/>
      <c r="Q41" s="145" t="s">
        <v>216</v>
      </c>
    </row>
    <row r="42">
      <c r="A42" s="10" t="s">
        <v>369</v>
      </c>
      <c r="B42" s="26">
        <f>B40*(C42/100)</f>
        <v>8737.04</v>
      </c>
      <c r="C42" s="10">
        <v>13.0</v>
      </c>
      <c r="G42" s="10" t="s">
        <v>150</v>
      </c>
      <c r="H42" s="10">
        <v>2.28</v>
      </c>
      <c r="I42" s="62">
        <v>45795.0</v>
      </c>
      <c r="Q42" s="145" t="s">
        <v>218</v>
      </c>
    </row>
    <row r="43">
      <c r="G43" s="10" t="s">
        <v>401</v>
      </c>
      <c r="H43" s="10">
        <v>17.14</v>
      </c>
      <c r="I43" s="62">
        <v>45797.0</v>
      </c>
      <c r="J43" s="10" t="s">
        <v>455</v>
      </c>
      <c r="K43" s="10" t="s">
        <v>456</v>
      </c>
      <c r="Q43" s="145" t="s">
        <v>219</v>
      </c>
    </row>
    <row r="44">
      <c r="G44" s="10" t="s">
        <v>150</v>
      </c>
      <c r="H44" s="10">
        <v>2.17</v>
      </c>
      <c r="I44" s="62">
        <v>45797.0</v>
      </c>
      <c r="J44" s="165"/>
      <c r="Q44" s="145" t="s">
        <v>221</v>
      </c>
    </row>
    <row r="45">
      <c r="G45" s="10" t="s">
        <v>155</v>
      </c>
      <c r="H45" s="10">
        <v>7.66</v>
      </c>
      <c r="I45" s="62">
        <v>45797.0</v>
      </c>
      <c r="Q45" s="145" t="s">
        <v>223</v>
      </c>
    </row>
    <row r="46">
      <c r="G46" s="10" t="s">
        <v>150</v>
      </c>
      <c r="H46" s="10">
        <v>2.29</v>
      </c>
      <c r="I46" s="62">
        <v>45798.0</v>
      </c>
    </row>
    <row r="47">
      <c r="G47" s="10" t="s">
        <v>150</v>
      </c>
      <c r="H47" s="10">
        <v>2.29</v>
      </c>
      <c r="I47" s="62">
        <v>45798.0</v>
      </c>
    </row>
    <row r="48">
      <c r="G48" s="10" t="s">
        <v>310</v>
      </c>
      <c r="H48" s="10">
        <v>9.93</v>
      </c>
      <c r="I48" s="121">
        <v>45798.0</v>
      </c>
      <c r="J48" s="10" t="s">
        <v>457</v>
      </c>
    </row>
    <row r="49">
      <c r="G49" s="10" t="s">
        <v>310</v>
      </c>
      <c r="H49" s="10">
        <v>6.88</v>
      </c>
      <c r="I49" s="121">
        <v>45798.0</v>
      </c>
      <c r="J49" s="10" t="s">
        <v>458</v>
      </c>
    </row>
    <row r="50">
      <c r="G50" s="10" t="s">
        <v>259</v>
      </c>
      <c r="H50" s="10">
        <v>3.67</v>
      </c>
      <c r="I50" s="121">
        <v>45798.0</v>
      </c>
      <c r="J50" s="10" t="s">
        <v>459</v>
      </c>
    </row>
    <row r="51">
      <c r="G51" s="10" t="s">
        <v>150</v>
      </c>
      <c r="H51" s="10">
        <v>2.29</v>
      </c>
      <c r="I51" s="121">
        <v>45799.0</v>
      </c>
    </row>
    <row r="52">
      <c r="I52" s="62"/>
    </row>
    <row r="53">
      <c r="I53" s="62"/>
    </row>
    <row r="54">
      <c r="I54" s="147"/>
    </row>
  </sheetData>
  <conditionalFormatting sqref="I1">
    <cfRule type="notContainsBlanks" dxfId="2" priority="1">
      <formula>LEN(TRIM(I1))&gt;0</formula>
    </cfRule>
  </conditionalFormatting>
  <conditionalFormatting sqref="A9:N15">
    <cfRule type="cellIs" dxfId="3" priority="2" operator="equal">
      <formula>"TIMS"</formula>
    </cfRule>
  </conditionalFormatting>
  <conditionalFormatting sqref="A9:N15">
    <cfRule type="cellIs" dxfId="4" priority="3" operator="equal">
      <formula>"Dispo"</formula>
    </cfRule>
  </conditionalFormatting>
  <conditionalFormatting sqref="A9:N15">
    <cfRule type="cellIs" dxfId="1" priority="4" operator="equal">
      <formula>"Gas"</formula>
    </cfRule>
  </conditionalFormatting>
  <conditionalFormatting sqref="G18:G31 A26 A30:A32 G33:G56">
    <cfRule type="cellIs" dxfId="3" priority="5" operator="equal">
      <formula>"TIMS"</formula>
    </cfRule>
  </conditionalFormatting>
  <conditionalFormatting sqref="G18:G31 A26 A30:A32 G33:G56">
    <cfRule type="cellIs" dxfId="4" priority="6" operator="equal">
      <formula>"Dispo"</formula>
    </cfRule>
  </conditionalFormatting>
  <conditionalFormatting sqref="G18:G31 A26 A30:A32 G33:G56">
    <cfRule type="cellIs" dxfId="5" priority="7" operator="equal">
      <formula>"McDonalds"</formula>
    </cfRule>
  </conditionalFormatting>
  <conditionalFormatting sqref="H18:H31 B26 B28 B30:B32 H33:H60">
    <cfRule type="cellIs" dxfId="1" priority="8" operator="greaterThan">
      <formula>60</formula>
    </cfRule>
  </conditionalFormatting>
  <conditionalFormatting sqref="H18:H31 B26 B28 B30:B32 H33:H60">
    <cfRule type="cellIs" dxfId="6" priority="9" operator="between">
      <formula>30</formula>
      <formula>60</formula>
    </cfRule>
  </conditionalFormatting>
  <conditionalFormatting sqref="I5">
    <cfRule type="cellIs" dxfId="0" priority="10" operator="greaterThan">
      <formula>0</formula>
    </cfRule>
  </conditionalFormatting>
  <conditionalFormatting sqref="I5">
    <cfRule type="cellIs" dxfId="1" priority="11" operator="lessThanOr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181"/>
      <c r="C1" s="1"/>
      <c r="E1" s="54" t="s">
        <v>114</v>
      </c>
      <c r="F1" s="55">
        <f>TODAY()
</f>
        <v>45905</v>
      </c>
      <c r="H1" s="56" t="s">
        <v>115</v>
      </c>
      <c r="I1" s="32">
        <f>SUM(IFERROR(16:16, 0))
</f>
        <v>362.18</v>
      </c>
      <c r="K1" s="57" t="s">
        <v>265</v>
      </c>
      <c r="L1" s="58"/>
      <c r="M1" s="57" t="s">
        <v>266</v>
      </c>
      <c r="O1" s="7" t="s">
        <v>116</v>
      </c>
      <c r="P1" s="59" t="s">
        <v>117</v>
      </c>
    </row>
    <row r="2">
      <c r="C2" s="62"/>
      <c r="E2" s="10" t="s">
        <v>118</v>
      </c>
      <c r="F2" s="60">
        <v>45771.0</v>
      </c>
      <c r="H2" s="56" t="s">
        <v>119</v>
      </c>
      <c r="I2" s="61">
        <f>400+67.84</f>
        <v>467.84</v>
      </c>
      <c r="K2" s="10" t="s">
        <v>173</v>
      </c>
      <c r="L2" s="10">
        <v>40.0</v>
      </c>
      <c r="M2" s="10" t="s">
        <v>267</v>
      </c>
      <c r="P2" s="10" t="s">
        <v>377</v>
      </c>
      <c r="Q2" s="10" t="s">
        <v>378</v>
      </c>
    </row>
    <row r="3">
      <c r="C3" s="62"/>
      <c r="E3" s="10" t="s">
        <v>120</v>
      </c>
      <c r="F3" s="26">
        <f>F2-F1+1
</f>
        <v>-133</v>
      </c>
      <c r="H3" s="24" t="s">
        <v>80</v>
      </c>
      <c r="I3" s="56">
        <f>I2-I1
</f>
        <v>105.66</v>
      </c>
      <c r="K3" s="10" t="s">
        <v>268</v>
      </c>
      <c r="L3" s="10" t="s">
        <v>269</v>
      </c>
      <c r="M3" s="10" t="s">
        <v>270</v>
      </c>
      <c r="O3" s="10" t="s">
        <v>121</v>
      </c>
    </row>
    <row r="4">
      <c r="C4" s="62"/>
      <c r="E4" s="10" t="s">
        <v>49</v>
      </c>
      <c r="F4" s="26">
        <f>I2-I1
</f>
        <v>105.66</v>
      </c>
      <c r="H4" s="63"/>
      <c r="I4" s="63"/>
      <c r="K4" s="10" t="s">
        <v>27</v>
      </c>
      <c r="L4" s="10" t="s">
        <v>271</v>
      </c>
    </row>
    <row r="5">
      <c r="C5" s="62"/>
      <c r="E5" s="10" t="s">
        <v>122</v>
      </c>
      <c r="H5" s="64" t="s">
        <v>123</v>
      </c>
      <c r="I5" s="64">
        <f>I3/F3
</f>
        <v>-0.7944360902</v>
      </c>
    </row>
    <row r="6">
      <c r="C6" s="62"/>
      <c r="K6" s="65"/>
      <c r="R6" s="66"/>
    </row>
    <row r="7">
      <c r="A7" s="69"/>
      <c r="B7" s="69"/>
      <c r="C7" s="164"/>
      <c r="D7" s="190" t="s">
        <v>460</v>
      </c>
      <c r="E7" s="53"/>
      <c r="F7" s="185"/>
      <c r="G7" s="170"/>
      <c r="I7" s="30" t="s">
        <v>461</v>
      </c>
      <c r="J7" s="191"/>
      <c r="K7" s="192"/>
      <c r="L7" s="192"/>
      <c r="M7" s="192"/>
      <c r="N7" s="192"/>
      <c r="O7" s="177"/>
      <c r="P7" s="10" t="s">
        <v>313</v>
      </c>
    </row>
    <row r="8">
      <c r="A8" s="72">
        <v>45758.0</v>
      </c>
      <c r="B8" s="72">
        <v>45759.0</v>
      </c>
      <c r="C8" s="73">
        <v>45760.0</v>
      </c>
      <c r="D8" s="72">
        <v>45761.0</v>
      </c>
      <c r="E8" s="72">
        <v>45762.0</v>
      </c>
      <c r="F8" s="72">
        <v>45763.0</v>
      </c>
      <c r="G8" s="72">
        <v>45764.0</v>
      </c>
      <c r="H8" s="72">
        <v>45765.0</v>
      </c>
      <c r="I8" s="72">
        <v>45766.0</v>
      </c>
      <c r="J8" s="72">
        <v>45767.0</v>
      </c>
      <c r="K8" s="72">
        <v>45768.0</v>
      </c>
      <c r="L8" s="72">
        <v>45769.0</v>
      </c>
      <c r="M8" s="72">
        <v>45770.0</v>
      </c>
      <c r="N8" s="72">
        <v>45771.0</v>
      </c>
      <c r="O8" s="74"/>
      <c r="P8" s="10" t="s">
        <v>125</v>
      </c>
      <c r="Q8" s="75"/>
      <c r="R8" s="10" t="s">
        <v>47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  <c r="O9" s="53"/>
      <c r="P9" s="10" t="s">
        <v>133</v>
      </c>
    </row>
    <row r="10">
      <c r="A10" s="26" t="str">
        <f>IFERROR(__xludf.DUMMYFUNCTION("FILTER(G17:G52, I17:I52=A8)
"),"TIMS")</f>
        <v>TIMS</v>
      </c>
      <c r="B10" s="10" t="str">
        <f>IFERROR(__xludf.DUMMYFUNCTION("FILTER(G17:G52, I17:I52=B8)
"),"TIMS")</f>
        <v>TIMS</v>
      </c>
      <c r="C10" s="10" t="str">
        <f>IFERROR(__xludf.DUMMYFUNCTION("FILTER(G17:G52, I17:I52=C8)
"),"Metro")</f>
        <v>Metro</v>
      </c>
      <c r="D10" s="26" t="str">
        <f>IFERROR(__xludf.DUMMYFUNCTION("FILTER(G17:G52, I17:I52=D8)
"),"Parking Ticket")</f>
        <v>Parking Ticket</v>
      </c>
      <c r="E10" s="26" t="str">
        <f>IFERROR(__xludf.DUMMYFUNCTION("FILTER(G17:G52, I17:I52=E8)
"),"TIMS")</f>
        <v>TIMS</v>
      </c>
      <c r="F10" s="26" t="str">
        <f>IFERROR(__xludf.DUMMYFUNCTION("FILTER(G17:G52, I17:I52=F8)
"),"TIMS")</f>
        <v>TIMS</v>
      </c>
      <c r="G10" s="26" t="str">
        <f>IFERROR(__xludf.DUMMYFUNCTION("FILTER(G17:G52, I17:I52=G8)
"),"TIMS")</f>
        <v>TIMS</v>
      </c>
      <c r="H10" s="26" t="str">
        <f>IFERROR(__xludf.DUMMYFUNCTION("FILTER(G17:G52, I17:I52=H8)
"),"TIMS")</f>
        <v>TIMS</v>
      </c>
      <c r="I10" s="10" t="str">
        <f>IFERROR(__xludf.DUMMYFUNCTION("FILTER(G16:G51, I16:I51=I8)
"),"TIMS")</f>
        <v>TIMS</v>
      </c>
      <c r="J10" s="26" t="str">
        <f>IFERROR(__xludf.DUMMYFUNCTION("FILTER(G15:G50, I15:I50=J8)
"),"Sunday")</f>
        <v>Sunday</v>
      </c>
      <c r="K10" s="26" t="str">
        <f>IFERROR(__xludf.DUMMYFUNCTION("FILTER(G15:G50, I15:I50=K8)
"),"Monday")</f>
        <v>Monday</v>
      </c>
      <c r="L10" s="26" t="str">
        <f>IFERROR(__xludf.DUMMYFUNCTION("FILTER(G15:G65, I15:I65=L8)
"),"Tuesday")</f>
        <v>Tuesday</v>
      </c>
      <c r="M10" s="10" t="str">
        <f>IFERROR(__xludf.DUMMYFUNCTION("FILTER(G15:G65, I15:I65=M8)
"),"Wednesday")</f>
        <v>Wednesday</v>
      </c>
      <c r="N10" s="26" t="str">
        <f>IFERROR(__xludf.DUMMYFUNCTION("FILTER(G15:G65, I15:I65=N8)
"),"McDonalds")</f>
        <v>McDonalds</v>
      </c>
      <c r="O10" s="183"/>
      <c r="P10" s="10" t="s">
        <v>134</v>
      </c>
    </row>
    <row r="11">
      <c r="A11" s="75" t="str">
        <f>IFERROR(__xludf.DUMMYFUNCTION("""COMPUTED_VALUE"""),"Johnny Shotz")</f>
        <v>Johnny Shotz</v>
      </c>
      <c r="B11" s="26" t="str">
        <f>IFERROR(__xludf.DUMMYFUNCTION("""COMPUTED_VALUE"""),"Gas")</f>
        <v>Gas</v>
      </c>
      <c r="C11" s="26" t="str">
        <f>IFERROR(__xludf.DUMMYFUNCTION("""COMPUTED_VALUE"""),"TIMS")</f>
        <v>TIMS</v>
      </c>
      <c r="D11" s="26" t="str">
        <f>IFERROR(__xludf.DUMMYFUNCTION("""COMPUTED_VALUE"""),"TIMS")</f>
        <v>TIMS</v>
      </c>
      <c r="E11" s="26" t="str">
        <f>IFERROR(__xludf.DUMMYFUNCTION("""COMPUTED_VALUE"""),"Dispo")</f>
        <v>Dispo</v>
      </c>
      <c r="F11" s="26" t="str">
        <f>IFERROR(__xludf.DUMMYFUNCTION("""COMPUTED_VALUE"""),"Frost Ice Cream")</f>
        <v>Frost Ice Cream</v>
      </c>
      <c r="G11" s="26" t="str">
        <f>IFERROR(__xludf.DUMMYFUNCTION("""COMPUTED_VALUE"""),"Dollarama")</f>
        <v>Dollarama</v>
      </c>
      <c r="H11" s="26" t="str">
        <f>IFERROR(__xludf.DUMMYFUNCTION("""COMPUTED_VALUE"""),"Candy's")</f>
        <v>Candy's</v>
      </c>
    </row>
    <row r="12">
      <c r="C12" s="75" t="str">
        <f>IFERROR(__xludf.DUMMYFUNCTION("""COMPUTED_VALUE"""),"Movie")</f>
        <v>Movie</v>
      </c>
      <c r="E12" s="26" t="str">
        <f>IFERROR(__xludf.DUMMYFUNCTION("""COMPUTED_VALUE"""),"TIMS")</f>
        <v>TIMS</v>
      </c>
      <c r="F12" s="26" t="str">
        <f>IFERROR(__xludf.DUMMYFUNCTION("""COMPUTED_VALUE"""),"McDonalds")</f>
        <v>McDonalds</v>
      </c>
      <c r="G12" s="26" t="str">
        <f>IFERROR(__xludf.DUMMYFUNCTION("""COMPUTED_VALUE"""),"LCBO")</f>
        <v>LCBO</v>
      </c>
    </row>
    <row r="13">
      <c r="A13" s="77"/>
      <c r="B13" s="77"/>
      <c r="C13" s="26" t="str">
        <f>IFERROR(__xludf.DUMMYFUNCTION("""COMPUTED_VALUE"""),"Taxes Intuit")</f>
        <v>Taxes Intuit</v>
      </c>
      <c r="E13" s="26" t="str">
        <f>IFERROR(__xludf.DUMMYFUNCTION("""COMPUTED_VALUE"""),"LCBO")</f>
        <v>LCBO</v>
      </c>
    </row>
    <row r="14">
      <c r="A14" s="77"/>
      <c r="B14" s="77"/>
      <c r="C14" s="26" t="str">
        <f>IFERROR(__xludf.DUMMYFUNCTION("""COMPUTED_VALUE"""),"Wendys")</f>
        <v>Wendys</v>
      </c>
      <c r="E14" s="75" t="str">
        <f>IFERROR(__xludf.DUMMYFUNCTION("""COMPUTED_VALUE"""),"Lakeshore Cinemas")</f>
        <v>Lakeshore Cinemas</v>
      </c>
      <c r="K14" s="10" t="s">
        <v>122</v>
      </c>
    </row>
    <row r="15">
      <c r="A15" s="78"/>
      <c r="B15" s="78"/>
    </row>
    <row r="16">
      <c r="A16" s="56">
        <f>IFERROR(__xludf.DUMMYFUNCTION("SUM(FILTER(H17:H52, I17:I52=A8))
"),33.58)</f>
        <v>33.58</v>
      </c>
      <c r="B16" s="56">
        <f>IFERROR(__xludf.DUMMYFUNCTION("SUM(FILTER(H17:H52, I17:I52=B8))
"),58.46)</f>
        <v>58.46</v>
      </c>
      <c r="C16" s="56">
        <f>IFERROR(__xludf.DUMMYFUNCTION("SUM(FILTER(H17:H52, I17:I52=C8))
"),105.48)</f>
        <v>105.48</v>
      </c>
      <c r="D16" s="56">
        <f>IFERROR(__xludf.DUMMYFUNCTION("SUM(FILTER(H17:H52, I17:I52=D8))
"),33.66)</f>
        <v>33.66</v>
      </c>
      <c r="E16" s="56">
        <f>IFERROR(__xludf.DUMMYFUNCTION("SUM(FILTER(H17:H52, I17:I52=E8))
"),61.27000000000001)</f>
        <v>61.27</v>
      </c>
      <c r="F16" s="56">
        <f>IFERROR(__xludf.DUMMYFUNCTION("SUM(FILTER(H17:H52, I17:I52=F8))
"),16.7)</f>
        <v>16.7</v>
      </c>
      <c r="G16" s="56">
        <f>IFERROR(__xludf.DUMMYFUNCTION("SUM(FILTER(H17:H52, I17:I52=G8))
"),27.119999999999997)</f>
        <v>27.12</v>
      </c>
      <c r="H16" s="56">
        <f>IFERROR(__xludf.DUMMYFUNCTION("SUM(FILTER(H17:H52, I17:I52=H8))
"),17.43)</f>
        <v>17.43</v>
      </c>
      <c r="I16" s="56">
        <f>IFERROR(__xludf.DUMMYFUNCTION("SUM(FILTER(H17:H52, I17:I52=I8))
"),4.78)</f>
        <v>4.78</v>
      </c>
      <c r="J16" s="56">
        <f>IFERROR(__xludf.DUMMYFUNCTION("SUM(FILTER(H17:H52, I17:I52=J8))
"),0.0)</f>
        <v>0</v>
      </c>
      <c r="K16" s="56">
        <f>IFERROR(__xludf.DUMMYFUNCTION("SUM(FILTER(H17:H52, I17:I52=K8))
"),0.0)</f>
        <v>0</v>
      </c>
      <c r="L16" s="56">
        <f>IFERROR(__xludf.DUMMYFUNCTION("SUM(FILTER(H17:H52, I17:I52=L8))
"),0.0)</f>
        <v>0</v>
      </c>
      <c r="M16" s="56">
        <f>IFERROR(__xludf.DUMMYFUNCTION("SUM(FILTER(H17:H62, I17:I62=M8))
"),0.0)</f>
        <v>0</v>
      </c>
      <c r="N16" s="35">
        <f>IFERROR(__xludf.DUMMYFUNCTION("SUM(FILTER(H17:H62, I17:I62=N8))
"),3.7)</f>
        <v>3.7</v>
      </c>
      <c r="O16" s="10" t="s">
        <v>314</v>
      </c>
    </row>
    <row r="17">
      <c r="A17" s="10" t="s">
        <v>462</v>
      </c>
      <c r="E17" s="79" t="s">
        <v>135</v>
      </c>
      <c r="F17" s="80">
        <f>COUNTIF(G18:G1002, "TIMS")+COUNTIF(G18:G1002, "Casa Miro")+COUNTIF(G18:G1002, "Toto")+COUNTIF(G18:G1002, "Coffee Exchange")+COUNTIF(G18:G1002, "Ciao Caffe")
</f>
        <v>10</v>
      </c>
      <c r="G17" s="81"/>
      <c r="H17" s="81"/>
      <c r="I17" s="82"/>
      <c r="J17" s="83" t="s">
        <v>136</v>
      </c>
      <c r="K17" s="84"/>
      <c r="L17" s="84"/>
      <c r="M17" s="84"/>
      <c r="N17" s="84"/>
    </row>
    <row r="18">
      <c r="E18" s="87" t="s">
        <v>138</v>
      </c>
      <c r="F18" s="88">
        <f>SUMIF(G18:G50, "Dispo", H18:H50)+SUMIF(G18:G50, "c cabana", H18:H50)</f>
        <v>32.77</v>
      </c>
      <c r="G18" s="10" t="s">
        <v>150</v>
      </c>
      <c r="H18" s="10">
        <v>2.29</v>
      </c>
      <c r="I18" s="62">
        <v>45758.0</v>
      </c>
      <c r="J18" s="89"/>
      <c r="K18" s="90"/>
      <c r="L18" s="19" t="s">
        <v>140</v>
      </c>
      <c r="M18" s="19"/>
      <c r="N18" s="19" t="s">
        <v>141</v>
      </c>
    </row>
    <row r="19">
      <c r="E19" s="92" t="s">
        <v>145</v>
      </c>
      <c r="F19" s="92">
        <f>SUMIF(G18:G50, "Republik", H18:H50)+SUMIF(G18:G50, "Stacked", H18:H50)+SUMIF(G18:G50, "Halibut House", H18:H50)+SUMIF(G18:G50, "Keg", H18:H50)+SUMIF(G18:G50, "Ramen", H18:H50)+SUMIF(G18:G50, "Pizza", H18:H50) +SUMIF(G18:G50, "A&amp;W", H18:H50) + SUMIF(G18:G50, "Chucks", H18:H50) + SUMIF(G18:G50, "Cookie Bar", H18:H50) + SUMIF(G18:G50, "Burger King", H18:H50) + SUMIF(G18:G50, "Pho", H18:H50)+SUMIF(G18:G50, "Wendys", H18:H50)+SUMIF(G18:G50, "Hot Tacos", H18:H50)+SUMIF(G18:G50, "Popeyes", H18:H50)+SUMIF(G18:G50, "Chucks", H18:H50)</f>
        <v>7.54</v>
      </c>
      <c r="G19" s="21" t="s">
        <v>260</v>
      </c>
      <c r="H19" s="94">
        <v>31.29</v>
      </c>
      <c r="I19" s="109">
        <v>45758.0</v>
      </c>
      <c r="J19" s="93" t="s">
        <v>463</v>
      </c>
      <c r="K19" s="90"/>
      <c r="L19" s="21" t="s">
        <v>147</v>
      </c>
      <c r="M19" s="94">
        <v>40.0</v>
      </c>
      <c r="N19" s="19"/>
    </row>
    <row r="20">
      <c r="E20" s="54" t="s">
        <v>27</v>
      </c>
      <c r="F20" s="95">
        <f>SUMIF(G18:G60, "Gas", H18:H60)</f>
        <v>53.78</v>
      </c>
      <c r="G20" s="21" t="s">
        <v>150</v>
      </c>
      <c r="H20" s="94">
        <v>4.68</v>
      </c>
      <c r="I20" s="109">
        <v>45759.0</v>
      </c>
      <c r="J20" s="93"/>
      <c r="K20" s="96"/>
      <c r="L20" s="19" t="s">
        <v>151</v>
      </c>
      <c r="M20" s="97">
        <v>120.0</v>
      </c>
      <c r="N20" s="19" t="s">
        <v>152</v>
      </c>
      <c r="P20" s="26">
        <f>H21/28</f>
        <v>1.920714286</v>
      </c>
    </row>
    <row r="21">
      <c r="A21" s="10" t="s">
        <v>153</v>
      </c>
      <c r="B21" s="10" t="s">
        <v>154</v>
      </c>
      <c r="E21" s="85" t="s">
        <v>155</v>
      </c>
      <c r="F21" s="86">
        <f>SUMIF(G18:G50, "McDonalds", H18:H50) </f>
        <v>7.64</v>
      </c>
      <c r="G21" s="21" t="s">
        <v>27</v>
      </c>
      <c r="H21" s="94">
        <v>53.78</v>
      </c>
      <c r="I21" s="109">
        <v>45759.0</v>
      </c>
      <c r="J21" s="93"/>
      <c r="K21" s="90"/>
      <c r="L21" s="98" t="s">
        <v>157</v>
      </c>
      <c r="M21" s="94">
        <v>1000.0</v>
      </c>
      <c r="N21" s="19"/>
    </row>
    <row r="22">
      <c r="A22" s="10" t="s">
        <v>158</v>
      </c>
      <c r="B22" s="10" t="s">
        <v>159</v>
      </c>
      <c r="E22" s="10" t="s">
        <v>160</v>
      </c>
      <c r="F22" s="10">
        <f>SUMIF(G18:G50, "Urbn Planet", H18:H50)+SUMIF(G18:G50, "Winners", H18:H50) +SUMIF(G18:G50, "Platos", H18:H50) </f>
        <v>0</v>
      </c>
      <c r="G22" s="21" t="s">
        <v>261</v>
      </c>
      <c r="H22" s="94">
        <v>12.48</v>
      </c>
      <c r="I22" s="109">
        <v>45760.0</v>
      </c>
      <c r="J22" s="93" t="s">
        <v>464</v>
      </c>
      <c r="K22" s="90"/>
      <c r="L22" s="21" t="s">
        <v>162</v>
      </c>
      <c r="M22" s="97"/>
      <c r="N22" s="19"/>
    </row>
    <row r="23">
      <c r="A23" s="10" t="s">
        <v>165</v>
      </c>
      <c r="B23" s="10" t="s">
        <v>166</v>
      </c>
      <c r="E23" s="10" t="s">
        <v>117</v>
      </c>
      <c r="F23" s="26">
        <f>0</f>
        <v>0</v>
      </c>
      <c r="G23" s="21" t="s">
        <v>150</v>
      </c>
      <c r="H23" s="94">
        <v>7.66</v>
      </c>
      <c r="I23" s="109">
        <v>45760.0</v>
      </c>
      <c r="J23" s="89" t="s">
        <v>465</v>
      </c>
      <c r="K23" s="90"/>
      <c r="L23" s="21" t="s">
        <v>167</v>
      </c>
      <c r="M23" s="94">
        <v>30.0</v>
      </c>
      <c r="N23" s="19"/>
    </row>
    <row r="24">
      <c r="E24" s="102" t="s">
        <v>170</v>
      </c>
      <c r="F24" s="33">
        <f>SUMIF(G18:G50, "LCBO", H18:H50) + SUMIF(G18:G50, "Beer Store", H18:H50)+ SUMIF(G18:G50, "Drinks", H18:H50)+SUMIF(G18:G50, "Beer", H18:H50)+SUMIF(G18:G50, "Wine", H18:H50)</f>
        <v>23.37</v>
      </c>
      <c r="G24" s="21" t="s">
        <v>466</v>
      </c>
      <c r="H24" s="94">
        <v>10.0</v>
      </c>
      <c r="I24" s="109">
        <v>45760.0</v>
      </c>
      <c r="J24" s="89" t="s">
        <v>407</v>
      </c>
      <c r="K24" s="90"/>
      <c r="L24" s="19"/>
      <c r="M24" s="97"/>
      <c r="N24" s="19"/>
    </row>
    <row r="25">
      <c r="A25" s="10" t="s">
        <v>172</v>
      </c>
      <c r="E25" s="105" t="s">
        <v>173</v>
      </c>
      <c r="F25" s="106">
        <f>SUMIF(G18:G50, "TIMS", H18:H50) + SUMIF(G18:G50, "Casa Miro", H18:H50) + SUMIF(G18:G50, "Toto", H18:H50) + SUMIF(G18:G50, "Coffee Exchange", H18:H50)+ SUMIF(G18:G50, "Ciao Caffe", H18:H50)+ SUMIF(G18:G50, "Starbucks", H18:H50)
</f>
        <v>40.98</v>
      </c>
      <c r="G25" s="21" t="s">
        <v>467</v>
      </c>
      <c r="H25" s="94">
        <v>67.8</v>
      </c>
      <c r="I25" s="109">
        <v>45760.0</v>
      </c>
      <c r="J25" s="89"/>
      <c r="K25" s="19"/>
      <c r="L25" s="19"/>
      <c r="M25" s="107"/>
      <c r="N25" s="19"/>
    </row>
    <row r="26">
      <c r="A26" s="21" t="s">
        <v>402</v>
      </c>
      <c r="B26" s="166"/>
      <c r="C26" s="109"/>
      <c r="D26" s="19"/>
      <c r="E26" s="79" t="s">
        <v>52</v>
      </c>
      <c r="F26" s="110">
        <f>SUM(F18:F25)
</f>
        <v>166.08</v>
      </c>
      <c r="G26" s="21" t="s">
        <v>262</v>
      </c>
      <c r="H26" s="94">
        <v>7.54</v>
      </c>
      <c r="I26" s="109">
        <v>45760.0</v>
      </c>
      <c r="J26" s="89"/>
      <c r="K26" s="21" t="s">
        <v>174</v>
      </c>
      <c r="L26" s="19" t="s">
        <v>52</v>
      </c>
      <c r="M26" s="97">
        <f>M20++M19+M21+M22+M24+M23+M25</f>
        <v>1190</v>
      </c>
    </row>
    <row r="27">
      <c r="A27" s="107"/>
      <c r="B27" s="166"/>
      <c r="C27" s="184"/>
      <c r="D27" s="19"/>
      <c r="E27" s="79" t="s">
        <v>177</v>
      </c>
      <c r="F27" s="111">
        <f>I1/(15-F3)</f>
        <v>2.447162162</v>
      </c>
      <c r="G27" s="21" t="s">
        <v>468</v>
      </c>
      <c r="H27" s="94">
        <v>30.52</v>
      </c>
      <c r="I27" s="109">
        <v>45761.0</v>
      </c>
      <c r="J27" s="89"/>
      <c r="K27" s="21" t="s">
        <v>164</v>
      </c>
      <c r="L27" s="10"/>
    </row>
    <row r="28">
      <c r="A28" s="21" t="s">
        <v>410</v>
      </c>
      <c r="B28" s="94"/>
      <c r="C28" s="109"/>
      <c r="D28" s="19"/>
      <c r="E28" s="10" t="s">
        <v>180</v>
      </c>
      <c r="F28" s="26">
        <f>I1-F26
</f>
        <v>196.1</v>
      </c>
      <c r="G28" s="21" t="s">
        <v>150</v>
      </c>
      <c r="H28" s="94">
        <v>3.14</v>
      </c>
      <c r="I28" s="109">
        <v>45761.0</v>
      </c>
      <c r="J28" s="89"/>
      <c r="K28" s="21" t="s">
        <v>182</v>
      </c>
    </row>
    <row r="29">
      <c r="A29" s="107"/>
      <c r="B29" s="97"/>
      <c r="C29" s="184"/>
      <c r="D29" s="19"/>
      <c r="E29" s="10" t="s">
        <v>171</v>
      </c>
      <c r="F29" s="26">
        <f>SUMIF(G18:G60, "Wal Mart", H18:H60) </f>
        <v>0</v>
      </c>
      <c r="G29" s="21" t="s">
        <v>150</v>
      </c>
      <c r="H29" s="94">
        <v>2.17</v>
      </c>
      <c r="I29" s="109">
        <v>45762.0</v>
      </c>
      <c r="J29" s="93"/>
      <c r="K29" s="10" t="s">
        <v>325</v>
      </c>
    </row>
    <row r="30">
      <c r="A30" s="21" t="s">
        <v>422</v>
      </c>
      <c r="B30" s="94">
        <v>37.0</v>
      </c>
      <c r="C30" s="109">
        <v>45748.0</v>
      </c>
      <c r="D30" s="89" t="s">
        <v>423</v>
      </c>
      <c r="F30" s="135"/>
      <c r="G30" s="21" t="s">
        <v>257</v>
      </c>
      <c r="H30" s="94">
        <v>32.77</v>
      </c>
      <c r="I30" s="109">
        <v>45762.0</v>
      </c>
      <c r="J30" s="21" t="s">
        <v>469</v>
      </c>
      <c r="K30" s="10" t="s">
        <v>327</v>
      </c>
    </row>
    <row r="31">
      <c r="A31" s="21" t="s">
        <v>424</v>
      </c>
      <c r="B31" s="94">
        <v>32.34</v>
      </c>
      <c r="C31" s="109">
        <v>45748.0</v>
      </c>
      <c r="D31" s="89"/>
      <c r="F31" s="135"/>
      <c r="G31" s="21" t="s">
        <v>150</v>
      </c>
      <c r="H31" s="94">
        <v>1.56</v>
      </c>
      <c r="I31" s="109">
        <v>45762.0</v>
      </c>
      <c r="J31" s="19"/>
      <c r="K31" s="10" t="s">
        <v>329</v>
      </c>
      <c r="L31" s="10"/>
    </row>
    <row r="32">
      <c r="A32" s="10"/>
      <c r="B32" s="10"/>
      <c r="C32" s="62"/>
      <c r="F32" s="135"/>
      <c r="G32" s="21" t="s">
        <v>254</v>
      </c>
      <c r="H32" s="94">
        <v>9.8</v>
      </c>
      <c r="I32" s="109">
        <v>45762.0</v>
      </c>
      <c r="J32" s="93"/>
      <c r="K32" s="10" t="s">
        <v>192</v>
      </c>
      <c r="N32" s="10" t="s">
        <v>193</v>
      </c>
    </row>
    <row r="33">
      <c r="A33" s="31" t="s">
        <v>470</v>
      </c>
      <c r="B33" s="31">
        <v>30.0</v>
      </c>
      <c r="C33" s="31" t="s">
        <v>471</v>
      </c>
      <c r="D33" s="31" t="s">
        <v>472</v>
      </c>
      <c r="E33" s="135"/>
      <c r="F33" s="135"/>
      <c r="G33" s="10" t="s">
        <v>473</v>
      </c>
      <c r="H33" s="10">
        <v>14.97</v>
      </c>
      <c r="I33" s="62">
        <v>45762.0</v>
      </c>
      <c r="J33" s="93"/>
      <c r="K33" s="135"/>
    </row>
    <row r="34">
      <c r="E34" s="135"/>
      <c r="F34" s="167"/>
      <c r="G34" s="21" t="s">
        <v>150</v>
      </c>
      <c r="H34" s="94">
        <v>5.92</v>
      </c>
      <c r="I34" s="109">
        <v>45763.0</v>
      </c>
      <c r="J34" s="93"/>
      <c r="K34" s="135"/>
    </row>
    <row r="35">
      <c r="E35" s="135"/>
      <c r="F35" s="132"/>
      <c r="G35" s="21" t="s">
        <v>474</v>
      </c>
      <c r="H35" s="94">
        <v>6.84</v>
      </c>
      <c r="I35" s="109">
        <v>45763.0</v>
      </c>
      <c r="J35" s="93" t="s">
        <v>475</v>
      </c>
      <c r="K35" s="132"/>
    </row>
    <row r="36">
      <c r="E36" s="135"/>
      <c r="F36" s="135"/>
      <c r="G36" s="10" t="s">
        <v>155</v>
      </c>
      <c r="H36" s="10">
        <v>3.94</v>
      </c>
      <c r="I36" s="62">
        <v>45763.0</v>
      </c>
      <c r="J36" s="93" t="s">
        <v>476</v>
      </c>
      <c r="K36" s="10"/>
    </row>
    <row r="37">
      <c r="A37" s="84"/>
      <c r="B37" s="84"/>
      <c r="C37" s="84"/>
      <c r="D37" s="84"/>
      <c r="E37" s="84"/>
      <c r="F37" s="84"/>
      <c r="G37" s="10" t="s">
        <v>150</v>
      </c>
      <c r="H37" s="10">
        <v>4.1</v>
      </c>
      <c r="I37" s="62">
        <v>45764.0</v>
      </c>
      <c r="J37" s="93"/>
      <c r="K37" s="135"/>
    </row>
    <row r="38">
      <c r="A38" s="85" t="s">
        <v>87</v>
      </c>
      <c r="B38" s="10">
        <v>31200.0</v>
      </c>
      <c r="E38" s="85" t="s">
        <v>363</v>
      </c>
      <c r="F38" s="132">
        <v>200.0</v>
      </c>
      <c r="G38" s="10" t="s">
        <v>259</v>
      </c>
      <c r="H38" s="10">
        <v>9.45</v>
      </c>
      <c r="I38" s="62">
        <v>45764.0</v>
      </c>
      <c r="J38" s="93" t="s">
        <v>477</v>
      </c>
      <c r="K38" s="135"/>
    </row>
    <row r="39">
      <c r="A39" s="85" t="s">
        <v>364</v>
      </c>
      <c r="B39" s="10">
        <v>36008.0</v>
      </c>
      <c r="E39" s="85" t="s">
        <v>365</v>
      </c>
      <c r="F39" s="135">
        <f>F38*5</f>
        <v>1000</v>
      </c>
      <c r="G39" s="10" t="s">
        <v>254</v>
      </c>
      <c r="H39" s="10">
        <v>13.57</v>
      </c>
      <c r="I39" s="62">
        <v>45764.0</v>
      </c>
      <c r="J39" s="93" t="s">
        <v>139</v>
      </c>
      <c r="K39" s="132"/>
    </row>
    <row r="40">
      <c r="A40" s="85" t="s">
        <v>52</v>
      </c>
      <c r="B40" s="26">
        <f>SUM(B38:B39)
</f>
        <v>67208</v>
      </c>
      <c r="E40" s="85" t="s">
        <v>366</v>
      </c>
      <c r="F40" s="135">
        <f>F39*4</f>
        <v>4000</v>
      </c>
      <c r="G40" s="10" t="s">
        <v>150</v>
      </c>
      <c r="H40" s="10">
        <v>4.68</v>
      </c>
      <c r="I40" s="62">
        <v>45765.0</v>
      </c>
      <c r="J40" s="93" t="s">
        <v>478</v>
      </c>
      <c r="K40" s="135"/>
    </row>
    <row r="41">
      <c r="A41" s="126" t="s">
        <v>367</v>
      </c>
      <c r="B41" s="168"/>
      <c r="C41" s="169">
        <f>TODAY()
</f>
        <v>45905</v>
      </c>
      <c r="E41" s="85" t="s">
        <v>368</v>
      </c>
      <c r="F41" s="135">
        <f>F40*12</f>
        <v>48000</v>
      </c>
      <c r="G41" s="10" t="s">
        <v>479</v>
      </c>
      <c r="H41" s="10">
        <v>12.75</v>
      </c>
      <c r="I41" s="62">
        <v>45765.0</v>
      </c>
      <c r="J41" s="93" t="s">
        <v>480</v>
      </c>
      <c r="K41" s="132" t="s">
        <v>481</v>
      </c>
    </row>
    <row r="42">
      <c r="A42" s="10" t="s">
        <v>369</v>
      </c>
      <c r="B42" s="26">
        <f>B40*(C42/100)</f>
        <v>8737.04</v>
      </c>
      <c r="C42" s="10">
        <v>13.0</v>
      </c>
      <c r="G42" s="10" t="s">
        <v>150</v>
      </c>
      <c r="H42" s="10">
        <v>4.78</v>
      </c>
      <c r="I42" s="62">
        <v>45766.0</v>
      </c>
      <c r="J42" s="10" t="s">
        <v>482</v>
      </c>
      <c r="K42" s="10" t="s">
        <v>483</v>
      </c>
    </row>
    <row r="43">
      <c r="G43" s="10" t="s">
        <v>129</v>
      </c>
      <c r="H43" s="10">
        <v>0.0</v>
      </c>
      <c r="I43" s="62">
        <v>45768.0</v>
      </c>
    </row>
    <row r="44">
      <c r="G44" s="10" t="s">
        <v>130</v>
      </c>
      <c r="H44" s="10">
        <v>0.0</v>
      </c>
      <c r="I44" s="62">
        <v>45769.0</v>
      </c>
      <c r="J44" s="165"/>
    </row>
    <row r="45">
      <c r="G45" s="10" t="s">
        <v>128</v>
      </c>
      <c r="H45" s="10">
        <v>0.0</v>
      </c>
      <c r="I45" s="62">
        <v>45767.0</v>
      </c>
    </row>
    <row r="46">
      <c r="G46" s="10" t="s">
        <v>131</v>
      </c>
      <c r="H46" s="10">
        <v>0.0</v>
      </c>
      <c r="I46" s="62">
        <v>45770.0</v>
      </c>
    </row>
    <row r="47">
      <c r="G47" s="10" t="s">
        <v>155</v>
      </c>
      <c r="H47" s="10">
        <v>3.7</v>
      </c>
      <c r="I47" s="62">
        <v>45771.0</v>
      </c>
    </row>
    <row r="48">
      <c r="I48" s="121"/>
    </row>
    <row r="49">
      <c r="I49" s="121"/>
    </row>
    <row r="50">
      <c r="I50" s="121"/>
    </row>
    <row r="51">
      <c r="I51" s="121"/>
    </row>
    <row r="52">
      <c r="I52" s="62"/>
    </row>
    <row r="53">
      <c r="I53" s="62"/>
    </row>
  </sheetData>
  <conditionalFormatting sqref="I1">
    <cfRule type="notContainsBlanks" dxfId="2" priority="1">
      <formula>LEN(TRIM(I1))&gt;0</formula>
    </cfRule>
  </conditionalFormatting>
  <conditionalFormatting sqref="A9:N15">
    <cfRule type="cellIs" dxfId="3" priority="2" operator="equal">
      <formula>"TIMS"</formula>
    </cfRule>
  </conditionalFormatting>
  <conditionalFormatting sqref="A9:N15">
    <cfRule type="cellIs" dxfId="4" priority="3" operator="equal">
      <formula>"Dispo"</formula>
    </cfRule>
  </conditionalFormatting>
  <conditionalFormatting sqref="A9:N15">
    <cfRule type="cellIs" dxfId="1" priority="4" operator="equal">
      <formula>"Gas"</formula>
    </cfRule>
  </conditionalFormatting>
  <conditionalFormatting sqref="G18:G56 A26:A27 A30:A31">
    <cfRule type="cellIs" dxfId="3" priority="5" operator="equal">
      <formula>"TIMS"</formula>
    </cfRule>
  </conditionalFormatting>
  <conditionalFormatting sqref="G18:G56 A26:A27 A30:A31">
    <cfRule type="cellIs" dxfId="4" priority="6" operator="equal">
      <formula>"Dispo"</formula>
    </cfRule>
  </conditionalFormatting>
  <conditionalFormatting sqref="G18:G56 A26:A27 A30:A31">
    <cfRule type="cellIs" dxfId="5" priority="7" operator="equal">
      <formula>"McDonalds"</formula>
    </cfRule>
  </conditionalFormatting>
  <conditionalFormatting sqref="H18:H60 B26:B28 B30:B31">
    <cfRule type="cellIs" dxfId="1" priority="8" operator="greaterThan">
      <formula>60</formula>
    </cfRule>
  </conditionalFormatting>
  <conditionalFormatting sqref="H18:H60 B26:B28 B30:B31">
    <cfRule type="cellIs" dxfId="6" priority="9" operator="between">
      <formula>30</formula>
      <formula>60</formula>
    </cfRule>
  </conditionalFormatting>
  <conditionalFormatting sqref="I5">
    <cfRule type="cellIs" dxfId="0" priority="10" operator="greaterThan">
      <formula>0</formula>
    </cfRule>
  </conditionalFormatting>
  <conditionalFormatting sqref="I5">
    <cfRule type="cellIs" dxfId="1" priority="11" operator="lessThanOrEqual">
      <formula>0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181"/>
      <c r="C1" s="1"/>
      <c r="E1" s="54" t="s">
        <v>114</v>
      </c>
      <c r="F1" s="55">
        <f>TODAY()
</f>
        <v>45905</v>
      </c>
      <c r="H1" s="56" t="s">
        <v>115</v>
      </c>
      <c r="I1" s="32">
        <f>SUM(IFERROR(16:16, 0))
</f>
        <v>496.69</v>
      </c>
      <c r="K1" s="57" t="s">
        <v>265</v>
      </c>
      <c r="L1" s="58"/>
      <c r="M1" s="57" t="s">
        <v>266</v>
      </c>
      <c r="O1" s="7" t="s">
        <v>116</v>
      </c>
      <c r="P1" s="59" t="s">
        <v>117</v>
      </c>
    </row>
    <row r="2">
      <c r="C2" s="62"/>
      <c r="E2" s="10" t="s">
        <v>118</v>
      </c>
      <c r="F2" s="60">
        <v>45757.0</v>
      </c>
      <c r="H2" s="56" t="s">
        <v>119</v>
      </c>
      <c r="I2" s="61">
        <f>500+3.84</f>
        <v>503.84</v>
      </c>
      <c r="K2" s="10" t="s">
        <v>173</v>
      </c>
      <c r="L2" s="10">
        <v>40.0</v>
      </c>
      <c r="M2" s="10" t="s">
        <v>267</v>
      </c>
      <c r="P2" s="10" t="s">
        <v>377</v>
      </c>
      <c r="Q2" s="10" t="s">
        <v>378</v>
      </c>
    </row>
    <row r="3">
      <c r="C3" s="62"/>
      <c r="E3" s="10" t="s">
        <v>120</v>
      </c>
      <c r="F3" s="26">
        <f>F2-F1+1
</f>
        <v>-147</v>
      </c>
      <c r="H3" s="24" t="s">
        <v>80</v>
      </c>
      <c r="I3" s="56">
        <f>I2-I1
</f>
        <v>7.15</v>
      </c>
      <c r="K3" s="10" t="s">
        <v>268</v>
      </c>
      <c r="L3" s="10" t="s">
        <v>269</v>
      </c>
      <c r="M3" s="10" t="s">
        <v>270</v>
      </c>
      <c r="O3" s="10" t="s">
        <v>121</v>
      </c>
    </row>
    <row r="4">
      <c r="C4" s="62"/>
      <c r="E4" s="10" t="s">
        <v>49</v>
      </c>
      <c r="F4" s="26">
        <f>I2-I1
</f>
        <v>7.15</v>
      </c>
      <c r="H4" s="63"/>
      <c r="I4" s="63"/>
      <c r="K4" s="10" t="s">
        <v>27</v>
      </c>
      <c r="L4" s="10" t="s">
        <v>271</v>
      </c>
    </row>
    <row r="5">
      <c r="C5" s="62"/>
      <c r="E5" s="10" t="s">
        <v>122</v>
      </c>
      <c r="H5" s="64" t="s">
        <v>123</v>
      </c>
      <c r="I5" s="64">
        <f>I3/F3
</f>
        <v>-0.04863945578</v>
      </c>
    </row>
    <row r="6">
      <c r="C6" s="62"/>
      <c r="K6" s="65"/>
      <c r="R6" s="66"/>
    </row>
    <row r="7">
      <c r="A7" s="44"/>
      <c r="B7" s="53"/>
      <c r="C7" s="70"/>
      <c r="D7" s="70"/>
      <c r="E7" s="53"/>
      <c r="F7" s="185"/>
      <c r="G7" s="70"/>
      <c r="H7" s="10" t="s">
        <v>484</v>
      </c>
      <c r="J7" s="182"/>
      <c r="K7" s="69"/>
      <c r="L7" s="69"/>
      <c r="N7" s="53"/>
      <c r="O7" s="177"/>
      <c r="P7" s="10" t="s">
        <v>313</v>
      </c>
    </row>
    <row r="8">
      <c r="A8" s="72">
        <v>45744.0</v>
      </c>
      <c r="B8" s="72">
        <v>45745.0</v>
      </c>
      <c r="C8" s="73">
        <v>45746.0</v>
      </c>
      <c r="D8" s="72">
        <v>45747.0</v>
      </c>
      <c r="E8" s="72">
        <v>45748.0</v>
      </c>
      <c r="F8" s="72">
        <v>45749.0</v>
      </c>
      <c r="G8" s="72">
        <v>45750.0</v>
      </c>
      <c r="H8" s="72">
        <v>45751.0</v>
      </c>
      <c r="I8" s="72">
        <v>45752.0</v>
      </c>
      <c r="J8" s="72">
        <v>45753.0</v>
      </c>
      <c r="K8" s="72">
        <v>45754.0</v>
      </c>
      <c r="L8" s="72">
        <v>45755.0</v>
      </c>
      <c r="M8" s="72">
        <v>45756.0</v>
      </c>
      <c r="N8" s="72">
        <v>45757.0</v>
      </c>
      <c r="O8" s="74"/>
      <c r="P8" s="10" t="s">
        <v>125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  <c r="O9" s="53"/>
      <c r="P9" s="10" t="s">
        <v>133</v>
      </c>
    </row>
    <row r="10">
      <c r="A10" s="26" t="str">
        <f>IFERROR(__xludf.DUMMYFUNCTION("FILTER(G17:G52, I17:I52=A8)
"),"TIMS")</f>
        <v>TIMS</v>
      </c>
      <c r="B10" s="10" t="str">
        <f>IFERROR(__xludf.DUMMYFUNCTION("FILTER(G17:G52, I17:I52=B8)
"),"TIMS")</f>
        <v>TIMS</v>
      </c>
      <c r="C10" s="10" t="str">
        <f>IFERROR(__xludf.DUMMYFUNCTION("FILTER(G17:G52, I17:I52=C8)
"),"McDonalds")</f>
        <v>McDonalds</v>
      </c>
      <c r="D10" s="26" t="str">
        <f>IFERROR(__xludf.DUMMYFUNCTION("FILTER(G17:G52, I17:I52=D8)
"),"Metro")</f>
        <v>Metro</v>
      </c>
      <c r="E10" s="69" t="str">
        <f>IFERROR(__xludf.DUMMYFUNCTION("FILTER(G17:G52, I17:I52=E8)
"),"Phone Case")</f>
        <v>Phone Case</v>
      </c>
      <c r="F10" s="26" t="str">
        <f>IFERROR(__xludf.DUMMYFUNCTION("FILTER(G17:G52, I17:I52=F8)
"),"TIMS")</f>
        <v>TIMS</v>
      </c>
      <c r="G10" s="26" t="str">
        <f>IFERROR(__xludf.DUMMYFUNCTION("FILTER(G17:G52, I17:I52=G8)
"),"TIMS")</f>
        <v>TIMS</v>
      </c>
      <c r="H10" s="26" t="str">
        <f>IFERROR(__xludf.DUMMYFUNCTION("FILTER(G17:G52, I17:I52=H8)
"),"TIMS")</f>
        <v>TIMS</v>
      </c>
      <c r="I10" s="10" t="str">
        <f>IFERROR(__xludf.DUMMYFUNCTION("FILTER(G16:G51, I16:I51=I8)
"),"TIMS")</f>
        <v>TIMS</v>
      </c>
      <c r="J10" s="26" t="str">
        <f>IFERROR(__xludf.DUMMYFUNCTION("FILTER(G15:G50, I15:I50=J8)
"),"TIMS")</f>
        <v>TIMS</v>
      </c>
      <c r="K10" s="26" t="str">
        <f>IFERROR(__xludf.DUMMYFUNCTION("FILTER(G15:G50, I15:I50=K8)
"),"TIMS")</f>
        <v>TIMS</v>
      </c>
      <c r="L10" s="26" t="str">
        <f>IFERROR(__xludf.DUMMYFUNCTION("FILTER(G15:G65, I15:I65=L8)
"),"Dispo")</f>
        <v>Dispo</v>
      </c>
      <c r="M10" s="10" t="str">
        <f>IFERROR(__xludf.DUMMYFUNCTION("FILTER(G15:G65, I15:I65=M8)
"),"TIMS")</f>
        <v>TIMS</v>
      </c>
      <c r="N10" s="26" t="str">
        <f>IFERROR(__xludf.DUMMYFUNCTION("FILTER(G15:G65, I15:I65=N8)
"),"TIMS")</f>
        <v>TIMS</v>
      </c>
      <c r="O10" s="183"/>
      <c r="P10" s="10" t="s">
        <v>134</v>
      </c>
    </row>
    <row r="11">
      <c r="B11" s="26" t="str">
        <f>IFERROR(__xludf.DUMMYFUNCTION("""COMPUTED_VALUE"""),"Wal Mart")</f>
        <v>Wal Mart</v>
      </c>
      <c r="C11" s="26" t="str">
        <f>IFERROR(__xludf.DUMMYFUNCTION("""COMPUTED_VALUE"""),"Platos")</f>
        <v>Platos</v>
      </c>
      <c r="E11" s="53" t="str">
        <f>IFERROR(__xludf.DUMMYFUNCTION("""COMPUTED_VALUE"""),"Gi")</f>
        <v>Gi</v>
      </c>
      <c r="F11" s="26" t="str">
        <f>IFERROR(__xludf.DUMMYFUNCTION("""COMPUTED_VALUE"""),"Taco Bell")</f>
        <v>Taco Bell</v>
      </c>
      <c r="G11" s="26" t="str">
        <f>IFERROR(__xludf.DUMMYFUNCTION("""COMPUTED_VALUE"""),"Food Basics")</f>
        <v>Food Basics</v>
      </c>
      <c r="H11" s="26" t="str">
        <f>IFERROR(__xludf.DUMMYFUNCTION("""COMPUTED_VALUE"""),"LCBO")</f>
        <v>LCBO</v>
      </c>
      <c r="I11" s="26" t="str">
        <f>IFERROR(__xludf.DUMMYFUNCTION("""COMPUTED_VALUE"""),"Dollarama")</f>
        <v>Dollarama</v>
      </c>
      <c r="K11" s="26" t="str">
        <f>IFERROR(__xludf.DUMMYFUNCTION("""COMPUTED_VALUE"""),"Big Time")</f>
        <v>Big Time</v>
      </c>
      <c r="L11" s="26" t="str">
        <f>IFERROR(__xludf.DUMMYFUNCTION("""COMPUTED_VALUE"""),"TIMS")</f>
        <v>TIMS</v>
      </c>
      <c r="M11" s="26" t="str">
        <f>IFERROR(__xludf.DUMMYFUNCTION("""COMPUTED_VALUE"""),"McDonalds")</f>
        <v>McDonalds</v>
      </c>
      <c r="N11" s="26" t="str">
        <f>IFERROR(__xludf.DUMMYFUNCTION("""COMPUTED_VALUE"""),"Wal Mart")</f>
        <v>Wal Mart</v>
      </c>
    </row>
    <row r="12">
      <c r="B12" s="26" t="str">
        <f>IFERROR(__xludf.DUMMYFUNCTION("""COMPUTED_VALUE"""),"LCBO")</f>
        <v>LCBO</v>
      </c>
      <c r="E12" s="26" t="str">
        <f>IFERROR(__xludf.DUMMYFUNCTION("""COMPUTED_VALUE"""),"TIMS")</f>
        <v>TIMS</v>
      </c>
      <c r="I12" s="26" t="str">
        <f>IFERROR(__xludf.DUMMYFUNCTION("""COMPUTED_VALUE"""),"TIMS")</f>
        <v>TIMS</v>
      </c>
      <c r="L12" s="26" t="str">
        <f>IFERROR(__xludf.DUMMYFUNCTION("""COMPUTED_VALUE"""),"McDonalds")</f>
        <v>McDonalds</v>
      </c>
      <c r="N12" s="26" t="str">
        <f>IFERROR(__xludf.DUMMYFUNCTION("""COMPUTED_VALUE"""),"Wal Mart")</f>
        <v>Wal Mart</v>
      </c>
    </row>
    <row r="13">
      <c r="A13" s="77"/>
      <c r="B13" s="77" t="str">
        <f>IFERROR(__xludf.DUMMYFUNCTION("""COMPUTED_VALUE"""),"LCBO")</f>
        <v>LCBO</v>
      </c>
      <c r="E13" s="26" t="str">
        <f>IFERROR(__xludf.DUMMYFUNCTION("""COMPUTED_VALUE"""),"Gas")</f>
        <v>Gas</v>
      </c>
      <c r="L13" s="26" t="str">
        <f>IFERROR(__xludf.DUMMYFUNCTION("""COMPUTED_VALUE"""),"McDonalds")</f>
        <v>McDonalds</v>
      </c>
    </row>
    <row r="14">
      <c r="A14" s="77"/>
      <c r="B14" s="77" t="str">
        <f>IFERROR(__xludf.DUMMYFUNCTION("""COMPUTED_VALUE"""),"Republik")</f>
        <v>Republik</v>
      </c>
      <c r="K14" s="10" t="s">
        <v>122</v>
      </c>
    </row>
    <row r="15">
      <c r="A15" s="78"/>
      <c r="B15" s="78" t="str">
        <f>IFERROR(__xludf.DUMMYFUNCTION("""COMPUTED_VALUE"""),"Seven 11")</f>
        <v>Seven 11</v>
      </c>
    </row>
    <row r="16">
      <c r="A16" s="56">
        <f>IFERROR(__xludf.DUMMYFUNCTION("SUM(FILTER(H17:H52, I17:I52=A8))
"),2.17)</f>
        <v>2.17</v>
      </c>
      <c r="B16" s="56">
        <f>IFERROR(__xludf.DUMMYFUNCTION("SUM(FILTER(H17:H52, I17:I52=B8))
"),98.18)</f>
        <v>98.18</v>
      </c>
      <c r="C16" s="56">
        <f>IFERROR(__xludf.DUMMYFUNCTION("SUM(FILTER(H17:H52, I17:I52=C8))
"),6.95)</f>
        <v>6.95</v>
      </c>
      <c r="D16" s="56">
        <f>IFERROR(__xludf.DUMMYFUNCTION("SUM(FILTER(H17:H52, I17:I52=D8))
"),6.17)</f>
        <v>6.17</v>
      </c>
      <c r="E16" s="56">
        <f>IFERROR(__xludf.DUMMYFUNCTION("SUM(FILTER(H17:H52, I17:I52=E8))
"),178.66)</f>
        <v>178.66</v>
      </c>
      <c r="F16" s="56">
        <f>IFERROR(__xludf.DUMMYFUNCTION("SUM(FILTER(H17:H52, I17:I52=F8))
"),19.54)</f>
        <v>19.54</v>
      </c>
      <c r="G16" s="56">
        <f>IFERROR(__xludf.DUMMYFUNCTION("SUM(FILTER(H17:H52, I17:I52=G8))
"),5.16)</f>
        <v>5.16</v>
      </c>
      <c r="H16" s="56">
        <f>IFERROR(__xludf.DUMMYFUNCTION("SUM(FILTER(H17:H52, I17:I52=H8))
"),15.41)</f>
        <v>15.41</v>
      </c>
      <c r="I16" s="56">
        <f>IFERROR(__xludf.DUMMYFUNCTION("SUM(FILTER(H17:H52, I17:I52=I8))
"),11.35)</f>
        <v>11.35</v>
      </c>
      <c r="J16" s="56">
        <f>IFERROR(__xludf.DUMMYFUNCTION("SUM(FILTER(H17:H52, I17:I52=J8))
"),4.79)</f>
        <v>4.79</v>
      </c>
      <c r="K16" s="56">
        <f>IFERROR(__xludf.DUMMYFUNCTION("SUM(FILTER(H17:H52, I17:I52=K8))
"),30.86)</f>
        <v>30.86</v>
      </c>
      <c r="L16" s="56">
        <f>IFERROR(__xludf.DUMMYFUNCTION("SUM(FILTER(H17:H52, I17:I52=L8))
"),41.22)</f>
        <v>41.22</v>
      </c>
      <c r="M16" s="56">
        <f>IFERROR(__xludf.DUMMYFUNCTION("SUM(FILTER(H17:H62, I17:I62=M8))
"),10.51)</f>
        <v>10.51</v>
      </c>
      <c r="N16" s="35">
        <f>IFERROR(__xludf.DUMMYFUNCTION("SUM(FILTER(H17:H62, I17:I62=N8))
"),65.72)</f>
        <v>65.72</v>
      </c>
    </row>
    <row r="17">
      <c r="A17" s="10" t="s">
        <v>462</v>
      </c>
      <c r="E17" s="79" t="s">
        <v>135</v>
      </c>
      <c r="F17" s="80">
        <f>COUNTIF(G18:G1002, "TIMS")+COUNTIF(G18:G1002, "Casa Miro")+COUNTIF(G18:G1002, "Toto")+COUNTIF(G18:G1002, "Coffee Exchange")+COUNTIF(G18:G1002, "Ciao Caffe")
</f>
        <v>13</v>
      </c>
      <c r="G17" s="81"/>
      <c r="H17" s="81"/>
      <c r="I17" s="82"/>
      <c r="J17" s="83" t="s">
        <v>136</v>
      </c>
      <c r="K17" s="84"/>
      <c r="L17" s="84"/>
      <c r="M17" s="84"/>
      <c r="N17" s="84"/>
    </row>
    <row r="18">
      <c r="A18" s="10" t="s">
        <v>485</v>
      </c>
      <c r="C18" s="10" t="s">
        <v>486</v>
      </c>
      <c r="E18" s="87" t="s">
        <v>138</v>
      </c>
      <c r="F18" s="88">
        <f>SUMIF(G18:G50, "Dispo", H18:H50)+SUMIF(G18:G50, "c cabana", H18:H50)</f>
        <v>27.91</v>
      </c>
      <c r="G18" s="10" t="s">
        <v>150</v>
      </c>
      <c r="H18" s="10">
        <v>2.17</v>
      </c>
      <c r="I18" s="62">
        <v>45744.0</v>
      </c>
      <c r="J18" s="89"/>
      <c r="K18" s="90"/>
      <c r="L18" s="19" t="s">
        <v>140</v>
      </c>
      <c r="M18" s="19"/>
      <c r="N18" s="19" t="s">
        <v>141</v>
      </c>
    </row>
    <row r="19">
      <c r="E19" s="92" t="s">
        <v>145</v>
      </c>
      <c r="F19" s="92">
        <f>SUMIF(G18:G50, "Republik", H18:H50)+SUMIF(G18:G50, "Stacked", H18:H50)+SUMIF(G18:G50, "Halibut House", H18:H50)+SUMIF(G18:G50, "Keg", H18:H50)+SUMIF(G18:G50, "Ramen", H18:H50)+SUMIF(G18:G50, "Pizza", H18:H50) +SUMIF(G18:G50, "A&amp;W", H18:H50) + SUMIF(G18:G50, "Chucks", H18:H50) + SUMIF(G18:G50, "Cookie Bar", H18:H50) + SUMIF(G18:G50, "Burger King", H18:H50) + SUMIF(G18:G50, "Pho", H18:H50)+SUMIF(G18:G50, "Wendys", H18:H50)+SUMIF(G18:G50, "Hot Tacos", H18:H50)+SUMIF(G18:G50, "Popeyes", H18:H50)+SUMIF(G18:G50, "Chucks", H18:H50)</f>
        <v>40.03</v>
      </c>
      <c r="G19" s="21" t="s">
        <v>150</v>
      </c>
      <c r="H19" s="94">
        <v>4.79</v>
      </c>
      <c r="I19" s="109">
        <v>45745.0</v>
      </c>
      <c r="J19" s="93" t="s">
        <v>487</v>
      </c>
      <c r="K19" s="90"/>
      <c r="L19" s="21" t="s">
        <v>147</v>
      </c>
      <c r="M19" s="94">
        <v>40.0</v>
      </c>
      <c r="N19" s="19"/>
    </row>
    <row r="20">
      <c r="E20" s="54" t="s">
        <v>27</v>
      </c>
      <c r="F20" s="95">
        <f>SUMIF(G18:G60, "Gas", H18:H60)</f>
        <v>60</v>
      </c>
      <c r="G20" s="21" t="s">
        <v>171</v>
      </c>
      <c r="H20" s="94">
        <v>32.59</v>
      </c>
      <c r="I20" s="109">
        <v>45745.0</v>
      </c>
      <c r="J20" s="93" t="s">
        <v>488</v>
      </c>
      <c r="K20" s="96"/>
      <c r="L20" s="19" t="s">
        <v>151</v>
      </c>
      <c r="M20" s="97">
        <v>120.0</v>
      </c>
      <c r="N20" s="19" t="s">
        <v>152</v>
      </c>
      <c r="P20" s="26">
        <f>H21/28</f>
        <v>0.2728571429</v>
      </c>
    </row>
    <row r="21">
      <c r="A21" s="10" t="s">
        <v>153</v>
      </c>
      <c r="B21" s="10" t="s">
        <v>154</v>
      </c>
      <c r="E21" s="85" t="s">
        <v>155</v>
      </c>
      <c r="F21" s="86">
        <f>SUMIF(G18:G50, "McDonalds", H18:H50) </f>
        <v>23.04</v>
      </c>
      <c r="G21" s="21" t="s">
        <v>254</v>
      </c>
      <c r="H21" s="94">
        <v>7.64</v>
      </c>
      <c r="I21" s="109">
        <v>45745.0</v>
      </c>
      <c r="J21" s="93" t="s">
        <v>489</v>
      </c>
      <c r="K21" s="90"/>
      <c r="L21" s="98" t="s">
        <v>157</v>
      </c>
      <c r="M21" s="94">
        <v>1000.0</v>
      </c>
      <c r="N21" s="19"/>
    </row>
    <row r="22">
      <c r="A22" s="10" t="s">
        <v>158</v>
      </c>
      <c r="B22" s="10" t="s">
        <v>159</v>
      </c>
      <c r="E22" s="10" t="s">
        <v>160</v>
      </c>
      <c r="F22" s="10">
        <f>SUMIF(G18:G50, "Urbn Planet", H18:H50)+SUMIF(G18:G50, "Winners", H18:H50) +SUMIF(G18:G50, "Platos", H18:H50) </f>
        <v>3.39</v>
      </c>
      <c r="G22" s="21" t="s">
        <v>254</v>
      </c>
      <c r="H22" s="94">
        <v>8.54</v>
      </c>
      <c r="I22" s="109">
        <v>45745.0</v>
      </c>
      <c r="J22" s="93" t="s">
        <v>378</v>
      </c>
      <c r="K22" s="90"/>
      <c r="L22" s="21" t="s">
        <v>162</v>
      </c>
      <c r="M22" s="97"/>
      <c r="N22" s="19"/>
    </row>
    <row r="23">
      <c r="A23" s="10" t="s">
        <v>165</v>
      </c>
      <c r="B23" s="10" t="s">
        <v>166</v>
      </c>
      <c r="E23" s="10" t="s">
        <v>117</v>
      </c>
      <c r="F23" s="26">
        <f>0</f>
        <v>0</v>
      </c>
      <c r="G23" s="21" t="s">
        <v>490</v>
      </c>
      <c r="H23" s="94">
        <v>40.03</v>
      </c>
      <c r="I23" s="109">
        <v>45745.0</v>
      </c>
      <c r="J23" s="89" t="s">
        <v>487</v>
      </c>
      <c r="K23" s="90"/>
      <c r="L23" s="21" t="s">
        <v>167</v>
      </c>
      <c r="M23" s="94">
        <v>30.0</v>
      </c>
      <c r="N23" s="19"/>
    </row>
    <row r="24">
      <c r="E24" s="102" t="s">
        <v>170</v>
      </c>
      <c r="F24" s="33">
        <f>SUMIF(G18:G50, "LCBO", H18:H50) + SUMIF(G18:G50, "Beer Store", H18:H50)+ SUMIF(G18:G50, "Drinks", H18:H50)+SUMIF(G18:G50, "Beer", H18:H50)+SUMIF(G18:G50, "Wine", H18:H50)</f>
        <v>27.75</v>
      </c>
      <c r="G24" s="21" t="s">
        <v>309</v>
      </c>
      <c r="H24" s="94">
        <v>4.59</v>
      </c>
      <c r="I24" s="109">
        <v>45745.0</v>
      </c>
      <c r="J24" s="89" t="s">
        <v>491</v>
      </c>
      <c r="K24" s="90"/>
      <c r="L24" s="19"/>
      <c r="M24" s="97"/>
      <c r="N24" s="19"/>
    </row>
    <row r="25">
      <c r="A25" s="10" t="s">
        <v>172</v>
      </c>
      <c r="E25" s="105" t="s">
        <v>173</v>
      </c>
      <c r="F25" s="106">
        <f>SUMIF(G18:G50, "TIMS", H18:H50) + SUMIF(G18:G50, "Casa Miro", H18:H50) + SUMIF(G18:G50, "Toto", H18:H50) + SUMIF(G18:G50, "Coffee Exchange", H18:H50)+ SUMIF(G18:G50, "Ciao Caffe", H18:H50)+ SUMIF(G18:G50, "Starbucks", H18:H50)
</f>
        <v>40.85</v>
      </c>
      <c r="G25" s="21" t="s">
        <v>155</v>
      </c>
      <c r="H25" s="94">
        <v>3.56</v>
      </c>
      <c r="I25" s="109">
        <v>45746.0</v>
      </c>
      <c r="J25" s="89"/>
      <c r="K25" s="19"/>
      <c r="L25" s="19"/>
      <c r="M25" s="107"/>
      <c r="N25" s="19"/>
    </row>
    <row r="26">
      <c r="A26" s="107"/>
      <c r="B26" s="166"/>
      <c r="C26" s="109"/>
      <c r="D26" s="19"/>
      <c r="E26" s="79" t="s">
        <v>52</v>
      </c>
      <c r="F26" s="110">
        <f>SUM(F18:F25)
</f>
        <v>222.97</v>
      </c>
      <c r="G26" s="21" t="s">
        <v>492</v>
      </c>
      <c r="H26" s="94">
        <v>3.39</v>
      </c>
      <c r="I26" s="109">
        <v>45746.0</v>
      </c>
      <c r="J26" s="89" t="s">
        <v>493</v>
      </c>
      <c r="K26" s="21" t="s">
        <v>174</v>
      </c>
      <c r="L26" s="19" t="s">
        <v>52</v>
      </c>
      <c r="M26" s="97">
        <f>M20++M19+M21+M22+M24+M23+M25</f>
        <v>1190</v>
      </c>
    </row>
    <row r="27">
      <c r="A27" s="107" t="s">
        <v>494</v>
      </c>
      <c r="B27" s="193">
        <v>45.0</v>
      </c>
      <c r="C27" s="184">
        <v>45757.0</v>
      </c>
      <c r="D27" s="19"/>
      <c r="E27" s="79" t="s">
        <v>177</v>
      </c>
      <c r="F27" s="111">
        <f>I1/(15-F3)</f>
        <v>3.065987654</v>
      </c>
      <c r="G27" s="21" t="s">
        <v>261</v>
      </c>
      <c r="H27" s="94">
        <v>6.17</v>
      </c>
      <c r="I27" s="109">
        <v>45747.0</v>
      </c>
      <c r="J27" s="89" t="s">
        <v>495</v>
      </c>
      <c r="K27" s="21" t="s">
        <v>164</v>
      </c>
      <c r="L27" s="10"/>
    </row>
    <row r="28">
      <c r="A28" s="21"/>
      <c r="B28" s="94"/>
      <c r="C28" s="109"/>
      <c r="D28" s="19"/>
      <c r="E28" s="10" t="s">
        <v>180</v>
      </c>
      <c r="F28" s="26">
        <f>I1-F26
</f>
        <v>273.72</v>
      </c>
      <c r="G28" s="19" t="s">
        <v>496</v>
      </c>
      <c r="H28" s="194">
        <v>39.54</v>
      </c>
      <c r="I28" s="184">
        <v>45748.0</v>
      </c>
      <c r="J28" s="89"/>
      <c r="K28" s="21" t="s">
        <v>182</v>
      </c>
    </row>
    <row r="29">
      <c r="A29" s="107"/>
      <c r="B29" s="97"/>
      <c r="C29" s="184"/>
      <c r="D29" s="19"/>
      <c r="E29" s="10" t="s">
        <v>171</v>
      </c>
      <c r="F29" s="26">
        <f>SUMIF(G18:G60, "Wal Mart", H18:H60) </f>
        <v>93.4</v>
      </c>
      <c r="G29" s="107" t="s">
        <v>497</v>
      </c>
      <c r="H29" s="28">
        <v>76.84</v>
      </c>
      <c r="I29" s="184">
        <v>45748.0</v>
      </c>
      <c r="J29" s="93"/>
      <c r="K29" s="10" t="s">
        <v>325</v>
      </c>
    </row>
    <row r="30">
      <c r="A30" s="21" t="s">
        <v>422</v>
      </c>
      <c r="B30" s="94">
        <v>37.0</v>
      </c>
      <c r="C30" s="109">
        <v>45748.0</v>
      </c>
      <c r="D30" s="89" t="s">
        <v>423</v>
      </c>
      <c r="F30" s="135"/>
      <c r="G30" s="21" t="s">
        <v>150</v>
      </c>
      <c r="H30" s="94">
        <v>2.28</v>
      </c>
      <c r="I30" s="109">
        <v>45748.0</v>
      </c>
      <c r="J30" s="19"/>
      <c r="K30" s="10" t="s">
        <v>327</v>
      </c>
    </row>
    <row r="31">
      <c r="A31" s="21" t="s">
        <v>424</v>
      </c>
      <c r="B31" s="94">
        <v>32.34</v>
      </c>
      <c r="C31" s="109">
        <v>45748.0</v>
      </c>
      <c r="D31" s="89"/>
      <c r="F31" s="135"/>
      <c r="G31" s="107" t="s">
        <v>27</v>
      </c>
      <c r="H31" s="28">
        <v>60.0</v>
      </c>
      <c r="I31" s="109">
        <v>45748.0</v>
      </c>
      <c r="J31" s="19"/>
      <c r="K31" s="10" t="s">
        <v>329</v>
      </c>
      <c r="L31" s="10"/>
    </row>
    <row r="32">
      <c r="A32" s="10"/>
      <c r="B32" s="10"/>
      <c r="C32" s="62"/>
      <c r="F32" s="135"/>
      <c r="G32" s="21" t="s">
        <v>150</v>
      </c>
      <c r="H32" s="94">
        <v>2.29</v>
      </c>
      <c r="I32" s="109">
        <v>45749.0</v>
      </c>
      <c r="J32" s="93"/>
      <c r="K32" s="10" t="s">
        <v>192</v>
      </c>
      <c r="N32" s="10" t="s">
        <v>193</v>
      </c>
    </row>
    <row r="33">
      <c r="A33" s="56" t="s">
        <v>470</v>
      </c>
      <c r="B33" s="56">
        <v>30.0</v>
      </c>
      <c r="C33" s="56" t="s">
        <v>471</v>
      </c>
      <c r="D33" s="10" t="s">
        <v>498</v>
      </c>
      <c r="E33" s="135"/>
      <c r="F33" s="135"/>
      <c r="G33" s="10" t="s">
        <v>318</v>
      </c>
      <c r="H33" s="10">
        <v>17.25</v>
      </c>
      <c r="I33" s="62">
        <v>45749.0</v>
      </c>
      <c r="J33" s="93" t="s">
        <v>499</v>
      </c>
      <c r="K33" s="135"/>
    </row>
    <row r="34">
      <c r="E34" s="135"/>
      <c r="F34" s="167"/>
      <c r="G34" s="21" t="s">
        <v>150</v>
      </c>
      <c r="H34" s="94">
        <v>2.17</v>
      </c>
      <c r="I34" s="109">
        <v>45750.0</v>
      </c>
      <c r="J34" s="93"/>
      <c r="K34" s="135"/>
    </row>
    <row r="35">
      <c r="E35" s="135"/>
      <c r="F35" s="132"/>
      <c r="G35" s="21" t="s">
        <v>195</v>
      </c>
      <c r="H35" s="94">
        <v>2.99</v>
      </c>
      <c r="I35" s="109">
        <v>45750.0</v>
      </c>
      <c r="J35" s="93" t="s">
        <v>500</v>
      </c>
      <c r="K35" s="132"/>
    </row>
    <row r="36">
      <c r="E36" s="135"/>
      <c r="F36" s="135"/>
      <c r="G36" s="10" t="s">
        <v>150</v>
      </c>
      <c r="H36" s="10">
        <v>3.84</v>
      </c>
      <c r="I36" s="62">
        <v>45751.0</v>
      </c>
      <c r="J36" s="195" t="s">
        <v>501</v>
      </c>
      <c r="K36" s="24"/>
    </row>
    <row r="37">
      <c r="A37" s="84"/>
      <c r="B37" s="84"/>
      <c r="C37" s="84"/>
      <c r="D37" s="84"/>
      <c r="E37" s="84"/>
      <c r="F37" s="84"/>
      <c r="G37" s="10" t="s">
        <v>254</v>
      </c>
      <c r="H37" s="10">
        <v>11.57</v>
      </c>
      <c r="I37" s="62">
        <v>45751.0</v>
      </c>
      <c r="J37" s="93" t="s">
        <v>502</v>
      </c>
      <c r="K37" s="135"/>
    </row>
    <row r="38">
      <c r="A38" s="85" t="s">
        <v>87</v>
      </c>
      <c r="B38" s="10">
        <v>31200.0</v>
      </c>
      <c r="E38" s="85" t="s">
        <v>363</v>
      </c>
      <c r="F38" s="132">
        <v>200.0</v>
      </c>
      <c r="G38" s="10" t="s">
        <v>150</v>
      </c>
      <c r="H38" s="10">
        <v>2.29</v>
      </c>
      <c r="I38" s="62">
        <v>45752.0</v>
      </c>
      <c r="J38" s="93"/>
      <c r="K38" s="135"/>
    </row>
    <row r="39">
      <c r="A39" s="85" t="s">
        <v>364</v>
      </c>
      <c r="B39" s="10">
        <v>36008.0</v>
      </c>
      <c r="E39" s="85" t="s">
        <v>365</v>
      </c>
      <c r="F39" s="135">
        <f>F38*5</f>
        <v>1000</v>
      </c>
      <c r="G39" s="10" t="s">
        <v>259</v>
      </c>
      <c r="H39" s="10">
        <v>6.78</v>
      </c>
      <c r="I39" s="62">
        <v>45752.0</v>
      </c>
      <c r="J39" s="93"/>
      <c r="K39" s="132"/>
    </row>
    <row r="40">
      <c r="A40" s="85" t="s">
        <v>52</v>
      </c>
      <c r="B40" s="26">
        <f>SUM(B38:B39)
</f>
        <v>67208</v>
      </c>
      <c r="E40" s="85" t="s">
        <v>366</v>
      </c>
      <c r="F40" s="135">
        <f>F39*4</f>
        <v>4000</v>
      </c>
      <c r="G40" s="10" t="s">
        <v>150</v>
      </c>
      <c r="H40" s="10">
        <v>2.28</v>
      </c>
      <c r="I40" s="62">
        <v>45752.0</v>
      </c>
      <c r="J40" s="93"/>
      <c r="K40" s="135"/>
    </row>
    <row r="41">
      <c r="A41" s="126" t="s">
        <v>367</v>
      </c>
      <c r="B41" s="168"/>
      <c r="C41" s="169">
        <f>TODAY()
</f>
        <v>45905</v>
      </c>
      <c r="E41" s="85" t="s">
        <v>368</v>
      </c>
      <c r="F41" s="135">
        <f>F40*12</f>
        <v>48000</v>
      </c>
      <c r="G41" s="10" t="s">
        <v>150</v>
      </c>
      <c r="H41" s="10">
        <v>4.79</v>
      </c>
      <c r="I41" s="62">
        <v>45753.0</v>
      </c>
      <c r="J41" s="93"/>
      <c r="K41" s="135"/>
    </row>
    <row r="42">
      <c r="A42" s="10" t="s">
        <v>369</v>
      </c>
      <c r="B42" s="26">
        <f>B40*(C42/100)</f>
        <v>8737.04</v>
      </c>
      <c r="C42" s="10">
        <v>13.0</v>
      </c>
      <c r="G42" s="10" t="s">
        <v>150</v>
      </c>
      <c r="H42" s="10">
        <v>4.7</v>
      </c>
      <c r="I42" s="62">
        <v>45754.0</v>
      </c>
    </row>
    <row r="43">
      <c r="G43" s="10" t="s">
        <v>503</v>
      </c>
      <c r="H43" s="10">
        <v>26.16</v>
      </c>
      <c r="I43" s="62">
        <v>45754.0</v>
      </c>
    </row>
    <row r="44">
      <c r="G44" s="10" t="s">
        <v>257</v>
      </c>
      <c r="H44" s="10">
        <v>27.91</v>
      </c>
      <c r="I44" s="62">
        <v>45755.0</v>
      </c>
      <c r="J44" s="165"/>
    </row>
    <row r="45">
      <c r="G45" s="10" t="s">
        <v>150</v>
      </c>
      <c r="H45" s="10">
        <v>2.17</v>
      </c>
      <c r="I45" s="62">
        <v>45755.0</v>
      </c>
    </row>
    <row r="46">
      <c r="G46" s="10" t="s">
        <v>155</v>
      </c>
      <c r="H46" s="10">
        <v>7.76</v>
      </c>
      <c r="I46" s="62">
        <v>45755.0</v>
      </c>
    </row>
    <row r="47">
      <c r="G47" s="10" t="s">
        <v>155</v>
      </c>
      <c r="H47" s="10">
        <v>3.38</v>
      </c>
      <c r="I47" s="62">
        <v>45755.0</v>
      </c>
    </row>
    <row r="48">
      <c r="G48" s="10" t="s">
        <v>150</v>
      </c>
      <c r="H48" s="10">
        <v>2.17</v>
      </c>
      <c r="I48" s="121">
        <v>45756.0</v>
      </c>
    </row>
    <row r="49">
      <c r="G49" s="10" t="s">
        <v>155</v>
      </c>
      <c r="H49" s="10">
        <v>8.34</v>
      </c>
      <c r="I49" s="121">
        <v>45756.0</v>
      </c>
    </row>
    <row r="50">
      <c r="G50" s="10" t="s">
        <v>150</v>
      </c>
      <c r="H50" s="10">
        <v>4.91</v>
      </c>
      <c r="I50" s="121">
        <v>45757.0</v>
      </c>
    </row>
    <row r="51">
      <c r="G51" s="10" t="s">
        <v>171</v>
      </c>
      <c r="H51" s="10">
        <v>30.48</v>
      </c>
      <c r="I51" s="121">
        <v>45757.0</v>
      </c>
      <c r="J51" s="10" t="s">
        <v>504</v>
      </c>
    </row>
    <row r="52">
      <c r="G52" s="10" t="s">
        <v>171</v>
      </c>
      <c r="H52" s="10">
        <v>30.33</v>
      </c>
      <c r="I52" s="62">
        <v>45757.0</v>
      </c>
      <c r="J52" s="10" t="s">
        <v>505</v>
      </c>
    </row>
    <row r="53">
      <c r="I53" s="62"/>
    </row>
  </sheetData>
  <conditionalFormatting sqref="I1">
    <cfRule type="notContainsBlanks" dxfId="2" priority="1">
      <formula>LEN(TRIM(I1))&gt;0</formula>
    </cfRule>
  </conditionalFormatting>
  <conditionalFormatting sqref="A9:N15">
    <cfRule type="cellIs" dxfId="3" priority="2" operator="equal">
      <formula>"TIMS"</formula>
    </cfRule>
  </conditionalFormatting>
  <conditionalFormatting sqref="A9:N15">
    <cfRule type="cellIs" dxfId="4" priority="3" operator="equal">
      <formula>"Dispo"</formula>
    </cfRule>
  </conditionalFormatting>
  <conditionalFormatting sqref="A9:N15">
    <cfRule type="cellIs" dxfId="1" priority="4" operator="equal">
      <formula>"Gas"</formula>
    </cfRule>
  </conditionalFormatting>
  <conditionalFormatting sqref="G18:G56 A26:A27 A30:A31">
    <cfRule type="cellIs" dxfId="3" priority="5" operator="equal">
      <formula>"TIMS"</formula>
    </cfRule>
  </conditionalFormatting>
  <conditionalFormatting sqref="G18:G56 A26:A27 A30:A31">
    <cfRule type="cellIs" dxfId="4" priority="6" operator="equal">
      <formula>"Dispo"</formula>
    </cfRule>
  </conditionalFormatting>
  <conditionalFormatting sqref="G18:G56 A26:A27 A30:A31">
    <cfRule type="cellIs" dxfId="5" priority="7" operator="equal">
      <formula>"McDonalds"</formula>
    </cfRule>
  </conditionalFormatting>
  <conditionalFormatting sqref="H18:H60 B26:B28 B30:B31">
    <cfRule type="cellIs" dxfId="1" priority="8" operator="greaterThan">
      <formula>60</formula>
    </cfRule>
  </conditionalFormatting>
  <conditionalFormatting sqref="H18:H60 B26:B28 B30:B31">
    <cfRule type="cellIs" dxfId="6" priority="9" operator="between">
      <formula>30</formula>
      <formula>60</formula>
    </cfRule>
  </conditionalFormatting>
  <conditionalFormatting sqref="I5">
    <cfRule type="cellIs" dxfId="0" priority="10" operator="greaterThan">
      <formula>0</formula>
    </cfRule>
  </conditionalFormatting>
  <conditionalFormatting sqref="I5">
    <cfRule type="cellIs" dxfId="1" priority="11" operator="lessThanOrEqual">
      <formula>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181"/>
      <c r="C1" s="1"/>
      <c r="E1" s="54" t="s">
        <v>114</v>
      </c>
      <c r="F1" s="55">
        <f>TODAY()
</f>
        <v>45905</v>
      </c>
      <c r="H1" s="56" t="s">
        <v>115</v>
      </c>
      <c r="I1" s="32">
        <f>SUM(IFERROR(16:16, 0))
</f>
        <v>738.6</v>
      </c>
      <c r="K1" s="10" t="s">
        <v>265</v>
      </c>
      <c r="M1" s="10" t="s">
        <v>266</v>
      </c>
      <c r="O1" s="10" t="s">
        <v>116</v>
      </c>
    </row>
    <row r="2">
      <c r="C2" s="62"/>
      <c r="E2" s="10" t="s">
        <v>118</v>
      </c>
      <c r="F2" s="60">
        <v>45743.0</v>
      </c>
      <c r="H2" s="56" t="s">
        <v>119</v>
      </c>
      <c r="I2" s="61">
        <f>600+40+45+40</f>
        <v>725</v>
      </c>
      <c r="K2" s="10" t="s">
        <v>173</v>
      </c>
      <c r="L2" s="10">
        <v>40.0</v>
      </c>
      <c r="M2" s="10" t="s">
        <v>267</v>
      </c>
      <c r="O2" s="10" t="s">
        <v>506</v>
      </c>
    </row>
    <row r="3">
      <c r="C3" s="62"/>
      <c r="E3" s="10" t="s">
        <v>120</v>
      </c>
      <c r="F3" s="26">
        <f>F2-F1+1
</f>
        <v>-161</v>
      </c>
      <c r="H3" s="24" t="s">
        <v>80</v>
      </c>
      <c r="I3" s="56">
        <f>I2-I1
</f>
        <v>-13.6</v>
      </c>
      <c r="K3" s="10" t="s">
        <v>268</v>
      </c>
      <c r="L3" s="10" t="s">
        <v>269</v>
      </c>
      <c r="M3" s="10" t="s">
        <v>270</v>
      </c>
      <c r="O3" s="10" t="s">
        <v>121</v>
      </c>
    </row>
    <row r="4">
      <c r="C4" s="62"/>
      <c r="E4" s="10" t="s">
        <v>49</v>
      </c>
      <c r="F4" s="26">
        <f>I2-I1
</f>
        <v>-13.6</v>
      </c>
      <c r="H4" s="63"/>
      <c r="I4" s="63"/>
      <c r="K4" s="10" t="s">
        <v>27</v>
      </c>
      <c r="L4" s="10" t="s">
        <v>271</v>
      </c>
    </row>
    <row r="5">
      <c r="C5" s="62"/>
      <c r="E5" s="10" t="s">
        <v>122</v>
      </c>
      <c r="H5" s="64" t="s">
        <v>123</v>
      </c>
      <c r="I5" s="64">
        <f>I3/F3
</f>
        <v>0.08447204969</v>
      </c>
    </row>
    <row r="6">
      <c r="C6" s="62"/>
      <c r="E6" s="10" t="s">
        <v>507</v>
      </c>
      <c r="F6" s="10" t="s">
        <v>508</v>
      </c>
      <c r="G6" s="10" t="s">
        <v>509</v>
      </c>
      <c r="K6" s="65"/>
      <c r="R6" s="66"/>
    </row>
    <row r="7">
      <c r="A7" s="53"/>
      <c r="B7" s="53"/>
      <c r="C7" s="67"/>
      <c r="D7" s="70"/>
      <c r="F7" s="172"/>
      <c r="G7" s="67"/>
      <c r="H7" s="53"/>
      <c r="I7" s="53"/>
      <c r="J7" s="182"/>
      <c r="K7" s="44"/>
      <c r="M7" s="44"/>
      <c r="O7" s="177"/>
      <c r="P7" s="10" t="s">
        <v>313</v>
      </c>
    </row>
    <row r="8">
      <c r="A8" s="72">
        <v>45730.0</v>
      </c>
      <c r="B8" s="72">
        <v>45731.0</v>
      </c>
      <c r="C8" s="73">
        <v>45732.0</v>
      </c>
      <c r="D8" s="72">
        <v>45733.0</v>
      </c>
      <c r="E8" s="72">
        <v>45734.0</v>
      </c>
      <c r="F8" s="72">
        <v>45735.0</v>
      </c>
      <c r="G8" s="72">
        <v>45736.0</v>
      </c>
      <c r="H8" s="72">
        <v>45737.0</v>
      </c>
      <c r="I8" s="72">
        <v>45738.0</v>
      </c>
      <c r="J8" s="72">
        <v>45739.0</v>
      </c>
      <c r="K8" s="72">
        <v>45740.0</v>
      </c>
      <c r="L8" s="72">
        <v>45741.0</v>
      </c>
      <c r="M8" s="72">
        <v>45742.0</v>
      </c>
      <c r="N8" s="72">
        <v>45743.0</v>
      </c>
      <c r="O8" s="74"/>
      <c r="P8" s="10" t="s">
        <v>125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  <c r="O9" s="53"/>
      <c r="P9" s="10" t="s">
        <v>133</v>
      </c>
    </row>
    <row r="10">
      <c r="A10" s="26" t="str">
        <f>IFERROR(__xludf.DUMMYFUNCTION("FILTER(G17:G52, I17:I52=A8)
"),"Gas")</f>
        <v>Gas</v>
      </c>
      <c r="B10" s="10" t="str">
        <f>IFERROR(__xludf.DUMMYFUNCTION("FILTER(G17:G52, I17:I52=B8)
"),"TIMS")</f>
        <v>TIMS</v>
      </c>
      <c r="C10" s="32" t="str">
        <f>IFERROR(__xludf.DUMMYFUNCTION("FILTER(G17:G52, I17:I52=C8)
"),"Stacked")</f>
        <v>Stacked</v>
      </c>
      <c r="D10" s="26" t="str">
        <f>IFERROR(__xludf.DUMMYFUNCTION("FILTER(G17:G52, I17:I52=D8)
"),"TIMS")</f>
        <v>TIMS</v>
      </c>
      <c r="E10" s="26" t="str">
        <f>IFERROR(__xludf.DUMMYFUNCTION("FILTER(G17:G52, I17:I52=E8)
"),"Metro")</f>
        <v>Metro</v>
      </c>
      <c r="F10" s="53" t="str">
        <f>IFERROR(__xludf.DUMMYFUNCTION("FILTER(G17:G52, I17:I52=F8)
"),"River's Gift ")</f>
        <v>River's Gift </v>
      </c>
      <c r="G10" s="26" t="str">
        <f>IFERROR(__xludf.DUMMYFUNCTION("FILTER(G17:G52, I17:I52=G8)
"),"McDonalds")</f>
        <v>McDonalds</v>
      </c>
      <c r="H10" s="26" t="str">
        <f>IFERROR(__xludf.DUMMYFUNCTION("FILTER(G17:G52, I17:I52=H8)
"),"Shell")</f>
        <v>Shell</v>
      </c>
      <c r="I10" s="10" t="str">
        <f>IFERROR(__xludf.DUMMYFUNCTION("FILTER(G16:G51, I16:I51=I8)
"),"TIMS")</f>
        <v>TIMS</v>
      </c>
      <c r="J10" s="26" t="str">
        <f>IFERROR(__xludf.DUMMYFUNCTION("FILTER(G15:G50, I15:I50=J8)
"),"TIMS")</f>
        <v>TIMS</v>
      </c>
      <c r="K10" s="26" t="str">
        <f>IFERROR(__xludf.DUMMYFUNCTION("FILTER(G15:G50, I15:I50=K8)
"),"TIMS")</f>
        <v>TIMS</v>
      </c>
      <c r="L10" s="26" t="str">
        <f>IFERROR(__xludf.DUMMYFUNCTION("FILTER(G15:G65, I15:I65=L8)
"),"LCBO")</f>
        <v>LCBO</v>
      </c>
      <c r="M10" s="10" t="str">
        <f>IFERROR(__xludf.DUMMYFUNCTION("FILTER(G15:G65, I15:I65=M8)
"),"TIMS")</f>
        <v>TIMS</v>
      </c>
      <c r="N10" s="26" t="str">
        <f>IFERROR(__xludf.DUMMYFUNCTION("FILTER(G15:G65, I15:I65=N8)
"),"TIMS")</f>
        <v>TIMS</v>
      </c>
      <c r="O10" s="183"/>
      <c r="P10" s="10" t="s">
        <v>134</v>
      </c>
    </row>
    <row r="11">
      <c r="A11" s="26" t="str">
        <f>IFERROR(__xludf.DUMMYFUNCTION("""COMPUTED_VALUE"""),"Dispo")</f>
        <v>Dispo</v>
      </c>
      <c r="B11" s="53" t="str">
        <f>IFERROR(__xludf.DUMMYFUNCTION("""COMPUTED_VALUE"""),"Champs")</f>
        <v>Champs</v>
      </c>
      <c r="C11" s="26" t="str">
        <f>IFERROR(__xludf.DUMMYFUNCTION("""COMPUTED_VALUE"""),"Lighter")</f>
        <v>Lighter</v>
      </c>
      <c r="E11" s="26" t="str">
        <f>IFERROR(__xludf.DUMMYFUNCTION("""COMPUTED_VALUE"""),"TIMS")</f>
        <v>TIMS</v>
      </c>
      <c r="F11" s="26" t="str">
        <f>IFERROR(__xludf.DUMMYFUNCTION("""COMPUTED_VALUE"""),"Booster Juice")</f>
        <v>Booster Juice</v>
      </c>
      <c r="G11" s="26" t="str">
        <f>IFERROR(__xludf.DUMMYFUNCTION("""COMPUTED_VALUE"""),"Halibut House")</f>
        <v>Halibut House</v>
      </c>
      <c r="H11" s="53" t="str">
        <f>IFERROR(__xludf.DUMMYFUNCTION("""COMPUTED_VALUE"""),"Gas ")</f>
        <v>Gas </v>
      </c>
      <c r="I11" s="53" t="str">
        <f>IFERROR(__xludf.DUMMYFUNCTION("""COMPUTED_VALUE"""),"Hudson's Bay")</f>
        <v>Hudson's Bay</v>
      </c>
      <c r="J11" s="26" t="str">
        <f>IFERROR(__xludf.DUMMYFUNCTION("""COMPUTED_VALUE"""),"McDonalds")</f>
        <v>McDonalds</v>
      </c>
      <c r="L11" s="26" t="str">
        <f>IFERROR(__xludf.DUMMYFUNCTION("""COMPUTED_VALUE"""),"McDonalds")</f>
        <v>McDonalds</v>
      </c>
      <c r="N11" s="26" t="str">
        <f>IFERROR(__xludf.DUMMYFUNCTION("""COMPUTED_VALUE"""),"Chatam Diner")</f>
        <v>Chatam Diner</v>
      </c>
    </row>
    <row r="12">
      <c r="B12" s="26" t="str">
        <f>IFERROR(__xludf.DUMMYFUNCTION("""COMPUTED_VALUE"""),"Starbucks")</f>
        <v>Starbucks</v>
      </c>
      <c r="C12" s="26" t="str">
        <f>IFERROR(__xludf.DUMMYFUNCTION("""COMPUTED_VALUE"""),"Subway")</f>
        <v>Subway</v>
      </c>
      <c r="E12" s="26" t="str">
        <f>IFERROR(__xludf.DUMMYFUNCTION("""COMPUTED_VALUE"""),"Burger King")</f>
        <v>Burger King</v>
      </c>
      <c r="F12" s="26" t="str">
        <f>IFERROR(__xludf.DUMMYFUNCTION("""COMPUTED_VALUE"""),"Halibut House")</f>
        <v>Halibut House</v>
      </c>
      <c r="G12" s="26" t="str">
        <f>IFERROR(__xludf.DUMMYFUNCTION("""COMPUTED_VALUE"""),"TIMS")</f>
        <v>TIMS</v>
      </c>
      <c r="H12" s="53" t="str">
        <f>IFERROR(__xludf.DUMMYFUNCTION("""COMPUTED_VALUE"""),"Superbowl")</f>
        <v>Superbowl</v>
      </c>
      <c r="I12" s="53" t="str">
        <f>IFERROR(__xludf.DUMMYFUNCTION("""COMPUTED_VALUE"""),"Dollarama")</f>
        <v>Dollarama</v>
      </c>
      <c r="N12" s="26" t="str">
        <f>IFERROR(__xludf.DUMMYFUNCTION("""COMPUTED_VALUE"""),"Credi Diff")</f>
        <v>Credi Diff</v>
      </c>
    </row>
    <row r="13">
      <c r="A13" s="77"/>
      <c r="B13" s="77" t="str">
        <f>IFERROR(__xludf.DUMMYFUNCTION("""COMPUTED_VALUE"""),"Antonino's ")</f>
        <v>Antonino's </v>
      </c>
      <c r="F13" s="26" t="str">
        <f>IFERROR(__xludf.DUMMYFUNCTION("""COMPUTED_VALUE"""),"Wal Mart")</f>
        <v>Wal Mart</v>
      </c>
      <c r="G13" s="26" t="str">
        <f>IFERROR(__xludf.DUMMYFUNCTION("""COMPUTED_VALUE"""),"Dollarama")</f>
        <v>Dollarama</v>
      </c>
      <c r="I13" s="53" t="str">
        <f>IFERROR(__xludf.DUMMYFUNCTION("""COMPUTED_VALUE"""),"Harbour House")</f>
        <v>Harbour House</v>
      </c>
    </row>
    <row r="14">
      <c r="A14" s="77"/>
      <c r="B14" s="77" t="str">
        <f>IFERROR(__xludf.DUMMYFUNCTION("""COMPUTED_VALUE"""),"TIMS")</f>
        <v>TIMS</v>
      </c>
      <c r="F14" s="26" t="str">
        <f>IFERROR(__xludf.DUMMYFUNCTION("""COMPUTED_VALUE"""),"LCBO")</f>
        <v>LCBO</v>
      </c>
      <c r="K14" s="10" t="s">
        <v>122</v>
      </c>
    </row>
    <row r="15">
      <c r="A15" s="78"/>
      <c r="B15" s="78"/>
    </row>
    <row r="16">
      <c r="A16" s="56">
        <f>IFERROR(__xludf.DUMMYFUNCTION("SUM(FILTER(H17:H52, I17:I52=A8))
"),170.84)</f>
        <v>170.84</v>
      </c>
      <c r="B16" s="56">
        <f>IFERROR(__xludf.DUMMYFUNCTION("SUM(FILTER(H17:H52, I17:I52=B8))
"),81.13)</f>
        <v>81.13</v>
      </c>
      <c r="C16" s="56">
        <f>IFERROR(__xludf.DUMMYFUNCTION("SUM(FILTER(H17:H52, I17:I52=C8))
"),50.8)</f>
        <v>50.8</v>
      </c>
      <c r="D16" s="56">
        <f>IFERROR(__xludf.DUMMYFUNCTION("SUM(FILTER(H17:H52, I17:I52=D8))
"),4.7)</f>
        <v>4.7</v>
      </c>
      <c r="E16" s="56">
        <f>IFERROR(__xludf.DUMMYFUNCTION("SUM(FILTER(H17:H52, I17:I52=E8))
"),22.07)</f>
        <v>22.07</v>
      </c>
      <c r="F16" s="56">
        <f>IFERROR(__xludf.DUMMYFUNCTION("SUM(FILTER(H17:H52, I17:I52=F8))
"),111.79)</f>
        <v>111.79</v>
      </c>
      <c r="G16" s="56">
        <f>IFERROR(__xludf.DUMMYFUNCTION("SUM(FILTER(H17:H52, I17:I52=G8))
"),38.040000000000006)</f>
        <v>38.04</v>
      </c>
      <c r="H16" s="56">
        <f>IFERROR(__xludf.DUMMYFUNCTION("SUM(FILTER(H17:H52, I17:I52=H8))
"),116.57)</f>
        <v>116.57</v>
      </c>
      <c r="I16" s="56">
        <f>IFERROR(__xludf.DUMMYFUNCTION("SUM(FILTER(H17:H52, I17:I52=I8))
"),97.73)</f>
        <v>97.73</v>
      </c>
      <c r="J16" s="56">
        <f>IFERROR(__xludf.DUMMYFUNCTION("SUM(FILTER(H17:H52, I17:I52=J8))
"),5.41)</f>
        <v>5.41</v>
      </c>
      <c r="K16" s="56">
        <f>IFERROR(__xludf.DUMMYFUNCTION("SUM(FILTER(H17:H52, I17:I52=K8))
"),4.7)</f>
        <v>4.7</v>
      </c>
      <c r="L16" s="56">
        <f>IFERROR(__xludf.DUMMYFUNCTION("SUM(FILTER(H17:H52, I17:I52=L8))
"),18.79)</f>
        <v>18.79</v>
      </c>
      <c r="M16" s="56">
        <f>IFERROR(__xludf.DUMMYFUNCTION("SUM(FILTER(H17:H62, I17:I62=M8))
"),2.17)</f>
        <v>2.17</v>
      </c>
      <c r="N16" s="35">
        <f>IFERROR(__xludf.DUMMYFUNCTION("SUM(FILTER(H17:H62, I17:I62=N8))
"),13.86)</f>
        <v>13.86</v>
      </c>
    </row>
    <row r="17">
      <c r="A17" s="32" t="s">
        <v>510</v>
      </c>
      <c r="B17" s="53"/>
      <c r="E17" s="79" t="s">
        <v>135</v>
      </c>
      <c r="F17" s="80">
        <f>COUNTIF(G18:G1002, "TIMS")+COUNTIF(G18:G1002, "Casa Miro")+COUNTIF(G18:G1002, "Toto")+COUNTIF(G18:G1002, "Coffee Exchange")+COUNTIF(G18:G1002, "Ciao Caffe")
</f>
        <v>10</v>
      </c>
      <c r="G17" s="81" t="s">
        <v>511</v>
      </c>
      <c r="H17" s="81"/>
      <c r="I17" s="82" t="s">
        <v>512</v>
      </c>
      <c r="J17" s="83" t="s">
        <v>136</v>
      </c>
      <c r="K17" s="84"/>
      <c r="L17" s="84"/>
      <c r="M17" s="84"/>
      <c r="N17" s="84"/>
    </row>
    <row r="18">
      <c r="E18" s="87" t="s">
        <v>138</v>
      </c>
      <c r="F18" s="88">
        <f>SUMIF(G18:G50, "Dispo", H18:H50)+SUMIF(G18:G50, "c cabana", H18:H50)</f>
        <v>103.36</v>
      </c>
      <c r="G18" s="10" t="s">
        <v>27</v>
      </c>
      <c r="H18" s="10">
        <v>67.48</v>
      </c>
      <c r="I18" s="62">
        <v>45730.0</v>
      </c>
      <c r="J18" s="89" t="s">
        <v>27</v>
      </c>
      <c r="K18" s="90"/>
      <c r="L18" s="19" t="s">
        <v>140</v>
      </c>
      <c r="M18" s="19"/>
      <c r="N18" s="19" t="s">
        <v>141</v>
      </c>
      <c r="R18" s="26">
        <f>68.6/12</f>
        <v>5.716666667</v>
      </c>
    </row>
    <row r="19">
      <c r="E19" s="92" t="s">
        <v>145</v>
      </c>
      <c r="F19" s="92">
        <f>SUMIF(G18:G50, "Stacked", H18:H50)+SUMIF(G18:G50, "Halibut House", H18:H50)+SUMIF(G18:G50, "Keg", H18:H50)+SUMIF(G18:G50, "Ramen", H18:H50)+SUMIF(G18:G50, "Pizza", H18:H50) +SUMIF(G18:G50, "A&amp;W", H18:H50) + SUMIF(G18:G50, "Chucks", H18:H50) + SUMIF(G18:G50, "Cookie Bar", H18:H50) + SUMIF(G18:G50, "Burger King", H18:H50) + SUMIF(G18:G50, "Pho", H18:H50)+SUMIF(G18:G50, "Wendys", H18:H50)+SUMIF(G18:G50, "Hot Tacos", H18:H50)+SUMIF(G18:G50, "Popeyes", H18:H50)+SUMIF(G18:G50, "Chucks", H18:H50)</f>
        <v>87.16</v>
      </c>
      <c r="G19" s="21" t="s">
        <v>257</v>
      </c>
      <c r="H19" s="94">
        <v>103.36</v>
      </c>
      <c r="I19" s="109">
        <v>45730.0</v>
      </c>
      <c r="J19" s="93" t="s">
        <v>513</v>
      </c>
      <c r="K19" s="90"/>
      <c r="L19" s="19" t="s">
        <v>514</v>
      </c>
      <c r="M19" s="97">
        <v>50.0</v>
      </c>
      <c r="N19" s="19"/>
    </row>
    <row r="20">
      <c r="E20" s="54" t="s">
        <v>27</v>
      </c>
      <c r="F20" s="95">
        <f>SUMIF(G18:G60, "Gas", H18:H60)</f>
        <v>67.48</v>
      </c>
      <c r="G20" s="21" t="s">
        <v>150</v>
      </c>
      <c r="H20" s="94">
        <v>2.17</v>
      </c>
      <c r="I20" s="109">
        <v>45731.0</v>
      </c>
      <c r="J20" s="93"/>
      <c r="K20" s="96"/>
      <c r="L20" s="19" t="s">
        <v>151</v>
      </c>
      <c r="M20" s="97">
        <v>120.0</v>
      </c>
      <c r="N20" s="19" t="s">
        <v>152</v>
      </c>
      <c r="P20" s="26">
        <f>H21/28</f>
        <v>2.420357143</v>
      </c>
    </row>
    <row r="21">
      <c r="A21" s="10" t="s">
        <v>153</v>
      </c>
      <c r="B21" s="10" t="s">
        <v>154</v>
      </c>
      <c r="E21" s="85" t="s">
        <v>155</v>
      </c>
      <c r="F21" s="86">
        <f>SUMIF(G18:G50, "McDonalds", H18:H50) </f>
        <v>13.4</v>
      </c>
      <c r="G21" s="21" t="s">
        <v>515</v>
      </c>
      <c r="H21" s="94">
        <v>67.77</v>
      </c>
      <c r="I21" s="109">
        <v>45731.0</v>
      </c>
      <c r="J21" s="93" t="s">
        <v>516</v>
      </c>
      <c r="K21" s="90"/>
      <c r="L21" s="98" t="s">
        <v>157</v>
      </c>
      <c r="M21" s="94">
        <v>1000.0</v>
      </c>
      <c r="N21" s="19"/>
    </row>
    <row r="22">
      <c r="A22" s="10" t="s">
        <v>158</v>
      </c>
      <c r="E22" s="10" t="s">
        <v>160</v>
      </c>
      <c r="F22" s="10">
        <f>SUMIF(G18:G50, "Urbn Planet", H18:H50)+SUMIF(G18:G50, "Winners", H18:H50) +67.77</f>
        <v>67.77</v>
      </c>
      <c r="G22" s="21" t="s">
        <v>517</v>
      </c>
      <c r="H22" s="94">
        <v>3.94</v>
      </c>
      <c r="I22" s="109">
        <v>45731.0</v>
      </c>
      <c r="J22" s="93" t="s">
        <v>518</v>
      </c>
      <c r="K22" s="90"/>
      <c r="L22" s="21" t="s">
        <v>162</v>
      </c>
      <c r="M22" s="97"/>
      <c r="N22" s="19"/>
    </row>
    <row r="23">
      <c r="A23" s="10" t="s">
        <v>165</v>
      </c>
      <c r="E23" s="10" t="s">
        <v>117</v>
      </c>
      <c r="F23" s="26">
        <f>0+58.14+22.75+54.76</f>
        <v>135.65</v>
      </c>
      <c r="G23" s="196" t="s">
        <v>519</v>
      </c>
      <c r="H23" s="197">
        <v>4.97</v>
      </c>
      <c r="I23" s="109">
        <v>45731.0</v>
      </c>
      <c r="J23" s="89" t="s">
        <v>520</v>
      </c>
      <c r="K23" s="90"/>
      <c r="L23" s="21" t="s">
        <v>167</v>
      </c>
      <c r="M23" s="94">
        <v>30.0</v>
      </c>
      <c r="N23" s="19"/>
    </row>
    <row r="24">
      <c r="E24" s="102" t="s">
        <v>170</v>
      </c>
      <c r="F24" s="33">
        <f>SUMIF(G18:G50, "LCBO", H18:H50) + SUMIF(G18:G50, "Beer Store", H18:H50)+ SUMIF(G18:G50, "Drinks", H18:H50)+SUMIF(G18:G50, "Beer", H18:H50)+SUMIF(G18:G50, "Wine", H18:H50)</f>
        <v>22.75</v>
      </c>
      <c r="G24" s="196" t="s">
        <v>150</v>
      </c>
      <c r="H24" s="197">
        <v>2.28</v>
      </c>
      <c r="I24" s="109">
        <v>45731.0</v>
      </c>
      <c r="J24" s="89"/>
      <c r="K24" s="90"/>
      <c r="L24" s="19" t="s">
        <v>52</v>
      </c>
      <c r="M24" s="97">
        <f>M19+M20+M22+M21+M23</f>
        <v>1200</v>
      </c>
      <c r="N24" s="19"/>
    </row>
    <row r="25">
      <c r="A25" s="10" t="s">
        <v>172</v>
      </c>
      <c r="E25" s="105" t="s">
        <v>173</v>
      </c>
      <c r="F25" s="106">
        <f>SUMIF(G18:G50, "TIMS", H18:H50) + SUMIF(G18:G50, "Casa Miro", H18:H50) + SUMIF(G18:G50, "Toto", H18:H50) + SUMIF(G18:G50, "Coffee Exchange", H18:H50)+ SUMIF(G18:G50, "Ciao Caffe", H18:H50)+ SUMIF(G18:G50, "Starbucks", H18:H50)
</f>
        <v>29.1</v>
      </c>
      <c r="G25" s="21" t="s">
        <v>521</v>
      </c>
      <c r="H25" s="94">
        <v>41.1</v>
      </c>
      <c r="I25" s="109">
        <v>45732.0</v>
      </c>
      <c r="J25" s="89" t="s">
        <v>522</v>
      </c>
      <c r="K25" s="19"/>
      <c r="L25" s="19"/>
      <c r="M25" s="107"/>
      <c r="N25" s="19"/>
    </row>
    <row r="26">
      <c r="E26" s="79" t="s">
        <v>52</v>
      </c>
      <c r="F26" s="110">
        <f>SUM(F18:F25)
</f>
        <v>526.67</v>
      </c>
      <c r="G26" s="21" t="s">
        <v>370</v>
      </c>
      <c r="H26" s="94">
        <v>3.61</v>
      </c>
      <c r="I26" s="109">
        <v>45732.0</v>
      </c>
      <c r="J26" s="89" t="s">
        <v>523</v>
      </c>
      <c r="K26" s="19"/>
    </row>
    <row r="27">
      <c r="A27" s="10"/>
      <c r="B27" s="66"/>
      <c r="E27" s="79" t="s">
        <v>177</v>
      </c>
      <c r="F27" s="111">
        <f>I1/(15-F3)</f>
        <v>4.196590909</v>
      </c>
      <c r="G27" s="21" t="s">
        <v>310</v>
      </c>
      <c r="H27" s="94">
        <v>6.09</v>
      </c>
      <c r="I27" s="109">
        <v>45732.0</v>
      </c>
      <c r="J27" s="89" t="s">
        <v>524</v>
      </c>
      <c r="K27" s="19"/>
      <c r="L27" s="10"/>
    </row>
    <row r="28">
      <c r="A28" s="10" t="s">
        <v>525</v>
      </c>
      <c r="G28" s="21" t="s">
        <v>150</v>
      </c>
      <c r="H28" s="94">
        <v>4.7</v>
      </c>
      <c r="I28" s="109">
        <v>45733.0</v>
      </c>
      <c r="J28" s="89" t="s">
        <v>526</v>
      </c>
      <c r="K28" s="19"/>
    </row>
    <row r="29">
      <c r="A29" s="31" t="s">
        <v>527</v>
      </c>
      <c r="B29" s="44"/>
      <c r="C29" s="44"/>
      <c r="D29" s="10" t="s">
        <v>528</v>
      </c>
      <c r="G29" s="10" t="s">
        <v>261</v>
      </c>
      <c r="H29" s="10">
        <v>3.99</v>
      </c>
      <c r="I29" s="62">
        <v>45734.0</v>
      </c>
      <c r="J29" s="93" t="s">
        <v>529</v>
      </c>
    </row>
    <row r="30">
      <c r="A30" s="31" t="s">
        <v>530</v>
      </c>
      <c r="B30" s="31"/>
      <c r="C30" s="31"/>
      <c r="D30" s="10" t="s">
        <v>528</v>
      </c>
      <c r="F30" s="135"/>
      <c r="G30" s="132" t="s">
        <v>150</v>
      </c>
      <c r="H30" s="10">
        <v>2.17</v>
      </c>
      <c r="I30" s="62">
        <v>45734.0</v>
      </c>
      <c r="J30" s="93" t="s">
        <v>531</v>
      </c>
    </row>
    <row r="31">
      <c r="A31" s="31" t="s">
        <v>532</v>
      </c>
      <c r="B31" s="44"/>
      <c r="C31" s="44"/>
      <c r="D31" s="10" t="s">
        <v>533</v>
      </c>
      <c r="F31" s="135"/>
      <c r="G31" s="132" t="s">
        <v>534</v>
      </c>
      <c r="H31" s="132">
        <v>15.91</v>
      </c>
      <c r="I31" s="198">
        <v>45734.0</v>
      </c>
      <c r="J31" s="93" t="s">
        <v>535</v>
      </c>
      <c r="L31" s="10"/>
    </row>
    <row r="32">
      <c r="A32" s="10"/>
      <c r="B32" s="10"/>
      <c r="C32" s="62"/>
      <c r="F32" s="135"/>
      <c r="G32" s="132" t="s">
        <v>536</v>
      </c>
      <c r="H32" s="132">
        <v>58.14</v>
      </c>
      <c r="I32" s="198">
        <v>45735.0</v>
      </c>
      <c r="J32" s="93" t="s">
        <v>537</v>
      </c>
      <c r="L32" s="26">
        <f>37.83+20.31</f>
        <v>58.14</v>
      </c>
    </row>
    <row r="33">
      <c r="E33" s="135"/>
      <c r="F33" s="135"/>
      <c r="G33" s="132" t="s">
        <v>538</v>
      </c>
      <c r="H33" s="132">
        <v>9.71</v>
      </c>
      <c r="I33" s="198">
        <v>45735.0</v>
      </c>
      <c r="J33" s="93"/>
      <c r="K33" s="135"/>
    </row>
    <row r="34">
      <c r="E34" s="135"/>
      <c r="F34" s="167"/>
      <c r="G34" s="199" t="s">
        <v>539</v>
      </c>
      <c r="H34" s="132">
        <v>14.68</v>
      </c>
      <c r="I34" s="200">
        <v>45735.0</v>
      </c>
      <c r="J34" s="93"/>
      <c r="K34" s="135"/>
    </row>
    <row r="35">
      <c r="E35" s="135"/>
      <c r="F35" s="132"/>
      <c r="G35" s="132" t="s">
        <v>171</v>
      </c>
      <c r="H35" s="132">
        <v>6.51</v>
      </c>
      <c r="I35" s="198">
        <v>45735.0</v>
      </c>
      <c r="J35" s="93" t="s">
        <v>540</v>
      </c>
      <c r="K35" s="132"/>
    </row>
    <row r="36">
      <c r="E36" s="135"/>
      <c r="F36" s="135"/>
      <c r="G36" s="132" t="s">
        <v>254</v>
      </c>
      <c r="H36" s="132">
        <v>22.75</v>
      </c>
      <c r="I36" s="198">
        <v>45735.0</v>
      </c>
      <c r="J36" s="93"/>
      <c r="K36" s="132"/>
    </row>
    <row r="37">
      <c r="A37" s="84"/>
      <c r="B37" s="84"/>
      <c r="C37" s="84"/>
      <c r="D37" s="84"/>
      <c r="E37" s="84"/>
      <c r="F37" s="84"/>
      <c r="G37" s="132" t="s">
        <v>155</v>
      </c>
      <c r="H37" s="132">
        <v>10.16</v>
      </c>
      <c r="I37" s="198">
        <v>45736.0</v>
      </c>
      <c r="J37" s="93"/>
      <c r="K37" s="135"/>
    </row>
    <row r="38">
      <c r="A38" s="85" t="s">
        <v>87</v>
      </c>
      <c r="B38" s="10">
        <v>31200.0</v>
      </c>
      <c r="E38" s="85" t="s">
        <v>363</v>
      </c>
      <c r="F38" s="132">
        <v>200.0</v>
      </c>
      <c r="G38" s="132" t="s">
        <v>539</v>
      </c>
      <c r="H38" s="132">
        <v>15.47</v>
      </c>
      <c r="I38" s="198">
        <v>45736.0</v>
      </c>
      <c r="J38" s="93"/>
      <c r="K38" s="135"/>
    </row>
    <row r="39">
      <c r="A39" s="85" t="s">
        <v>364</v>
      </c>
      <c r="B39" s="10">
        <v>36008.0</v>
      </c>
      <c r="E39" s="85" t="s">
        <v>365</v>
      </c>
      <c r="F39" s="135">
        <f>F38*5</f>
        <v>1000</v>
      </c>
      <c r="G39" s="132" t="s">
        <v>150</v>
      </c>
      <c r="H39" s="132">
        <v>4.68</v>
      </c>
      <c r="I39" s="198">
        <v>45736.0</v>
      </c>
      <c r="J39" s="93"/>
      <c r="K39" s="132"/>
    </row>
    <row r="40">
      <c r="A40" s="85" t="s">
        <v>52</v>
      </c>
      <c r="B40" s="26">
        <f>SUM(B38:B39)
</f>
        <v>67208</v>
      </c>
      <c r="E40" s="85" t="s">
        <v>366</v>
      </c>
      <c r="F40" s="135">
        <f>F39*4</f>
        <v>4000</v>
      </c>
      <c r="G40" s="132" t="s">
        <v>259</v>
      </c>
      <c r="H40" s="132">
        <v>7.73</v>
      </c>
      <c r="I40" s="198">
        <v>45736.0</v>
      </c>
      <c r="J40" s="93"/>
      <c r="K40" s="135"/>
    </row>
    <row r="41">
      <c r="A41" s="126" t="s">
        <v>367</v>
      </c>
      <c r="B41" s="168"/>
      <c r="C41" s="169">
        <f>TODAY()
</f>
        <v>45905</v>
      </c>
      <c r="E41" s="85" t="s">
        <v>368</v>
      </c>
      <c r="F41" s="135">
        <f>F40*12</f>
        <v>48000</v>
      </c>
      <c r="G41" s="132" t="s">
        <v>541</v>
      </c>
      <c r="H41" s="132">
        <v>6.51</v>
      </c>
      <c r="I41" s="198">
        <v>45737.0</v>
      </c>
      <c r="J41" s="93"/>
      <c r="K41" s="135"/>
    </row>
    <row r="42">
      <c r="A42" s="10" t="s">
        <v>369</v>
      </c>
      <c r="B42" s="26">
        <f>B40*(C42/100)</f>
        <v>8737.04</v>
      </c>
      <c r="C42" s="10">
        <v>13.0</v>
      </c>
      <c r="G42" s="10" t="s">
        <v>302</v>
      </c>
      <c r="H42" s="10">
        <v>68.6</v>
      </c>
      <c r="I42" s="62">
        <v>45737.0</v>
      </c>
    </row>
    <row r="43">
      <c r="G43" s="10" t="s">
        <v>542</v>
      </c>
      <c r="H43" s="10">
        <v>41.46</v>
      </c>
      <c r="I43" s="62">
        <v>45737.0</v>
      </c>
    </row>
    <row r="44">
      <c r="G44" s="10" t="s">
        <v>150</v>
      </c>
      <c r="H44" s="10">
        <v>2.29</v>
      </c>
      <c r="I44" s="62">
        <v>45738.0</v>
      </c>
      <c r="J44" s="165"/>
    </row>
    <row r="45">
      <c r="G45" s="10" t="s">
        <v>543</v>
      </c>
      <c r="H45" s="10">
        <v>53.06</v>
      </c>
      <c r="I45" s="62">
        <v>45738.0</v>
      </c>
      <c r="J45" s="10" t="s">
        <v>544</v>
      </c>
    </row>
    <row r="46">
      <c r="G46" s="10" t="s">
        <v>259</v>
      </c>
      <c r="H46" s="10">
        <v>1.7</v>
      </c>
      <c r="I46" s="62">
        <v>45738.0</v>
      </c>
      <c r="J46" s="10" t="s">
        <v>545</v>
      </c>
    </row>
    <row r="47">
      <c r="G47" s="10" t="s">
        <v>546</v>
      </c>
      <c r="H47" s="10">
        <v>40.68</v>
      </c>
      <c r="I47" s="62">
        <v>45738.0</v>
      </c>
      <c r="J47" s="10" t="s">
        <v>547</v>
      </c>
    </row>
    <row r="48">
      <c r="G48" s="10" t="s">
        <v>150</v>
      </c>
      <c r="H48" s="10">
        <v>2.17</v>
      </c>
      <c r="I48" s="121">
        <v>45739.0</v>
      </c>
    </row>
    <row r="49">
      <c r="G49" s="10" t="s">
        <v>155</v>
      </c>
      <c r="H49" s="10">
        <v>3.24</v>
      </c>
      <c r="I49" s="121">
        <v>45739.0</v>
      </c>
    </row>
    <row r="50">
      <c r="G50" s="10" t="s">
        <v>150</v>
      </c>
      <c r="H50" s="10">
        <v>4.7</v>
      </c>
      <c r="I50" s="121">
        <v>45740.0</v>
      </c>
      <c r="J50" s="10" t="s">
        <v>548</v>
      </c>
    </row>
    <row r="51">
      <c r="G51" s="10" t="s">
        <v>254</v>
      </c>
      <c r="H51" s="10">
        <v>7.29</v>
      </c>
      <c r="I51" s="121">
        <v>45741.0</v>
      </c>
      <c r="J51" s="10" t="s">
        <v>549</v>
      </c>
    </row>
    <row r="52">
      <c r="G52" s="10" t="s">
        <v>155</v>
      </c>
      <c r="H52" s="10">
        <v>11.5</v>
      </c>
      <c r="I52" s="62">
        <v>45741.0</v>
      </c>
      <c r="J52" s="10" t="s">
        <v>550</v>
      </c>
    </row>
    <row r="53">
      <c r="G53" s="10" t="s">
        <v>150</v>
      </c>
      <c r="H53" s="10">
        <v>2.17</v>
      </c>
      <c r="I53" s="62">
        <v>45742.0</v>
      </c>
      <c r="J53" s="10">
        <v>731.24</v>
      </c>
    </row>
    <row r="54">
      <c r="G54" s="10" t="s">
        <v>150</v>
      </c>
      <c r="H54" s="10">
        <v>2.17</v>
      </c>
      <c r="I54" s="62">
        <v>45743.0</v>
      </c>
    </row>
    <row r="55">
      <c r="G55" s="10" t="s">
        <v>551</v>
      </c>
      <c r="H55" s="10">
        <v>5.19</v>
      </c>
      <c r="I55" s="62">
        <v>45743.0</v>
      </c>
      <c r="J55" s="26">
        <f>J53+H54+H55</f>
        <v>738.6</v>
      </c>
      <c r="K55" s="10">
        <v>732.1</v>
      </c>
    </row>
    <row r="56">
      <c r="G56" s="10" t="s">
        <v>552</v>
      </c>
      <c r="H56" s="10">
        <v>6.5</v>
      </c>
      <c r="I56" s="62">
        <v>45743.0</v>
      </c>
      <c r="J56" s="26">
        <f>J55-K55
</f>
        <v>6.5</v>
      </c>
    </row>
  </sheetData>
  <conditionalFormatting sqref="I1">
    <cfRule type="notContainsBlanks" dxfId="2" priority="1">
      <formula>LEN(TRIM(I1))&gt;0</formula>
    </cfRule>
  </conditionalFormatting>
  <conditionalFormatting sqref="A9:N15">
    <cfRule type="cellIs" dxfId="3" priority="2" operator="equal">
      <formula>"TIMS"</formula>
    </cfRule>
  </conditionalFormatting>
  <conditionalFormatting sqref="A9:N15">
    <cfRule type="cellIs" dxfId="4" priority="3" operator="equal">
      <formula>"Dispo"</formula>
    </cfRule>
  </conditionalFormatting>
  <conditionalFormatting sqref="A9:N15">
    <cfRule type="cellIs" dxfId="1" priority="4" operator="equal">
      <formula>"Gas"</formula>
    </cfRule>
  </conditionalFormatting>
  <conditionalFormatting sqref="G18:G56">
    <cfRule type="cellIs" dxfId="3" priority="5" operator="equal">
      <formula>"TIMS"</formula>
    </cfRule>
  </conditionalFormatting>
  <conditionalFormatting sqref="G18:G56">
    <cfRule type="cellIs" dxfId="4" priority="6" operator="equal">
      <formula>"Dispo"</formula>
    </cfRule>
  </conditionalFormatting>
  <conditionalFormatting sqref="G18:G56">
    <cfRule type="cellIs" dxfId="5" priority="7" operator="equal">
      <formula>"McDonalds"</formula>
    </cfRule>
  </conditionalFormatting>
  <conditionalFormatting sqref="H18:H60">
    <cfRule type="cellIs" dxfId="1" priority="8" operator="greaterThan">
      <formula>60</formula>
    </cfRule>
  </conditionalFormatting>
  <conditionalFormatting sqref="H18:H60">
    <cfRule type="cellIs" dxfId="6" priority="9" operator="between">
      <formula>30</formula>
      <formula>60</formula>
    </cfRule>
  </conditionalFormatting>
  <conditionalFormatting sqref="I5">
    <cfRule type="cellIs" dxfId="0" priority="10" operator="greaterThan">
      <formula>0</formula>
    </cfRule>
  </conditionalFormatting>
  <conditionalFormatting sqref="I5">
    <cfRule type="cellIs" dxfId="1" priority="11" operator="lessThanOrEqual">
      <formula>0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181"/>
      <c r="C1" s="1"/>
      <c r="E1" s="54" t="s">
        <v>114</v>
      </c>
      <c r="F1" s="55">
        <f>TODAY()
</f>
        <v>45905</v>
      </c>
      <c r="H1" s="56" t="s">
        <v>115</v>
      </c>
      <c r="I1" s="32">
        <f>SUM(IFERROR(16:16, 0))
</f>
        <v>501.77</v>
      </c>
      <c r="K1" s="10" t="s">
        <v>265</v>
      </c>
      <c r="M1" s="10" t="s">
        <v>266</v>
      </c>
      <c r="O1" s="10" t="s">
        <v>116</v>
      </c>
    </row>
    <row r="2">
      <c r="C2" s="62"/>
      <c r="E2" s="10" t="s">
        <v>118</v>
      </c>
      <c r="F2" s="60">
        <v>45730.0</v>
      </c>
      <c r="H2" s="56" t="s">
        <v>119</v>
      </c>
      <c r="I2" s="61">
        <f>500</f>
        <v>500</v>
      </c>
      <c r="K2" s="10" t="s">
        <v>173</v>
      </c>
      <c r="L2" s="10">
        <v>40.0</v>
      </c>
      <c r="M2" s="10" t="s">
        <v>267</v>
      </c>
      <c r="O2" s="10" t="s">
        <v>506</v>
      </c>
    </row>
    <row r="3">
      <c r="C3" s="62"/>
      <c r="E3" s="10" t="s">
        <v>120</v>
      </c>
      <c r="F3" s="26">
        <f>F2-F1
</f>
        <v>-175</v>
      </c>
      <c r="H3" s="24" t="s">
        <v>80</v>
      </c>
      <c r="I3" s="56">
        <f>I2-I1
</f>
        <v>-1.77</v>
      </c>
      <c r="K3" s="10" t="s">
        <v>268</v>
      </c>
      <c r="L3" s="10" t="s">
        <v>269</v>
      </c>
      <c r="M3" s="10" t="s">
        <v>270</v>
      </c>
      <c r="O3" s="10" t="s">
        <v>121</v>
      </c>
    </row>
    <row r="4">
      <c r="C4" s="62"/>
      <c r="E4" s="10" t="s">
        <v>49</v>
      </c>
      <c r="F4" s="26">
        <f>I2-I1
</f>
        <v>-1.77</v>
      </c>
      <c r="H4" s="63"/>
      <c r="I4" s="63"/>
      <c r="K4" s="10" t="s">
        <v>27</v>
      </c>
      <c r="L4" s="10" t="s">
        <v>271</v>
      </c>
    </row>
    <row r="5">
      <c r="C5" s="62"/>
      <c r="E5" s="10" t="s">
        <v>122</v>
      </c>
      <c r="H5" s="64" t="s">
        <v>123</v>
      </c>
      <c r="I5" s="64">
        <f>I3/F3
</f>
        <v>0.01011428571</v>
      </c>
    </row>
    <row r="6">
      <c r="C6" s="62"/>
      <c r="K6" s="65"/>
      <c r="R6" s="66"/>
    </row>
    <row r="7">
      <c r="A7" s="53"/>
      <c r="C7" s="164"/>
      <c r="D7" s="170"/>
      <c r="F7" s="182"/>
      <c r="G7" s="170"/>
      <c r="H7" s="44"/>
      <c r="I7" s="53"/>
      <c r="J7" s="182"/>
      <c r="L7" s="44"/>
      <c r="M7" s="44"/>
      <c r="N7" s="69"/>
      <c r="O7" s="177"/>
      <c r="P7" s="10" t="s">
        <v>313</v>
      </c>
    </row>
    <row r="8">
      <c r="A8" s="72">
        <v>45716.0</v>
      </c>
      <c r="B8" s="72">
        <v>45717.0</v>
      </c>
      <c r="C8" s="73">
        <v>45718.0</v>
      </c>
      <c r="D8" s="72">
        <v>45719.0</v>
      </c>
      <c r="E8" s="72">
        <v>45720.0</v>
      </c>
      <c r="F8" s="72">
        <v>45721.0</v>
      </c>
      <c r="G8" s="72">
        <v>45722.0</v>
      </c>
      <c r="H8" s="72">
        <v>45723.0</v>
      </c>
      <c r="I8" s="72">
        <v>45724.0</v>
      </c>
      <c r="J8" s="72">
        <v>45725.0</v>
      </c>
      <c r="K8" s="72">
        <v>45726.0</v>
      </c>
      <c r="L8" s="72">
        <v>45727.0</v>
      </c>
      <c r="M8" s="72">
        <v>45728.0</v>
      </c>
      <c r="N8" s="72">
        <v>45729.0</v>
      </c>
      <c r="O8" s="74"/>
      <c r="P8" s="10" t="s">
        <v>125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  <c r="O9" s="53"/>
      <c r="P9" s="10" t="s">
        <v>133</v>
      </c>
    </row>
    <row r="10">
      <c r="A10" s="26" t="str">
        <f>IFERROR(__xludf.DUMMYFUNCTION("FILTER(G17:G52, I17:I52=A8)
"),"Last Balance")</f>
        <v>Last Balance</v>
      </c>
      <c r="B10" s="10" t="str">
        <f>IFERROR(__xludf.DUMMYFUNCTION("FILTER(G17:G52, I17:I52=B8)
"),"TIMS")</f>
        <v>TIMS</v>
      </c>
      <c r="C10" s="10" t="str">
        <f>IFERROR(__xludf.DUMMYFUNCTION("FILTER(G17:G52, I17:I52=C8)
"),"TIMS")</f>
        <v>TIMS</v>
      </c>
      <c r="D10" s="26" t="str">
        <f>IFERROR(__xludf.DUMMYFUNCTION("FILTER(G17:G52, I17:I52=D8)
"),"TIMS")</f>
        <v>TIMS</v>
      </c>
      <c r="E10" s="26" t="str">
        <f>IFERROR(__xludf.DUMMYFUNCTION("FILTER(G17:G52, I17:I52=E8)
"),"Chucks ")</f>
        <v>Chucks </v>
      </c>
      <c r="F10" s="26" t="str">
        <f>IFERROR(__xludf.DUMMYFUNCTION("FILTER(G17:G52, I17:I52=F8)
"),"TIMS")</f>
        <v>TIMS</v>
      </c>
      <c r="G10" s="26" t="str">
        <f>IFERROR(__xludf.DUMMYFUNCTION("FILTER(G17:G52, I17:I52=G8)
"),"TIMS")</f>
        <v>TIMS</v>
      </c>
      <c r="H10" s="26" t="str">
        <f>IFERROR(__xludf.DUMMYFUNCTION("FILTER(G17:G52, I17:I52=H8)
"),"City Cafe")</f>
        <v>City Cafe</v>
      </c>
      <c r="I10" s="10" t="str">
        <f>IFERROR(__xludf.DUMMYFUNCTION("FILTER(G16:G51, I16:I51=I8)
"),"TIMS")</f>
        <v>TIMS</v>
      </c>
      <c r="J10" s="26" t="str">
        <f>IFERROR(__xludf.DUMMYFUNCTION("FILTER(G15:G50, I15:I50=J8)
"),"#N/A")</f>
        <v>#N/A</v>
      </c>
      <c r="K10" s="26" t="str">
        <f>IFERROR(__xludf.DUMMYFUNCTION("FILTER(G15:G50, I15:I50=K8)
"),"TIMS")</f>
        <v>TIMS</v>
      </c>
      <c r="L10" s="26" t="str">
        <f>IFERROR(__xludf.DUMMYFUNCTION("FILTER(G15:G65, I15:I65=L8)
"),"TIMS")</f>
        <v>TIMS</v>
      </c>
      <c r="M10" s="10" t="str">
        <f>IFERROR(__xludf.DUMMYFUNCTION("FILTER(G15:G65, I15:I65=M8)
"),"TIMS")</f>
        <v>TIMS</v>
      </c>
      <c r="N10" s="26" t="str">
        <f>IFERROR(__xludf.DUMMYFUNCTION("FILTER(G15:G65, I15:I65=N8)
"),"Wal Mart")</f>
        <v>Wal Mart</v>
      </c>
      <c r="O10" s="183"/>
      <c r="P10" s="10" t="s">
        <v>134</v>
      </c>
    </row>
    <row r="11">
      <c r="A11" s="26" t="str">
        <f>IFERROR(__xludf.DUMMYFUNCTION("""COMPUTED_VALUE"""),"TIMS")</f>
        <v>TIMS</v>
      </c>
      <c r="B11" s="26" t="str">
        <f>IFERROR(__xludf.DUMMYFUNCTION("""COMPUTED_VALUE"""),"McDonalds")</f>
        <v>McDonalds</v>
      </c>
      <c r="C11" s="26" t="str">
        <f>IFERROR(__xludf.DUMMYFUNCTION("""COMPUTED_VALUE"""),"Gas")</f>
        <v>Gas</v>
      </c>
      <c r="D11" s="26" t="str">
        <f>IFERROR(__xludf.DUMMYFUNCTION("""COMPUTED_VALUE"""),"Circle K")</f>
        <v>Circle K</v>
      </c>
      <c r="E11" s="26" t="str">
        <f>IFERROR(__xludf.DUMMYFUNCTION("""COMPUTED_VALUE"""),"TIMS")</f>
        <v>TIMS</v>
      </c>
      <c r="F11" s="26" t="str">
        <f>IFERROR(__xludf.DUMMYFUNCTION("""COMPUTED_VALUE"""),"McDonalds")</f>
        <v>McDonalds</v>
      </c>
      <c r="G11" s="26" t="str">
        <f>IFERROR(__xludf.DUMMYFUNCTION("""COMPUTED_VALUE"""),"Food Basics")</f>
        <v>Food Basics</v>
      </c>
      <c r="I11" s="53" t="str">
        <f>IFERROR(__xludf.DUMMYFUNCTION("""COMPUTED_VALUE"""),"Marshalls ")</f>
        <v>Marshalls </v>
      </c>
      <c r="K11" s="26" t="str">
        <f>IFERROR(__xludf.DUMMYFUNCTION("""COMPUTED_VALUE"""),"TIMS")</f>
        <v>TIMS</v>
      </c>
    </row>
    <row r="12">
      <c r="A12" s="26" t="str">
        <f>IFERROR(__xludf.DUMMYFUNCTION("""COMPUTED_VALUE"""),"Metro")</f>
        <v>Metro</v>
      </c>
      <c r="G12" s="26" t="str">
        <f>IFERROR(__xludf.DUMMYFUNCTION("""COMPUTED_VALUE"""),"Candys")</f>
        <v>Candys</v>
      </c>
      <c r="I12" s="26" t="str">
        <f>IFERROR(__xludf.DUMMYFUNCTION("""COMPUTED_VALUE"""),"LCBO")</f>
        <v>LCBO</v>
      </c>
      <c r="K12" s="26" t="str">
        <f>IFERROR(__xludf.DUMMYFUNCTION("""COMPUTED_VALUE"""),"McDonalds")</f>
        <v>McDonalds</v>
      </c>
    </row>
    <row r="13">
      <c r="A13" s="201" t="str">
        <f>IFERROR(__xludf.DUMMYFUNCTION("""COMPUTED_VALUE"""),"Dispo")</f>
        <v>Dispo</v>
      </c>
      <c r="B13" s="77"/>
      <c r="G13" s="26" t="str">
        <f>IFERROR(__xludf.DUMMYFUNCTION("""COMPUTED_VALUE"""),"Candys")</f>
        <v>Candys</v>
      </c>
    </row>
    <row r="14">
      <c r="A14" s="77" t="str">
        <f>IFERROR(__xludf.DUMMYFUNCTION("""COMPUTED_VALUE"""),"Dispo")</f>
        <v>Dispo</v>
      </c>
      <c r="B14" s="77"/>
      <c r="K14" s="10" t="s">
        <v>122</v>
      </c>
    </row>
    <row r="15">
      <c r="A15" s="78"/>
      <c r="B15" s="78"/>
    </row>
    <row r="16">
      <c r="A16" s="56">
        <f>IFERROR(__xludf.DUMMYFUNCTION("SUM(FILTER(H17:H52, I17:I52=A8))
"),160.23000000000005)</f>
        <v>160.23</v>
      </c>
      <c r="B16" s="56">
        <f>IFERROR(__xludf.DUMMYFUNCTION("SUM(FILTER(H17:H52, I17:I52=B8))
"),17.84)</f>
        <v>17.84</v>
      </c>
      <c r="C16" s="56">
        <f>IFERROR(__xludf.DUMMYFUNCTION("SUM(FILTER(H17:H52, I17:I52=C8))
"),70.94)</f>
        <v>70.94</v>
      </c>
      <c r="D16" s="56">
        <f>IFERROR(__xludf.DUMMYFUNCTION("SUM(FILTER(H17:H52, I17:I52=D8))
"),17.810000000000002)</f>
        <v>17.81</v>
      </c>
      <c r="E16" s="56">
        <f>IFERROR(__xludf.DUMMYFUNCTION("SUM(FILTER(H17:H52, I17:I52=E8))
"),31.9)</f>
        <v>31.9</v>
      </c>
      <c r="F16" s="56">
        <f>IFERROR(__xludf.DUMMYFUNCTION("SUM(FILTER(H17:H52, I17:I52=F8))
"),8.459999999999999)</f>
        <v>8.46</v>
      </c>
      <c r="G16" s="56">
        <f>IFERROR(__xludf.DUMMYFUNCTION("SUM(FILTER(H17:H52, I17:I52=G8))
"),23.47)</f>
        <v>23.47</v>
      </c>
      <c r="H16" s="56">
        <f>IFERROR(__xludf.DUMMYFUNCTION("SUM(FILTER(H17:H52, I17:I52=H8))
"),6.25)</f>
        <v>6.25</v>
      </c>
      <c r="I16" s="56">
        <f>IFERROR(__xludf.DUMMYFUNCTION("SUM(FILTER(H17:H52, I17:I52=I8))
"),113.55000000000001)</f>
        <v>113.55</v>
      </c>
      <c r="J16" s="56" t="str">
        <f>IFERROR(__xludf.DUMMYFUNCTION("SUM(FILTER(H17:H52, I17:I52=J8))
"),"#N/A")</f>
        <v>#N/A</v>
      </c>
      <c r="K16" s="56">
        <f>IFERROR(__xludf.DUMMYFUNCTION("SUM(FILTER(H17:H52, I17:I52=K8))
"),13.129999999999999)</f>
        <v>13.13</v>
      </c>
      <c r="L16" s="56">
        <f>IFERROR(__xludf.DUMMYFUNCTION("SUM(FILTER(H17:H52, I17:I52=L8))
"),0.12)</f>
        <v>0.12</v>
      </c>
      <c r="M16" s="56">
        <f>IFERROR(__xludf.DUMMYFUNCTION("SUM(FILTER(H17:H52, I17:I52=M8))
"),0.12)</f>
        <v>0.12</v>
      </c>
      <c r="N16" s="35">
        <f>IFERROR(__xludf.DUMMYFUNCTION("SUM(FILTER(H17:H52, I17:I52=N8))
"),37.95)</f>
        <v>37.95</v>
      </c>
    </row>
    <row r="17">
      <c r="E17" s="79" t="s">
        <v>135</v>
      </c>
      <c r="F17" s="80">
        <f>COUNTIF(G18:G1002, "TIMS")+COUNTIF(G18:G1002, "Casa Miro")+COUNTIF(G18:G1002, "Toto")+COUNTIF(G18:G1002, "Coffee Exchange")+COUNTIF(G18:G1002, "Ciao Caffe")
</f>
        <v>12</v>
      </c>
      <c r="G17" s="81" t="s">
        <v>511</v>
      </c>
      <c r="H17" s="81"/>
      <c r="I17" s="82" t="s">
        <v>76</v>
      </c>
      <c r="J17" s="83" t="s">
        <v>136</v>
      </c>
      <c r="K17" s="84"/>
      <c r="L17" s="84"/>
      <c r="M17" s="84"/>
      <c r="N17" s="84"/>
    </row>
    <row r="18">
      <c r="D18" s="26">
        <f>F18-50</f>
        <v>84.96</v>
      </c>
      <c r="E18" s="87" t="s">
        <v>138</v>
      </c>
      <c r="F18" s="88">
        <f>SUMIF(G18:G50, "Dispo", H18:H50)+SUMIF(G18:G50, "c cabana", H18:H50)</f>
        <v>134.96</v>
      </c>
      <c r="G18" s="10" t="s">
        <v>553</v>
      </c>
      <c r="H18" s="26">
        <f>482.24-481.09</f>
        <v>1.15</v>
      </c>
      <c r="I18" s="62">
        <v>45716.0</v>
      </c>
      <c r="J18" s="89"/>
      <c r="K18" s="90"/>
      <c r="L18" s="19" t="s">
        <v>140</v>
      </c>
      <c r="M18" s="19"/>
      <c r="N18" s="19" t="s">
        <v>141</v>
      </c>
    </row>
    <row r="19">
      <c r="E19" s="92" t="s">
        <v>145</v>
      </c>
      <c r="F19" s="92">
        <f>SUMIF(G18:G50, "Keg", H18:H50)+SUMIF(G18:G50, "Ramen", H18:H50)+SUMIF(G18:G50, "Pizza", H18:H50) +SUMIF(G18:G50, "A&amp;W", H18:H50) + SUMIF(G18:G50, "Chucks", H18:H50) + SUMIF(G18:G50, "Cookie Bar", H18:H50) + SUMIF(G18:G50, "Burger King", H18:H50) + SUMIF(G18:G50, "Pho", H18:H50)+SUMIF(G18:G50, "Wendys", H18:H50)+SUMIF(G18:G50, "Hot Tacos", H18:H50)+SUMIF(G18:G50, "Popeyes", H18:H50)+SUMIF(G18:G50, "Chucks", H18:H50)</f>
        <v>0</v>
      </c>
      <c r="G19" s="21" t="s">
        <v>150</v>
      </c>
      <c r="H19" s="94">
        <v>2.17</v>
      </c>
      <c r="I19" s="109">
        <v>45716.0</v>
      </c>
      <c r="J19" s="93"/>
      <c r="K19" s="90"/>
      <c r="L19" s="19" t="s">
        <v>514</v>
      </c>
      <c r="M19" s="97">
        <v>50.0</v>
      </c>
      <c r="N19" s="19"/>
    </row>
    <row r="20">
      <c r="E20" s="54" t="s">
        <v>27</v>
      </c>
      <c r="F20" s="95">
        <f>SUMIF(G18:G60, "Gas", H18:H60)</f>
        <v>64.88</v>
      </c>
      <c r="G20" s="21" t="s">
        <v>261</v>
      </c>
      <c r="H20" s="94">
        <v>21.95</v>
      </c>
      <c r="I20" s="109">
        <v>45716.0</v>
      </c>
      <c r="J20" s="93" t="s">
        <v>554</v>
      </c>
      <c r="K20" s="96"/>
      <c r="L20" s="19" t="s">
        <v>151</v>
      </c>
      <c r="M20" s="97">
        <v>120.0</v>
      </c>
      <c r="N20" s="19" t="s">
        <v>152</v>
      </c>
      <c r="P20" s="26">
        <f>H21/28</f>
        <v>4.354642857</v>
      </c>
    </row>
    <row r="21">
      <c r="A21" s="10" t="s">
        <v>153</v>
      </c>
      <c r="B21" s="10" t="s">
        <v>154</v>
      </c>
      <c r="E21" s="85" t="s">
        <v>155</v>
      </c>
      <c r="F21" s="86">
        <f>SUMIF(G18:G50, "McDonalds", H18:H50) </f>
        <v>27.39</v>
      </c>
      <c r="G21" s="21" t="s">
        <v>257</v>
      </c>
      <c r="H21" s="94">
        <v>121.93</v>
      </c>
      <c r="I21" s="109">
        <v>45716.0</v>
      </c>
      <c r="J21" s="93" t="s">
        <v>555</v>
      </c>
      <c r="K21" s="90"/>
      <c r="L21" s="98" t="s">
        <v>157</v>
      </c>
      <c r="M21" s="94">
        <v>1000.0</v>
      </c>
      <c r="N21" s="19"/>
    </row>
    <row r="22">
      <c r="A22" s="10" t="s">
        <v>158</v>
      </c>
      <c r="E22" s="10" t="s">
        <v>160</v>
      </c>
      <c r="F22" s="10">
        <f>SUMIF(G18:G50, "Urbn Planet", H18:H50)+SUMIF(G18:G50, "Winners", H18:H50) </f>
        <v>0</v>
      </c>
      <c r="G22" s="21" t="s">
        <v>257</v>
      </c>
      <c r="H22" s="94">
        <v>13.03</v>
      </c>
      <c r="I22" s="109">
        <v>45716.0</v>
      </c>
      <c r="J22" s="93" t="s">
        <v>556</v>
      </c>
      <c r="K22" s="90"/>
      <c r="L22" s="21" t="s">
        <v>162</v>
      </c>
      <c r="M22" s="97"/>
      <c r="N22" s="19"/>
    </row>
    <row r="23">
      <c r="A23" s="10" t="s">
        <v>165</v>
      </c>
      <c r="E23" s="10" t="s">
        <v>117</v>
      </c>
      <c r="F23" s="26">
        <f>79.08</f>
        <v>79.08</v>
      </c>
      <c r="G23" s="196" t="s">
        <v>150</v>
      </c>
      <c r="H23" s="197">
        <v>7.24</v>
      </c>
      <c r="I23" s="109">
        <v>45717.0</v>
      </c>
      <c r="J23" s="89" t="s">
        <v>557</v>
      </c>
      <c r="K23" s="90"/>
      <c r="L23" s="21" t="s">
        <v>167</v>
      </c>
      <c r="M23" s="94">
        <v>30.0</v>
      </c>
      <c r="N23" s="19"/>
    </row>
    <row r="24">
      <c r="D24" s="26">
        <f>F23-18</f>
        <v>61.08</v>
      </c>
      <c r="E24" s="102" t="s">
        <v>170</v>
      </c>
      <c r="F24" s="33">
        <f>SUMIF(G18:G50, "LCBO", H18:H50) + SUMIF(G18:G50, "Beer Store", H18:H50)+21.95+ SUMIF(G18:G50, "Drinks", H18:H50)+SUMIF(G18:G50, "Beer", H18:H50)+SUMIF(G18:G50, "Wine", H18:H50)</f>
        <v>56.3</v>
      </c>
      <c r="G24" s="196" t="s">
        <v>155</v>
      </c>
      <c r="H24" s="197">
        <v>10.6</v>
      </c>
      <c r="I24" s="109">
        <v>45717.0</v>
      </c>
      <c r="J24" s="89" t="s">
        <v>557</v>
      </c>
      <c r="K24" s="90"/>
      <c r="L24" s="19" t="s">
        <v>52</v>
      </c>
      <c r="M24" s="97">
        <f>M19+M20+M22+M21+M23</f>
        <v>1200</v>
      </c>
      <c r="N24" s="19"/>
    </row>
    <row r="25">
      <c r="A25" s="10" t="s">
        <v>172</v>
      </c>
      <c r="E25" s="105" t="s">
        <v>173</v>
      </c>
      <c r="F25" s="106">
        <f>SUMIF(G18:G50, "TIMS", H18:H50) + SUMIF(G18:G50, "Casa Miro", H18:H50) + SUMIF(G18:G50, "Toto", H18:H50) + SUMIF(G18:G50, "Coffee Exchange", H18:H50)+ SUMIF(G18:G50, "Ciao Caffe", H18:H50)
</f>
        <v>31.57</v>
      </c>
      <c r="G25" s="21" t="s">
        <v>150</v>
      </c>
      <c r="H25" s="94">
        <v>6.06</v>
      </c>
      <c r="I25" s="109">
        <v>45718.0</v>
      </c>
      <c r="J25" s="89" t="s">
        <v>557</v>
      </c>
      <c r="K25" s="19"/>
      <c r="L25" s="19"/>
      <c r="M25" s="107"/>
      <c r="N25" s="19"/>
    </row>
    <row r="26">
      <c r="E26" s="79" t="s">
        <v>52</v>
      </c>
      <c r="F26" s="110">
        <f>SUM(F18:F25)
</f>
        <v>394.18</v>
      </c>
      <c r="G26" s="21" t="s">
        <v>27</v>
      </c>
      <c r="H26" s="94">
        <v>64.88</v>
      </c>
      <c r="I26" s="109">
        <v>45718.0</v>
      </c>
      <c r="J26" s="89"/>
      <c r="K26" s="19"/>
      <c r="N26" s="10">
        <v>36.0</v>
      </c>
    </row>
    <row r="27">
      <c r="A27" s="10"/>
      <c r="B27" s="66"/>
      <c r="E27" s="79" t="s">
        <v>177</v>
      </c>
      <c r="F27" s="111">
        <f>I1/(15-F3)</f>
        <v>2.640894737</v>
      </c>
      <c r="G27" s="21" t="s">
        <v>150</v>
      </c>
      <c r="H27" s="94">
        <v>2.17</v>
      </c>
      <c r="I27" s="109">
        <v>45719.0</v>
      </c>
      <c r="J27" s="89"/>
      <c r="K27" s="19"/>
      <c r="L27" s="10"/>
      <c r="M27" s="10" t="s">
        <v>558</v>
      </c>
      <c r="N27" s="10">
        <v>15.97</v>
      </c>
    </row>
    <row r="28">
      <c r="A28" s="10" t="s">
        <v>525</v>
      </c>
      <c r="G28" s="21" t="s">
        <v>559</v>
      </c>
      <c r="H28" s="94">
        <v>15.64</v>
      </c>
      <c r="I28" s="109">
        <v>45719.0</v>
      </c>
      <c r="J28" s="89" t="s">
        <v>560</v>
      </c>
      <c r="K28" s="19"/>
      <c r="M28" s="10" t="s">
        <v>561</v>
      </c>
      <c r="N28" s="10">
        <v>5.98</v>
      </c>
    </row>
    <row r="29">
      <c r="A29" s="10" t="s">
        <v>527</v>
      </c>
      <c r="G29" s="10" t="s">
        <v>562</v>
      </c>
      <c r="H29" s="10">
        <v>28.06</v>
      </c>
      <c r="I29" s="62">
        <v>45720.0</v>
      </c>
      <c r="J29" s="93" t="s">
        <v>557</v>
      </c>
      <c r="N29" s="26">
        <f>N27+N28</f>
        <v>21.95</v>
      </c>
    </row>
    <row r="30">
      <c r="A30" s="10"/>
      <c r="B30" s="10"/>
      <c r="C30" s="10"/>
      <c r="F30" s="135"/>
      <c r="G30" s="132" t="s">
        <v>150</v>
      </c>
      <c r="H30" s="10">
        <v>3.84</v>
      </c>
      <c r="I30" s="62">
        <v>45720.0</v>
      </c>
      <c r="J30" s="93" t="s">
        <v>557</v>
      </c>
      <c r="M30" s="10" t="s">
        <v>563</v>
      </c>
      <c r="N30" s="26">
        <f>1.13*N29</f>
        <v>24.8035</v>
      </c>
    </row>
    <row r="31">
      <c r="A31" s="10"/>
      <c r="F31" s="135"/>
      <c r="G31" s="132" t="s">
        <v>150</v>
      </c>
      <c r="H31" s="132">
        <v>2.28</v>
      </c>
      <c r="I31" s="198">
        <v>45721.0</v>
      </c>
      <c r="J31" s="93"/>
      <c r="L31" s="10"/>
      <c r="M31" s="10" t="s">
        <v>80</v>
      </c>
      <c r="N31" s="26">
        <f>N26-N30
</f>
        <v>11.1965</v>
      </c>
    </row>
    <row r="32">
      <c r="A32" s="10"/>
      <c r="B32" s="10"/>
      <c r="C32" s="62"/>
      <c r="F32" s="135"/>
      <c r="G32" s="132" t="s">
        <v>155</v>
      </c>
      <c r="H32" s="132">
        <v>6.18</v>
      </c>
      <c r="I32" s="198">
        <v>45721.0</v>
      </c>
      <c r="J32" s="93" t="s">
        <v>557</v>
      </c>
    </row>
    <row r="33">
      <c r="E33" s="135"/>
      <c r="F33" s="135"/>
      <c r="G33" s="132" t="s">
        <v>150</v>
      </c>
      <c r="H33" s="132">
        <v>4.93</v>
      </c>
      <c r="I33" s="198">
        <v>45722.0</v>
      </c>
      <c r="J33" s="93"/>
      <c r="K33" s="135"/>
    </row>
    <row r="34">
      <c r="E34" s="135"/>
      <c r="F34" s="167"/>
      <c r="G34" s="199" t="s">
        <v>195</v>
      </c>
      <c r="H34" s="132">
        <v>2.99</v>
      </c>
      <c r="I34" s="200">
        <v>45722.0</v>
      </c>
      <c r="J34" s="93" t="s">
        <v>564</v>
      </c>
      <c r="K34" s="135"/>
    </row>
    <row r="35">
      <c r="E35" s="135"/>
      <c r="F35" s="132"/>
      <c r="G35" s="132" t="s">
        <v>565</v>
      </c>
      <c r="H35" s="132">
        <v>9.9</v>
      </c>
      <c r="I35" s="198">
        <v>45722.0</v>
      </c>
      <c r="J35" s="93" t="s">
        <v>566</v>
      </c>
      <c r="K35" s="132"/>
    </row>
    <row r="36">
      <c r="E36" s="135"/>
      <c r="F36" s="135"/>
      <c r="G36" s="132" t="s">
        <v>565</v>
      </c>
      <c r="H36" s="132">
        <v>5.65</v>
      </c>
      <c r="I36" s="198">
        <v>45722.0</v>
      </c>
      <c r="J36" s="93" t="s">
        <v>567</v>
      </c>
      <c r="K36" s="132"/>
    </row>
    <row r="37">
      <c r="A37" s="84"/>
      <c r="B37" s="84"/>
      <c r="C37" s="84"/>
      <c r="D37" s="84"/>
      <c r="E37" s="84"/>
      <c r="F37" s="84"/>
      <c r="G37" s="132" t="s">
        <v>258</v>
      </c>
      <c r="H37" s="132">
        <v>6.25</v>
      </c>
      <c r="I37" s="198">
        <v>45723.0</v>
      </c>
      <c r="J37" s="93" t="s">
        <v>568</v>
      </c>
      <c r="K37" s="135"/>
    </row>
    <row r="38">
      <c r="A38" s="85" t="s">
        <v>87</v>
      </c>
      <c r="B38" s="10">
        <v>31200.0</v>
      </c>
      <c r="E38" s="85" t="s">
        <v>363</v>
      </c>
      <c r="F38" s="132">
        <v>200.0</v>
      </c>
      <c r="G38" s="132" t="s">
        <v>150</v>
      </c>
      <c r="H38" s="132">
        <v>0.12</v>
      </c>
      <c r="I38" s="198">
        <v>45724.0</v>
      </c>
      <c r="J38" s="93"/>
      <c r="K38" s="135"/>
    </row>
    <row r="39">
      <c r="A39" s="85" t="s">
        <v>364</v>
      </c>
      <c r="B39" s="10">
        <v>36008.0</v>
      </c>
      <c r="E39" s="85" t="s">
        <v>365</v>
      </c>
      <c r="F39" s="135">
        <f>F38*5</f>
        <v>1000</v>
      </c>
      <c r="G39" s="132" t="s">
        <v>569</v>
      </c>
      <c r="H39" s="132">
        <v>79.08</v>
      </c>
      <c r="I39" s="198">
        <v>45724.0</v>
      </c>
      <c r="J39" s="93" t="s">
        <v>570</v>
      </c>
      <c r="K39" s="132"/>
    </row>
    <row r="40">
      <c r="A40" s="85" t="s">
        <v>52</v>
      </c>
      <c r="B40" s="26">
        <f>SUM(B38:B39)
</f>
        <v>67208</v>
      </c>
      <c r="E40" s="85" t="s">
        <v>366</v>
      </c>
      <c r="F40" s="135">
        <f>F39*4</f>
        <v>4000</v>
      </c>
      <c r="G40" s="132" t="s">
        <v>254</v>
      </c>
      <c r="H40" s="132">
        <v>34.35</v>
      </c>
      <c r="I40" s="198">
        <v>45724.0</v>
      </c>
      <c r="J40" s="93" t="s">
        <v>571</v>
      </c>
      <c r="K40" s="135"/>
    </row>
    <row r="41">
      <c r="A41" s="126" t="s">
        <v>367</v>
      </c>
      <c r="B41" s="168"/>
      <c r="C41" s="169">
        <f>TODAY()
</f>
        <v>45905</v>
      </c>
      <c r="E41" s="85" t="s">
        <v>368</v>
      </c>
      <c r="F41" s="135">
        <f>F40*12</f>
        <v>48000</v>
      </c>
      <c r="G41" s="132" t="s">
        <v>150</v>
      </c>
      <c r="H41" s="132">
        <v>0.12</v>
      </c>
      <c r="I41" s="198">
        <v>45726.0</v>
      </c>
      <c r="J41" s="93"/>
      <c r="K41" s="135"/>
    </row>
    <row r="42">
      <c r="A42" s="10" t="s">
        <v>369</v>
      </c>
      <c r="B42" s="26">
        <f>B40*(C42/100)</f>
        <v>8737.04</v>
      </c>
      <c r="C42" s="10">
        <v>13.0</v>
      </c>
      <c r="G42" s="10" t="s">
        <v>150</v>
      </c>
      <c r="H42" s="10">
        <v>2.4</v>
      </c>
      <c r="I42" s="62">
        <v>45726.0</v>
      </c>
      <c r="J42" s="10"/>
    </row>
    <row r="43">
      <c r="G43" s="10" t="s">
        <v>155</v>
      </c>
      <c r="H43" s="10">
        <v>10.61</v>
      </c>
      <c r="I43" s="62">
        <v>45726.0</v>
      </c>
      <c r="J43" s="10" t="s">
        <v>572</v>
      </c>
    </row>
    <row r="44">
      <c r="G44" s="10" t="s">
        <v>150</v>
      </c>
      <c r="H44" s="10">
        <v>0.12</v>
      </c>
      <c r="I44" s="62">
        <v>45727.0</v>
      </c>
      <c r="J44" s="165"/>
    </row>
    <row r="45">
      <c r="G45" s="10" t="s">
        <v>150</v>
      </c>
      <c r="H45" s="10">
        <v>0.12</v>
      </c>
      <c r="I45" s="62">
        <v>45728.0</v>
      </c>
    </row>
    <row r="46">
      <c r="G46" s="10" t="s">
        <v>171</v>
      </c>
      <c r="H46" s="10">
        <v>37.95</v>
      </c>
      <c r="I46" s="62">
        <v>45729.0</v>
      </c>
      <c r="J46" s="10" t="s">
        <v>573</v>
      </c>
    </row>
    <row r="47">
      <c r="I47" s="62"/>
    </row>
    <row r="48">
      <c r="I48" s="121"/>
    </row>
    <row r="49">
      <c r="I49" s="121"/>
    </row>
    <row r="50">
      <c r="I50" s="121"/>
    </row>
    <row r="51">
      <c r="I51" s="121"/>
    </row>
  </sheetData>
  <conditionalFormatting sqref="I1">
    <cfRule type="notContainsBlanks" dxfId="2" priority="1">
      <formula>LEN(TRIM(I1))&gt;0</formula>
    </cfRule>
  </conditionalFormatting>
  <conditionalFormatting sqref="A9:N15">
    <cfRule type="cellIs" dxfId="3" priority="2" operator="equal">
      <formula>"TIMS"</formula>
    </cfRule>
  </conditionalFormatting>
  <conditionalFormatting sqref="A9:N15">
    <cfRule type="cellIs" dxfId="4" priority="3" operator="equal">
      <formula>"Dispo"</formula>
    </cfRule>
  </conditionalFormatting>
  <conditionalFormatting sqref="A9:N15">
    <cfRule type="cellIs" dxfId="1" priority="4" operator="equal">
      <formula>"Gas"</formula>
    </cfRule>
  </conditionalFormatting>
  <conditionalFormatting sqref="G18:G56">
    <cfRule type="cellIs" dxfId="3" priority="5" operator="equal">
      <formula>"TIMS"</formula>
    </cfRule>
  </conditionalFormatting>
  <conditionalFormatting sqref="G18:G56">
    <cfRule type="cellIs" dxfId="4" priority="6" operator="equal">
      <formula>"Dispo"</formula>
    </cfRule>
  </conditionalFormatting>
  <conditionalFormatting sqref="G18:G56">
    <cfRule type="cellIs" dxfId="5" priority="7" operator="equal">
      <formula>"McDonalds"</formula>
    </cfRule>
  </conditionalFormatting>
  <conditionalFormatting sqref="H18:H60">
    <cfRule type="cellIs" dxfId="1" priority="8" operator="greaterThan">
      <formula>60</formula>
    </cfRule>
  </conditionalFormatting>
  <conditionalFormatting sqref="H18:H60">
    <cfRule type="cellIs" dxfId="6" priority="9" operator="between">
      <formula>30</formula>
      <formula>60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181"/>
      <c r="C1" s="1"/>
      <c r="E1" s="54" t="s">
        <v>114</v>
      </c>
      <c r="F1" s="55">
        <f>TODAY()
</f>
        <v>45905</v>
      </c>
      <c r="H1" s="56" t="s">
        <v>115</v>
      </c>
      <c r="I1" s="32">
        <f>SUM(IFERROR(16:16, 0))
</f>
        <v>482.24</v>
      </c>
      <c r="K1" s="10" t="s">
        <v>265</v>
      </c>
      <c r="M1" s="10" t="s">
        <v>266</v>
      </c>
      <c r="O1" s="10" t="s">
        <v>116</v>
      </c>
    </row>
    <row r="2">
      <c r="C2" s="62"/>
      <c r="E2" s="10" t="s">
        <v>118</v>
      </c>
      <c r="F2" s="60">
        <v>45716.0</v>
      </c>
      <c r="H2" s="56" t="s">
        <v>119</v>
      </c>
      <c r="I2" s="61">
        <f>500+147</f>
        <v>647</v>
      </c>
      <c r="K2" s="10" t="s">
        <v>173</v>
      </c>
      <c r="L2" s="10">
        <v>40.0</v>
      </c>
      <c r="M2" s="10" t="s">
        <v>267</v>
      </c>
      <c r="O2" s="10" t="s">
        <v>506</v>
      </c>
    </row>
    <row r="3">
      <c r="C3" s="62"/>
      <c r="E3" s="10" t="s">
        <v>120</v>
      </c>
      <c r="F3" s="26">
        <f>F2-F1
</f>
        <v>-189</v>
      </c>
      <c r="H3" s="24" t="s">
        <v>80</v>
      </c>
      <c r="I3" s="56">
        <f>I2-I1
</f>
        <v>164.76</v>
      </c>
      <c r="K3" s="10" t="s">
        <v>268</v>
      </c>
      <c r="L3" s="10" t="s">
        <v>269</v>
      </c>
      <c r="M3" s="10" t="s">
        <v>270</v>
      </c>
      <c r="O3" s="10" t="s">
        <v>121</v>
      </c>
    </row>
    <row r="4">
      <c r="C4" s="62"/>
      <c r="E4" s="10" t="s">
        <v>49</v>
      </c>
      <c r="F4" s="26">
        <f>I2-I1
</f>
        <v>164.76</v>
      </c>
      <c r="H4" s="63"/>
      <c r="I4" s="63"/>
      <c r="K4" s="10" t="s">
        <v>27</v>
      </c>
      <c r="L4" s="10" t="s">
        <v>271</v>
      </c>
    </row>
    <row r="5">
      <c r="C5" s="62"/>
      <c r="E5" s="10" t="s">
        <v>122</v>
      </c>
      <c r="H5" s="64" t="s">
        <v>123</v>
      </c>
      <c r="I5" s="64">
        <f>I3/F3
</f>
        <v>-0.8717460317</v>
      </c>
    </row>
    <row r="6">
      <c r="C6" s="62"/>
      <c r="K6" s="65"/>
      <c r="R6" s="66"/>
    </row>
    <row r="7">
      <c r="A7" s="53"/>
      <c r="C7" s="70"/>
      <c r="D7" s="67"/>
      <c r="F7" s="174"/>
      <c r="G7" s="70"/>
      <c r="H7" s="44"/>
      <c r="J7" s="185"/>
      <c r="K7" s="44"/>
      <c r="L7" s="69"/>
      <c r="M7" s="44"/>
      <c r="O7" s="177"/>
      <c r="P7" s="10" t="s">
        <v>313</v>
      </c>
    </row>
    <row r="8">
      <c r="A8" s="72">
        <v>45702.0</v>
      </c>
      <c r="B8" s="72">
        <v>45703.0</v>
      </c>
      <c r="C8" s="73">
        <v>45704.0</v>
      </c>
      <c r="D8" s="72">
        <v>45705.0</v>
      </c>
      <c r="E8" s="72">
        <v>45706.0</v>
      </c>
      <c r="F8" s="72">
        <v>45707.0</v>
      </c>
      <c r="G8" s="72">
        <v>45708.0</v>
      </c>
      <c r="H8" s="72">
        <v>45709.0</v>
      </c>
      <c r="I8" s="72">
        <v>45710.0</v>
      </c>
      <c r="J8" s="72">
        <v>45711.0</v>
      </c>
      <c r="K8" s="72">
        <v>45712.0</v>
      </c>
      <c r="L8" s="72">
        <v>45713.0</v>
      </c>
      <c r="M8" s="72">
        <v>45714.0</v>
      </c>
      <c r="N8" s="72">
        <v>45715.0</v>
      </c>
      <c r="O8" s="74"/>
      <c r="P8" s="10" t="s">
        <v>125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  <c r="O9" s="53"/>
      <c r="P9" s="10" t="s">
        <v>133</v>
      </c>
    </row>
    <row r="10">
      <c r="A10" s="53" t="str">
        <f>IFERROR(__xludf.DUMMYFUNCTION("FILTER(G17:G52, I17:I52=A8)
"),"Expedia")</f>
        <v>Expedia</v>
      </c>
      <c r="B10" s="10" t="str">
        <f>IFERROR(__xludf.DUMMYFUNCTION("FILTER(G17:G52, I17:I52=B8)
"),"Car Wash")</f>
        <v>Car Wash</v>
      </c>
      <c r="C10" s="10" t="str">
        <f>IFERROR(__xludf.DUMMYFUNCTION("FILTER(G17:G52, I17:I52=C8)
"),"#N/A")</f>
        <v>#N/A</v>
      </c>
      <c r="D10" s="26" t="str">
        <f>IFERROR(__xludf.DUMMYFUNCTION("FILTER(G17:G52, I17:I52=D8)
"),"Gas")</f>
        <v>Gas</v>
      </c>
      <c r="E10" s="74" t="str">
        <f>IFERROR(__xludf.DUMMYFUNCTION("FILTER(G17:G52, I17:I52=E8)
"),"Dispo")</f>
        <v>Dispo</v>
      </c>
      <c r="F10" s="177" t="str">
        <f>IFERROR(__xludf.DUMMYFUNCTION("FILTER(G17:G52, I17:I52=F8)
"),"TIMS")</f>
        <v>TIMS</v>
      </c>
      <c r="G10" s="26" t="str">
        <f>IFERROR(__xludf.DUMMYFUNCTION("FILTER(G17:G52, I17:I52=G8)
"),"#N/A")</f>
        <v>#N/A</v>
      </c>
      <c r="H10" s="177" t="str">
        <f>IFERROR(__xludf.DUMMYFUNCTION("FILTER(G17:G52, I17:I52=H8)
"),"TIMS")</f>
        <v>TIMS</v>
      </c>
      <c r="I10" s="10" t="str">
        <f>IFERROR(__xludf.DUMMYFUNCTION("FILTER(G16:G51, I16:I51=I8)
"),"McDonalds")</f>
        <v>McDonalds</v>
      </c>
      <c r="J10" s="26" t="str">
        <f>IFERROR(__xludf.DUMMYFUNCTION("FILTER(G15:G50, I15:I50=J8)
"),"Car Wash")</f>
        <v>Car Wash</v>
      </c>
      <c r="K10" s="177" t="str">
        <f>IFERROR(__xludf.DUMMYFUNCTION("FILTER(G15:G50, I15:I50=K8)
"),"TIMS")</f>
        <v>TIMS</v>
      </c>
      <c r="L10" s="177" t="str">
        <f>IFERROR(__xludf.DUMMYFUNCTION("FILTER(G15:G65, I15:I65=L8)
"),"TIMS")</f>
        <v>TIMS</v>
      </c>
      <c r="M10" s="105" t="str">
        <f>IFERROR(__xludf.DUMMYFUNCTION("FILTER(G15:G65, I15:I65=M8)
"),"TIMS")</f>
        <v>TIMS</v>
      </c>
      <c r="N10" s="177" t="str">
        <f>IFERROR(__xludf.DUMMYFUNCTION("FILTER(G15:G65, I15:I65=N8)
"),"TIMS")</f>
        <v>TIMS</v>
      </c>
      <c r="O10" s="183"/>
      <c r="P10" s="10" t="s">
        <v>134</v>
      </c>
    </row>
    <row r="11">
      <c r="A11" s="26" t="str">
        <f>IFERROR(__xludf.DUMMYFUNCTION("""COMPUTED_VALUE"""),"Wal Mart")</f>
        <v>Wal Mart</v>
      </c>
      <c r="B11" s="26" t="str">
        <f>IFERROR(__xludf.DUMMYFUNCTION("""COMPUTED_VALUE"""),"McDonalds")</f>
        <v>McDonalds</v>
      </c>
      <c r="E11" s="177" t="str">
        <f>IFERROR(__xludf.DUMMYFUNCTION("""COMPUTED_VALUE"""),"TIMS")</f>
        <v>TIMS</v>
      </c>
      <c r="F11" s="26" t="str">
        <f>IFERROR(__xludf.DUMMYFUNCTION("""COMPUTED_VALUE"""),"Candys")</f>
        <v>Candys</v>
      </c>
      <c r="I11" s="177" t="str">
        <f>IFERROR(__xludf.DUMMYFUNCTION("""COMPUTED_VALUE"""),"TIMS")</f>
        <v>TIMS</v>
      </c>
      <c r="J11" s="26" t="str">
        <f>IFERROR(__xludf.DUMMYFUNCTION("""COMPUTED_VALUE"""),"Dollarama")</f>
        <v>Dollarama</v>
      </c>
      <c r="L11" s="26" t="str">
        <f>IFERROR(__xludf.DUMMYFUNCTION("""COMPUTED_VALUE"""),"Subway")</f>
        <v>Subway</v>
      </c>
    </row>
    <row r="12">
      <c r="A12" s="26" t="str">
        <f>IFERROR(__xludf.DUMMYFUNCTION("""COMPUTED_VALUE"""),"McDonalds")</f>
        <v>McDonalds</v>
      </c>
      <c r="F12" s="26" t="str">
        <f>IFERROR(__xludf.DUMMYFUNCTION("""COMPUTED_VALUE"""),"Mary Brown")</f>
        <v>Mary Brown</v>
      </c>
      <c r="I12" s="26" t="str">
        <f>IFERROR(__xludf.DUMMYFUNCTION("""COMPUTED_VALUE"""),"Wal Mart")</f>
        <v>Wal Mart</v>
      </c>
      <c r="J12" s="177" t="str">
        <f>IFERROR(__xludf.DUMMYFUNCTION("""COMPUTED_VALUE"""),"TIMS")</f>
        <v>TIMS</v>
      </c>
      <c r="L12" s="26" t="str">
        <f>IFERROR(__xludf.DUMMYFUNCTION("""COMPUTED_VALUE"""),"Popeyes")</f>
        <v>Popeyes</v>
      </c>
    </row>
    <row r="13">
      <c r="A13" s="202" t="str">
        <f>IFERROR(__xludf.DUMMYFUNCTION("""COMPUTED_VALUE"""),"Jose's")</f>
        <v>Jose's</v>
      </c>
      <c r="B13" s="78"/>
    </row>
    <row r="14">
      <c r="A14" s="203" t="str">
        <f>IFERROR(__xludf.DUMMYFUNCTION("""COMPUTED_VALUE"""),"TIMS")</f>
        <v>TIMS</v>
      </c>
      <c r="B14" s="78"/>
      <c r="K14" s="10" t="s">
        <v>122</v>
      </c>
    </row>
    <row r="15">
      <c r="A15" s="204"/>
      <c r="B15" s="204"/>
      <c r="P15" s="26">
        <f>482.24-481.09</f>
        <v>1.15</v>
      </c>
    </row>
    <row r="16">
      <c r="A16" s="56">
        <f>IFERROR(__xludf.DUMMYFUNCTION("SUM(FILTER(H17:H52, I17:I52=A8))
"),259.37)</f>
        <v>259.37</v>
      </c>
      <c r="B16" s="56">
        <f>IFERROR(__xludf.DUMMYFUNCTION("SUM(FILTER(H17:H52, I17:I52=B8))
"),8.690000000000001)</f>
        <v>8.69</v>
      </c>
      <c r="C16" s="56" t="str">
        <f>IFERROR(__xludf.DUMMYFUNCTION("SUM(FILTER(H17:H52, I17:I52=C8))
"),"#N/A")</f>
        <v>#N/A</v>
      </c>
      <c r="D16" s="56">
        <f>IFERROR(__xludf.DUMMYFUNCTION("SUM(FILTER(H17:H52, I17:I52=D8))
"),47.43)</f>
        <v>47.43</v>
      </c>
      <c r="E16" s="56">
        <f>IFERROR(__xludf.DUMMYFUNCTION("SUM(FILTER(H17:H52, I17:I52=E8))
"),72.00999999999999)</f>
        <v>72.01</v>
      </c>
      <c r="F16" s="56">
        <f>IFERROR(__xludf.DUMMYFUNCTION("SUM(FILTER(H17:H52, I17:I52=F8))
"),22.759999999999998)</f>
        <v>22.76</v>
      </c>
      <c r="G16" s="56" t="str">
        <f>IFERROR(__xludf.DUMMYFUNCTION("SUM(FILTER(H17:H52, I17:I52=G8))
"),"#N/A")</f>
        <v>#N/A</v>
      </c>
      <c r="H16" s="56">
        <f>IFERROR(__xludf.DUMMYFUNCTION("SUM(FILTER(H17:H52, I17:I52=H8))
"),3.13)</f>
        <v>3.13</v>
      </c>
      <c r="I16" s="56">
        <f>IFERROR(__xludf.DUMMYFUNCTION("SUM(FILTER(H17:H52, I17:I52=I8))
"),18.98)</f>
        <v>18.98</v>
      </c>
      <c r="J16" s="56">
        <f>IFERROR(__xludf.DUMMYFUNCTION("SUM(FILTER(H17:H52, I17:I52=J8))
"),14.27)</f>
        <v>14.27</v>
      </c>
      <c r="K16" s="56">
        <f>IFERROR(__xludf.DUMMYFUNCTION("SUM(FILTER(H17:H52, I17:I52=K8))
"),2.17)</f>
        <v>2.17</v>
      </c>
      <c r="L16" s="56">
        <f>IFERROR(__xludf.DUMMYFUNCTION("SUM(FILTER(H17:H52, I17:I52=L8))
"),26.450000000000003)</f>
        <v>26.45</v>
      </c>
      <c r="M16" s="56">
        <f>IFERROR(__xludf.DUMMYFUNCTION("SUM(FILTER(H17:H52, I17:I52=M8))
"),2.4)</f>
        <v>2.4</v>
      </c>
      <c r="N16" s="35">
        <f>IFERROR(__xludf.DUMMYFUNCTION("SUM(FILTER(H17:H52, I17:I52=N8))
"),4.58)</f>
        <v>4.58</v>
      </c>
    </row>
    <row r="17">
      <c r="E17" s="79" t="s">
        <v>135</v>
      </c>
      <c r="F17" s="80">
        <f>COUNTIF(G18:G1002, "TIMS")+COUNTIF(G18:G1002, "Casa Miro")+COUNTIF(G18:G1002, "Toto")+COUNTIF(G18:G1002, "Coffee Exchange")+COUNTIF(G18:G1002, "Ciao Caffe")
</f>
        <v>10</v>
      </c>
      <c r="G17" s="81" t="s">
        <v>511</v>
      </c>
      <c r="H17" s="81"/>
      <c r="I17" s="82" t="s">
        <v>76</v>
      </c>
      <c r="J17" s="65"/>
      <c r="K17" s="84"/>
      <c r="L17" s="84"/>
      <c r="M17" s="84"/>
      <c r="N17" s="84"/>
    </row>
    <row r="18">
      <c r="E18" s="87" t="s">
        <v>138</v>
      </c>
      <c r="F18" s="205">
        <f>SUMIF(G18:G50, "Dispo", H18:H50)+SUMIF(G18:G50, "c cabana", H18:H50)</f>
        <v>67.1</v>
      </c>
      <c r="G18" s="10" t="s">
        <v>574</v>
      </c>
      <c r="H18" s="32">
        <f>225.18-B34</f>
        <v>168.86</v>
      </c>
      <c r="I18" s="62">
        <v>45702.0</v>
      </c>
      <c r="J18" s="206">
        <v>112.59</v>
      </c>
      <c r="K18" s="90"/>
      <c r="L18" s="19" t="s">
        <v>140</v>
      </c>
      <c r="M18" s="19"/>
      <c r="N18" s="19" t="s">
        <v>141</v>
      </c>
    </row>
    <row r="19">
      <c r="E19" s="92" t="s">
        <v>145</v>
      </c>
      <c r="F19" s="92">
        <f>SUMIF(G18:G50, "Keg", H18:H50)+SUMIF(G18:G50, "Ramen", H18:H50)+SUMIF(G18:G50, "Pizza", H18:H50) +SUMIF(G18:G50, "A&amp;W", H18:H50) + SUMIF(G18:G50, "Chucks", H18:H50) + SUMIF(G18:G50, "Cookie Bar", H18:H50) + SUMIF(G18:G50, "Burger King", H18:H50) + SUMIF(G18:G50, "Pho", H18:H50) + SUMIF(G18:G50, "McDonalds", H18:H50)+SUMIF(G18:G50, "Wendys", H18:H50)+SUMIF(G18:G50, "Hot Tacos", H18:H50)+SUMIF(G18:G50, "Popeyes", H18:H50)+SUMIF(G18:G50, "Chucks", H18:H50)+ SUMIF(G18:G50, "Subway", H18:H50)+ SUMIF(G18:G50, "Mary Brown", H18:H50)</f>
        <v>45.82</v>
      </c>
      <c r="G19" s="21" t="s">
        <v>171</v>
      </c>
      <c r="H19" s="28">
        <v>34.26</v>
      </c>
      <c r="I19" s="109">
        <v>45702.0</v>
      </c>
      <c r="J19" s="93"/>
      <c r="K19" s="90"/>
      <c r="L19" s="19" t="s">
        <v>514</v>
      </c>
      <c r="M19" s="97">
        <v>50.0</v>
      </c>
      <c r="N19" s="19"/>
    </row>
    <row r="20">
      <c r="E20" s="57" t="s">
        <v>27</v>
      </c>
      <c r="F20" s="10">
        <f>SUMIF(G18:G60, "Gas", H18:H60)</f>
        <v>47.43</v>
      </c>
      <c r="G20" s="21" t="s">
        <v>155</v>
      </c>
      <c r="H20" s="94">
        <v>4.49</v>
      </c>
      <c r="I20" s="109">
        <v>45702.0</v>
      </c>
      <c r="J20" s="93"/>
      <c r="K20" s="96"/>
      <c r="L20" s="19" t="s">
        <v>151</v>
      </c>
      <c r="M20" s="97">
        <v>120.0</v>
      </c>
      <c r="N20" s="19" t="s">
        <v>152</v>
      </c>
    </row>
    <row r="21">
      <c r="A21" s="10" t="s">
        <v>153</v>
      </c>
      <c r="B21" s="10" t="s">
        <v>154</v>
      </c>
      <c r="E21" s="85" t="s">
        <v>155</v>
      </c>
      <c r="F21" s="26">
        <f>SUMIF(G18:G50, "McDonalds", H18:H50) </f>
        <v>11.49</v>
      </c>
      <c r="G21" s="21" t="s">
        <v>411</v>
      </c>
      <c r="H21" s="28">
        <v>47.7</v>
      </c>
      <c r="I21" s="109">
        <v>45702.0</v>
      </c>
      <c r="J21" s="93"/>
      <c r="K21" s="90"/>
      <c r="L21" s="98" t="s">
        <v>157</v>
      </c>
      <c r="M21" s="97"/>
      <c r="N21" s="19"/>
    </row>
    <row r="22">
      <c r="A22" s="10" t="s">
        <v>158</v>
      </c>
      <c r="E22" s="10" t="s">
        <v>160</v>
      </c>
      <c r="F22" s="10">
        <f>SUMIF(G18:G50, "Urbn Planet", H18:H50)+SUMIF(G18:G50, "Winners", H18:H50) </f>
        <v>0</v>
      </c>
      <c r="G22" s="21" t="s">
        <v>150</v>
      </c>
      <c r="H22" s="94">
        <v>4.06</v>
      </c>
      <c r="I22" s="109">
        <v>45702.0</v>
      </c>
      <c r="J22" s="93"/>
      <c r="K22" s="90"/>
      <c r="L22" s="21" t="s">
        <v>162</v>
      </c>
      <c r="M22" s="97"/>
      <c r="N22" s="19"/>
    </row>
    <row r="23">
      <c r="A23" s="10" t="s">
        <v>165</v>
      </c>
      <c r="E23" s="10" t="s">
        <v>117</v>
      </c>
      <c r="F23" s="26">
        <f>0</f>
        <v>0</v>
      </c>
      <c r="G23" s="196" t="s">
        <v>371</v>
      </c>
      <c r="H23" s="197">
        <v>3.0</v>
      </c>
      <c r="I23" s="109">
        <v>45703.0</v>
      </c>
      <c r="J23" s="207"/>
      <c r="K23" s="90"/>
      <c r="L23" s="19"/>
      <c r="M23" s="97"/>
      <c r="N23" s="19"/>
    </row>
    <row r="24">
      <c r="E24" s="102" t="s">
        <v>170</v>
      </c>
      <c r="F24" s="26">
        <f>SUMIF(G18:G50, "LCBO", H18:H50) + SUMIF(G18:G50, "Beer Store", H18:H50)+ SUMIF(G18:G50, "Drinks", H18:H50)+SUMIF(G18:G50, "Beer", H18:H50)+SUMIF(G18:G50, "Wine", H18:H50)</f>
        <v>0</v>
      </c>
      <c r="G24" s="196" t="s">
        <v>155</v>
      </c>
      <c r="H24" s="197">
        <v>5.69</v>
      </c>
      <c r="I24" s="109">
        <v>45703.0</v>
      </c>
      <c r="J24" s="89"/>
      <c r="K24" s="90"/>
      <c r="L24" s="19" t="s">
        <v>52</v>
      </c>
      <c r="M24" s="97">
        <f>M19+M20+M22+M21+M23</f>
        <v>170</v>
      </c>
      <c r="N24" s="19"/>
    </row>
    <row r="25">
      <c r="A25" s="10" t="s">
        <v>172</v>
      </c>
      <c r="E25" s="105" t="s">
        <v>173</v>
      </c>
      <c r="F25" s="10">
        <f>SUMIF(G18:G50, "TIMS", H18:H50) + SUMIF(G18:G50, "Casa Miro", H18:H50) + SUMIF(G18:G50, "Toto", H18:H50) + SUMIF(G18:G50, "Coffee Exchange", H18:H50)+ SUMIF(G18:G50, "Ciao Caffe", H18:H50)
</f>
        <v>36.67</v>
      </c>
      <c r="G25" s="21" t="s">
        <v>27</v>
      </c>
      <c r="H25" s="28">
        <v>47.43</v>
      </c>
      <c r="I25" s="109">
        <v>45705.0</v>
      </c>
      <c r="J25" s="89"/>
      <c r="K25" s="19"/>
      <c r="L25" s="19"/>
      <c r="M25" s="107"/>
      <c r="N25" s="208"/>
    </row>
    <row r="26">
      <c r="E26" s="10" t="s">
        <v>52</v>
      </c>
      <c r="F26" s="26">
        <f>SUM(F18:F25)
</f>
        <v>208.51</v>
      </c>
      <c r="G26" s="21" t="s">
        <v>257</v>
      </c>
      <c r="H26" s="28">
        <v>67.1</v>
      </c>
      <c r="I26" s="109">
        <v>45706.0</v>
      </c>
      <c r="J26" s="206">
        <f>H26/2</f>
        <v>33.55</v>
      </c>
      <c r="K26" s="19"/>
    </row>
    <row r="27">
      <c r="A27" s="10"/>
      <c r="B27" s="66"/>
      <c r="E27" s="10" t="s">
        <v>177</v>
      </c>
      <c r="F27" s="10">
        <f>I1/(15-F3)</f>
        <v>2.363921569</v>
      </c>
      <c r="G27" s="21" t="s">
        <v>150</v>
      </c>
      <c r="H27" s="94">
        <v>4.91</v>
      </c>
      <c r="I27" s="109">
        <v>45706.0</v>
      </c>
      <c r="J27" s="89"/>
      <c r="K27" s="209">
        <f>J18+J26</f>
        <v>146.14</v>
      </c>
      <c r="L27" s="31" t="s">
        <v>575</v>
      </c>
    </row>
    <row r="28">
      <c r="A28" s="10" t="s">
        <v>525</v>
      </c>
      <c r="G28" s="21" t="s">
        <v>150</v>
      </c>
      <c r="H28" s="94">
        <v>8.09</v>
      </c>
      <c r="I28" s="109">
        <v>45707.0</v>
      </c>
      <c r="J28" s="210" t="s">
        <v>576</v>
      </c>
      <c r="K28" s="19"/>
    </row>
    <row r="29">
      <c r="G29" s="10" t="s">
        <v>565</v>
      </c>
      <c r="H29" s="10">
        <v>4.5</v>
      </c>
      <c r="I29" s="62">
        <v>45707.0</v>
      </c>
      <c r="J29" s="93"/>
    </row>
    <row r="30">
      <c r="A30" s="79" t="s">
        <v>577</v>
      </c>
      <c r="B30" s="37">
        <v>225.18</v>
      </c>
      <c r="C30" s="79" t="s">
        <v>489</v>
      </c>
      <c r="D30" s="211">
        <f>B30/2</f>
        <v>112.59</v>
      </c>
      <c r="E30" s="135"/>
      <c r="F30" s="135"/>
      <c r="G30" s="132" t="s">
        <v>578</v>
      </c>
      <c r="H30" s="132">
        <v>10.17</v>
      </c>
      <c r="I30" s="198">
        <v>45707.0</v>
      </c>
      <c r="J30" s="93"/>
      <c r="K30" s="135"/>
    </row>
    <row r="31">
      <c r="A31" s="79" t="s">
        <v>579</v>
      </c>
      <c r="B31" s="211"/>
      <c r="C31" s="211"/>
      <c r="D31" s="211"/>
      <c r="E31" s="135"/>
      <c r="F31" s="135"/>
      <c r="G31" s="132" t="s">
        <v>150</v>
      </c>
      <c r="H31" s="132">
        <v>3.13</v>
      </c>
      <c r="I31" s="198">
        <v>45709.0</v>
      </c>
      <c r="J31" s="93"/>
      <c r="L31" s="10"/>
    </row>
    <row r="32">
      <c r="A32" s="79" t="s">
        <v>574</v>
      </c>
      <c r="B32" s="37">
        <v>225.18</v>
      </c>
      <c r="C32" s="212">
        <v>45698.0</v>
      </c>
      <c r="E32" s="135"/>
      <c r="F32" s="135"/>
      <c r="G32" s="132" t="s">
        <v>155</v>
      </c>
      <c r="H32" s="132">
        <v>1.31</v>
      </c>
      <c r="I32" s="198">
        <v>45710.0</v>
      </c>
      <c r="J32" s="93" t="s">
        <v>580</v>
      </c>
    </row>
    <row r="33">
      <c r="A33" s="10" t="s">
        <v>581</v>
      </c>
      <c r="E33" s="135"/>
      <c r="F33" s="135"/>
      <c r="G33" s="132" t="s">
        <v>150</v>
      </c>
      <c r="H33" s="132">
        <v>3.25</v>
      </c>
      <c r="I33" s="198">
        <v>45710.0</v>
      </c>
      <c r="J33" s="93" t="s">
        <v>582</v>
      </c>
      <c r="K33" s="135">
        <f>H18</f>
        <v>168.86</v>
      </c>
    </row>
    <row r="34">
      <c r="A34" s="10" t="s">
        <v>583</v>
      </c>
      <c r="B34" s="10">
        <v>56.32</v>
      </c>
      <c r="E34" s="135"/>
      <c r="F34" s="167"/>
      <c r="G34" s="199" t="s">
        <v>171</v>
      </c>
      <c r="H34" s="132">
        <v>14.42</v>
      </c>
      <c r="I34" s="200">
        <v>45710.0</v>
      </c>
      <c r="J34" s="93" t="s">
        <v>257</v>
      </c>
      <c r="K34" s="135">
        <f>H26</f>
        <v>67.1</v>
      </c>
    </row>
    <row r="35">
      <c r="A35" s="10" t="s">
        <v>584</v>
      </c>
      <c r="E35" s="135"/>
      <c r="F35" s="132"/>
      <c r="G35" s="132" t="s">
        <v>371</v>
      </c>
      <c r="H35" s="132">
        <v>4.0</v>
      </c>
      <c r="I35" s="198">
        <v>45711.0</v>
      </c>
      <c r="J35" s="93" t="s">
        <v>585</v>
      </c>
      <c r="K35" s="132">
        <f>H19+H21</f>
        <v>81.96</v>
      </c>
    </row>
    <row r="36">
      <c r="E36" s="135"/>
      <c r="F36" s="135"/>
      <c r="G36" s="132" t="s">
        <v>259</v>
      </c>
      <c r="H36" s="132">
        <v>8.48</v>
      </c>
      <c r="I36" s="198">
        <v>45711.0</v>
      </c>
      <c r="J36" s="93" t="s">
        <v>52</v>
      </c>
      <c r="K36" s="132">
        <f>SUM(K33:K35)
</f>
        <v>317.92</v>
      </c>
      <c r="L36" s="26">
        <f>K36+F20</f>
        <v>365.35</v>
      </c>
    </row>
    <row r="37">
      <c r="A37" s="84"/>
      <c r="B37" s="84"/>
      <c r="C37" s="84"/>
      <c r="D37" s="84"/>
      <c r="E37" s="84"/>
      <c r="F37" s="84"/>
      <c r="G37" s="132" t="s">
        <v>150</v>
      </c>
      <c r="H37" s="132">
        <v>1.79</v>
      </c>
      <c r="I37" s="198">
        <v>45711.0</v>
      </c>
      <c r="J37" s="93" t="s">
        <v>586</v>
      </c>
      <c r="K37" s="135"/>
    </row>
    <row r="38">
      <c r="A38" s="85" t="s">
        <v>87</v>
      </c>
      <c r="B38" s="10">
        <v>31200.0</v>
      </c>
      <c r="E38" s="85" t="s">
        <v>363</v>
      </c>
      <c r="F38" s="132">
        <v>200.0</v>
      </c>
      <c r="G38" s="132" t="s">
        <v>150</v>
      </c>
      <c r="H38" s="132">
        <v>2.17</v>
      </c>
      <c r="I38" s="198">
        <v>45712.0</v>
      </c>
      <c r="J38" s="93"/>
      <c r="K38" s="135"/>
    </row>
    <row r="39">
      <c r="A39" s="85" t="s">
        <v>364</v>
      </c>
      <c r="B39" s="10">
        <v>36008.0</v>
      </c>
      <c r="E39" s="85" t="s">
        <v>365</v>
      </c>
      <c r="F39" s="135">
        <f>F38*5</f>
        <v>1000</v>
      </c>
      <c r="G39" s="132" t="s">
        <v>150</v>
      </c>
      <c r="H39" s="132">
        <v>2.29</v>
      </c>
      <c r="I39" s="198">
        <v>45713.0</v>
      </c>
      <c r="J39" s="93"/>
      <c r="K39" s="132"/>
    </row>
    <row r="40">
      <c r="A40" s="85" t="s">
        <v>52</v>
      </c>
      <c r="B40" s="26">
        <f>SUM(B38:B39)
</f>
        <v>67208</v>
      </c>
      <c r="E40" s="85" t="s">
        <v>366</v>
      </c>
      <c r="F40" s="135">
        <f>F39*4</f>
        <v>4000</v>
      </c>
      <c r="G40" s="132" t="s">
        <v>310</v>
      </c>
      <c r="H40" s="132">
        <v>8.35</v>
      </c>
      <c r="I40" s="198">
        <v>45713.0</v>
      </c>
      <c r="J40" s="93"/>
      <c r="K40" s="135"/>
    </row>
    <row r="41">
      <c r="A41" s="126" t="s">
        <v>367</v>
      </c>
      <c r="B41" s="168"/>
      <c r="C41" s="169">
        <f>TODAY()
</f>
        <v>45905</v>
      </c>
      <c r="E41" s="85" t="s">
        <v>368</v>
      </c>
      <c r="F41" s="135">
        <f>F40*12</f>
        <v>48000</v>
      </c>
      <c r="G41" s="132" t="s">
        <v>587</v>
      </c>
      <c r="H41" s="132">
        <v>15.81</v>
      </c>
      <c r="I41" s="198">
        <v>45713.0</v>
      </c>
      <c r="J41" s="93"/>
      <c r="K41" s="135"/>
    </row>
    <row r="42">
      <c r="A42" s="10" t="s">
        <v>369</v>
      </c>
      <c r="B42" s="26">
        <f>B40*(C42/100)</f>
        <v>8737.04</v>
      </c>
      <c r="C42" s="10">
        <v>13.0</v>
      </c>
      <c r="G42" s="10" t="s">
        <v>150</v>
      </c>
      <c r="H42" s="10">
        <v>2.4</v>
      </c>
      <c r="I42" s="62">
        <v>45714.0</v>
      </c>
      <c r="J42" s="213"/>
    </row>
    <row r="43">
      <c r="G43" s="10" t="s">
        <v>150</v>
      </c>
      <c r="H43" s="10">
        <v>4.58</v>
      </c>
      <c r="I43" s="62">
        <v>45715.0</v>
      </c>
      <c r="J43" s="214"/>
    </row>
    <row r="44">
      <c r="I44" s="62"/>
      <c r="J44" s="165"/>
    </row>
    <row r="45">
      <c r="I45" s="62"/>
    </row>
    <row r="46">
      <c r="I46" s="62"/>
    </row>
    <row r="47">
      <c r="I47" s="62"/>
    </row>
    <row r="48">
      <c r="I48" s="121"/>
    </row>
    <row r="49">
      <c r="I49" s="121"/>
    </row>
    <row r="50">
      <c r="I50" s="121"/>
    </row>
    <row r="51">
      <c r="I51" s="121"/>
    </row>
  </sheetData>
  <conditionalFormatting sqref="I1">
    <cfRule type="notContainsBlanks" dxfId="2" priority="1">
      <formula>LEN(TRIM(I1))&gt;0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588</v>
      </c>
      <c r="B1" s="181"/>
      <c r="C1" s="1"/>
      <c r="E1" s="54" t="s">
        <v>114</v>
      </c>
      <c r="F1" s="55">
        <f>TODAY()
</f>
        <v>45905</v>
      </c>
      <c r="H1" s="56" t="s">
        <v>115</v>
      </c>
      <c r="I1" s="32">
        <f>SUM(IFERROR(16:16, 0))
</f>
        <v>743.68</v>
      </c>
      <c r="K1" s="10" t="s">
        <v>265</v>
      </c>
      <c r="M1" s="10" t="s">
        <v>266</v>
      </c>
      <c r="O1" s="10" t="s">
        <v>116</v>
      </c>
    </row>
    <row r="2">
      <c r="C2" s="62"/>
      <c r="E2" s="10" t="s">
        <v>118</v>
      </c>
      <c r="F2" s="60">
        <v>45702.0</v>
      </c>
      <c r="H2" s="56" t="s">
        <v>119</v>
      </c>
      <c r="I2" s="61">
        <f>400+45.75+318</f>
        <v>763.75</v>
      </c>
      <c r="K2" s="10" t="s">
        <v>173</v>
      </c>
      <c r="L2" s="10">
        <v>40.0</v>
      </c>
      <c r="M2" s="10" t="s">
        <v>267</v>
      </c>
      <c r="O2" s="10" t="s">
        <v>589</v>
      </c>
    </row>
    <row r="3">
      <c r="C3" s="62"/>
      <c r="E3" s="10" t="s">
        <v>120</v>
      </c>
      <c r="F3" s="26">
        <f>F2-F1
</f>
        <v>-203</v>
      </c>
      <c r="H3" s="24" t="s">
        <v>80</v>
      </c>
      <c r="I3" s="56">
        <f>I2-I1
</f>
        <v>20.07</v>
      </c>
      <c r="K3" s="10" t="s">
        <v>268</v>
      </c>
      <c r="L3" s="10" t="s">
        <v>269</v>
      </c>
      <c r="M3" s="10" t="s">
        <v>270</v>
      </c>
    </row>
    <row r="4">
      <c r="C4" s="62"/>
      <c r="E4" s="10" t="s">
        <v>49</v>
      </c>
      <c r="F4" s="26">
        <f>I2-I1
</f>
        <v>20.07</v>
      </c>
      <c r="H4" s="63"/>
      <c r="I4" s="63"/>
      <c r="K4" s="10" t="s">
        <v>27</v>
      </c>
      <c r="L4" s="10" t="s">
        <v>271</v>
      </c>
    </row>
    <row r="5">
      <c r="C5" s="62"/>
      <c r="E5" s="10" t="s">
        <v>122</v>
      </c>
      <c r="H5" s="64" t="s">
        <v>123</v>
      </c>
      <c r="I5" s="64">
        <f>I3/F3
</f>
        <v>-0.09886699507</v>
      </c>
    </row>
    <row r="6">
      <c r="C6" s="62"/>
      <c r="K6" s="65"/>
      <c r="R6" s="66"/>
    </row>
    <row r="7">
      <c r="B7" s="69"/>
      <c r="C7" s="170"/>
      <c r="D7" s="170"/>
      <c r="E7" s="53"/>
      <c r="F7" s="185"/>
      <c r="G7" s="67"/>
      <c r="H7" s="53"/>
      <c r="J7" s="185"/>
      <c r="L7" s="53"/>
      <c r="O7" s="177"/>
      <c r="P7" s="10" t="s">
        <v>173</v>
      </c>
    </row>
    <row r="8">
      <c r="A8" s="72">
        <v>45688.0</v>
      </c>
      <c r="B8" s="72">
        <v>45689.0</v>
      </c>
      <c r="C8" s="73">
        <v>45690.0</v>
      </c>
      <c r="D8" s="72">
        <v>45691.0</v>
      </c>
      <c r="E8" s="72">
        <v>45692.0</v>
      </c>
      <c r="F8" s="72">
        <v>45693.0</v>
      </c>
      <c r="G8" s="72">
        <v>45694.0</v>
      </c>
      <c r="H8" s="72">
        <v>45695.0</v>
      </c>
      <c r="I8" s="72">
        <v>45696.0</v>
      </c>
      <c r="J8" s="72">
        <v>45697.0</v>
      </c>
      <c r="K8" s="72">
        <v>45698.0</v>
      </c>
      <c r="L8" s="72">
        <v>45699.0</v>
      </c>
      <c r="M8" s="72">
        <v>45700.0</v>
      </c>
      <c r="N8" s="72">
        <v>45701.0</v>
      </c>
      <c r="O8" s="74"/>
      <c r="P8" s="10" t="s">
        <v>125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  <c r="O9" s="53"/>
      <c r="P9" s="10" t="s">
        <v>133</v>
      </c>
    </row>
    <row r="10">
      <c r="A10" s="26" t="str">
        <f>IFERROR(__xludf.DUMMYFUNCTION("FILTER(G17:G52, I17:I52=A8)
"),"Metro")</f>
        <v>Metro</v>
      </c>
      <c r="B10" s="105" t="str">
        <f>IFERROR(__xludf.DUMMYFUNCTION("FILTER(G17:G52, I17:I52=B8)
"),"TIMS")</f>
        <v>TIMS</v>
      </c>
      <c r="C10" s="105" t="str">
        <f>IFERROR(__xludf.DUMMYFUNCTION("FILTER(G17:G52, I17:I52=C8)
"),"TIMS")</f>
        <v>TIMS</v>
      </c>
      <c r="D10" s="177" t="str">
        <f>IFERROR(__xludf.DUMMYFUNCTION("FILTER(G17:G52, I17:I52=D8)
"),"TIMS")</f>
        <v>TIMS</v>
      </c>
      <c r="E10" s="177" t="str">
        <f>IFERROR(__xludf.DUMMYFUNCTION("FILTER(G17:G52, I17:I52=E8)
"),"TIMS")</f>
        <v>TIMS</v>
      </c>
      <c r="F10" s="215" t="str">
        <f>IFERROR(__xludf.DUMMYFUNCTION("FILTER(G17:G52, I17:I52=F8)
"),"Dental")</f>
        <v>Dental</v>
      </c>
      <c r="G10" s="215" t="str">
        <f>IFERROR(__xludf.DUMMYFUNCTION("FILTER(G17:G52, I17:I52=G8)
"),"Enwin")</f>
        <v>Enwin</v>
      </c>
      <c r="H10" s="177" t="str">
        <f>IFERROR(__xludf.DUMMYFUNCTION("FILTER(G17:G52, I17:I52=H8)
"),"TIMS")</f>
        <v>TIMS</v>
      </c>
      <c r="I10" s="105" t="str">
        <f>IFERROR(__xludf.DUMMYFUNCTION("FILTER(G16:G51, I16:I51=I8)
"),"TIMS")</f>
        <v>TIMS</v>
      </c>
      <c r="J10" s="26" t="str">
        <f>IFERROR(__xludf.DUMMYFUNCTION("FILTER(G15:G50, I15:I50=J8)
"),"Dollarama")</f>
        <v>Dollarama</v>
      </c>
      <c r="K10" s="177" t="str">
        <f>IFERROR(__xludf.DUMMYFUNCTION("FILTER(G15:G50, I15:I50=K8)
"),"TIMS")</f>
        <v>TIMS</v>
      </c>
      <c r="L10" s="53" t="str">
        <f>IFERROR(__xludf.DUMMYFUNCTION("FILTER(G15:G65, I15:I65=L8)
"),"Metro")</f>
        <v>Metro</v>
      </c>
      <c r="M10" s="105" t="str">
        <f>IFERROR(__xludf.DUMMYFUNCTION("FILTER(G15:G65, I15:I65=M8)
"),"McDonalds")</f>
        <v>McDonalds</v>
      </c>
      <c r="N10" s="26" t="str">
        <f>IFERROR(__xludf.DUMMYFUNCTION("FILTER(G15:G65, I15:I65=N8)
"),"TIMS")</f>
        <v>TIMS</v>
      </c>
      <c r="O10" s="183"/>
      <c r="P10" s="10" t="s">
        <v>134</v>
      </c>
    </row>
    <row r="11">
      <c r="B11" s="26" t="str">
        <f>IFERROR(__xludf.DUMMYFUNCTION("""COMPUTED_VALUE"""),"Pizza")</f>
        <v>Pizza</v>
      </c>
      <c r="C11" s="26" t="str">
        <f>IFERROR(__xludf.DUMMYFUNCTION("""COMPUTED_VALUE"""),"Dollarama")</f>
        <v>Dollarama</v>
      </c>
      <c r="D11" s="26" t="str">
        <f>IFERROR(__xludf.DUMMYFUNCTION("""COMPUTED_VALUE"""),"Walmart")</f>
        <v>Walmart</v>
      </c>
      <c r="E11" s="26" t="str">
        <f>IFERROR(__xludf.DUMMYFUNCTION("""COMPUTED_VALUE"""),"Gas")</f>
        <v>Gas</v>
      </c>
      <c r="F11" s="177" t="str">
        <f>IFERROR(__xludf.DUMMYFUNCTION("""COMPUTED_VALUE"""),"TIMS")</f>
        <v>TIMS</v>
      </c>
      <c r="G11" s="26" t="str">
        <f>IFERROR(__xludf.DUMMYFUNCTION("""COMPUTED_VALUE"""),"TIMS")</f>
        <v>TIMS</v>
      </c>
      <c r="H11" s="74" t="str">
        <f>IFERROR(__xludf.DUMMYFUNCTION("""COMPUTED_VALUE"""),"Dispo")</f>
        <v>Dispo</v>
      </c>
      <c r="I11" s="177" t="str">
        <f>IFERROR(__xludf.DUMMYFUNCTION("""COMPUTED_VALUE"""),"TIMS")</f>
        <v>TIMS</v>
      </c>
      <c r="J11" s="26" t="str">
        <f>IFERROR(__xludf.DUMMYFUNCTION("""COMPUTED_VALUE"""),"Car Wash")</f>
        <v>Car Wash</v>
      </c>
      <c r="K11" s="26" t="str">
        <f>IFERROR(__xludf.DUMMYFUNCTION("""COMPUTED_VALUE"""),"Metro")</f>
        <v>Metro</v>
      </c>
    </row>
    <row r="12">
      <c r="B12" s="26" t="str">
        <f>IFERROR(__xludf.DUMMYFUNCTION("""COMPUTED_VALUE"""),"Beer")</f>
        <v>Beer</v>
      </c>
      <c r="C12" s="74" t="str">
        <f>IFERROR(__xludf.DUMMYFUNCTION("""COMPUTED_VALUE"""),"Dispo")</f>
        <v>Dispo</v>
      </c>
      <c r="E12" s="26" t="str">
        <f>IFERROR(__xludf.DUMMYFUNCTION("""COMPUTED_VALUE"""),"Macs")</f>
        <v>Macs</v>
      </c>
      <c r="F12" s="26" t="str">
        <f>IFERROR(__xludf.DUMMYFUNCTION("""COMPUTED_VALUE"""),"Shell")</f>
        <v>Shell</v>
      </c>
      <c r="H12" s="26" t="str">
        <f>IFERROR(__xludf.DUMMYFUNCTION("""COMPUTED_VALUE"""),"Bowling")</f>
        <v>Bowling</v>
      </c>
      <c r="K12" s="26" t="str">
        <f>IFERROR(__xludf.DUMMYFUNCTION("""COMPUTED_VALUE"""),"TIMS")</f>
        <v>TIMS</v>
      </c>
    </row>
    <row r="13">
      <c r="A13" s="78"/>
      <c r="B13" s="78" t="str">
        <f>IFERROR(__xludf.DUMMYFUNCTION("""COMPUTED_VALUE"""),"Wine")</f>
        <v>Wine</v>
      </c>
      <c r="F13" s="177" t="str">
        <f>IFERROR(__xludf.DUMMYFUNCTION("""COMPUTED_VALUE"""),"TIMS")</f>
        <v>TIMS</v>
      </c>
    </row>
    <row r="14">
      <c r="A14" s="204"/>
      <c r="B14" s="204"/>
      <c r="K14" s="10" t="s">
        <v>122</v>
      </c>
    </row>
    <row r="15">
      <c r="A15" s="204"/>
      <c r="B15" s="204"/>
    </row>
    <row r="16">
      <c r="A16" s="56">
        <f>IFERROR(__xludf.DUMMYFUNCTION("SUM(FILTER(H17:H52, I17:I52=A8))
"),9.99)</f>
        <v>9.99</v>
      </c>
      <c r="B16" s="56">
        <f>IFERROR(__xludf.DUMMYFUNCTION("SUM(FILTER(H17:H52, I17:I52=B8))
"),42.769999999999996)</f>
        <v>42.77</v>
      </c>
      <c r="C16" s="56">
        <f>IFERROR(__xludf.DUMMYFUNCTION("SUM(FILTER(H17:H52, I17:I52=C8))
"),28.59)</f>
        <v>28.59</v>
      </c>
      <c r="D16" s="56">
        <f>IFERROR(__xludf.DUMMYFUNCTION("SUM(FILTER(H17:H52, I17:I52=D8))
"),17.46)</f>
        <v>17.46</v>
      </c>
      <c r="E16" s="56">
        <f>IFERROR(__xludf.DUMMYFUNCTION("SUM(FILTER(H17:H52, I17:I52=E8))
"),74.52000000000001)</f>
        <v>74.52</v>
      </c>
      <c r="F16" s="56">
        <f>IFERROR(__xludf.DUMMYFUNCTION("SUM(FILTER(H17:H52, I17:I52=F8))
"),327.00999999999993)</f>
        <v>327.01</v>
      </c>
      <c r="G16" s="56">
        <f>IFERROR(__xludf.DUMMYFUNCTION("SUM(FILTER(H17:H52, I17:I52=G8))
"),47.82)</f>
        <v>47.82</v>
      </c>
      <c r="H16" s="56">
        <f>IFERROR(__xludf.DUMMYFUNCTION("SUM(FILTER(H17:H52, I17:I52=H8))
"),85.3)</f>
        <v>85.3</v>
      </c>
      <c r="I16" s="56">
        <f>IFERROR(__xludf.DUMMYFUNCTION("SUM(FILTER(H17:H52, I17:I52=I8))
"),8.8)</f>
        <v>8.8</v>
      </c>
      <c r="J16" s="56">
        <f>IFERROR(__xludf.DUMMYFUNCTION("SUM(FILTER(H17:H52, I17:I52=J8))
"),10.27)</f>
        <v>10.27</v>
      </c>
      <c r="K16" s="56">
        <f>IFERROR(__xludf.DUMMYFUNCTION("SUM(FILTER(H17:H52, I17:I52=K8))
"),14.790000000000001)</f>
        <v>14.79</v>
      </c>
      <c r="L16" s="56">
        <f>IFERROR(__xludf.DUMMYFUNCTION("SUM(FILTER(H17:H52, I17:I52=L8))
"),68.9)</f>
        <v>68.9</v>
      </c>
      <c r="M16" s="56">
        <f>IFERROR(__xludf.DUMMYFUNCTION("SUM(FILTER(H17:H52, I17:I52=M8))
"),3.4)</f>
        <v>3.4</v>
      </c>
      <c r="N16" s="35">
        <f>IFERROR(__xludf.DUMMYFUNCTION("SUM(FILTER(H17:H52, I17:I52=N8))
"),4.06)</f>
        <v>4.06</v>
      </c>
    </row>
    <row r="17">
      <c r="A17" s="10" t="s">
        <v>590</v>
      </c>
      <c r="E17" s="79" t="s">
        <v>135</v>
      </c>
      <c r="F17" s="80">
        <f>COUNTIF(G18:G1002, "TIMS")+COUNTIF(G18:G1002, "Casa Miro")+COUNTIF(G18:G1002, "Toto")+COUNTIF(G18:G1002, "Coffee Exchange")+COUNTIF(G18:G1002, "Ciao Caffe")
</f>
        <v>13</v>
      </c>
      <c r="G17" s="81" t="s">
        <v>511</v>
      </c>
      <c r="H17" s="81"/>
      <c r="I17" s="82" t="s">
        <v>591</v>
      </c>
      <c r="J17" s="65"/>
      <c r="K17" s="84"/>
      <c r="L17" s="84"/>
      <c r="M17" s="84"/>
      <c r="N17" s="84"/>
    </row>
    <row r="18">
      <c r="E18" s="205" t="s">
        <v>138</v>
      </c>
      <c r="F18" s="205">
        <f>SUMIF(G18:G50, "Dispo", H18:H50)+SUMIF(G18:G50, "c cabana", H18:H50)</f>
        <v>77.09</v>
      </c>
      <c r="G18" s="196" t="s">
        <v>261</v>
      </c>
      <c r="H18" s="197">
        <v>9.99</v>
      </c>
      <c r="I18" s="216">
        <v>45688.0</v>
      </c>
      <c r="J18" s="89"/>
      <c r="K18" s="90"/>
      <c r="L18" s="19" t="s">
        <v>140</v>
      </c>
      <c r="M18" s="19"/>
      <c r="N18" s="19" t="s">
        <v>141</v>
      </c>
    </row>
    <row r="19">
      <c r="E19" s="92" t="s">
        <v>145</v>
      </c>
      <c r="F19" s="92">
        <f>SUMIF(G18:G50, "Keg", H18:H50)+SUMIF(G18:G50, "Ramen", H18:H50)+SUMIF(G18:G50, "Pizza", H18:H50) +SUMIF(G18:G50, "A&amp;W", H18:H50) + SUMIF(G18:G50, "Chucks", H18:H50) + SUMIF(G18:G50, "Cookie Bar", H18:H50) + SUMIF(G18:G50, "Burger King", H18:H50) + SUMIF(G18:G50, "Pho", H18:H50) + SUMIF(G18:G50, "McDonalds", H18:H50)+SUMIF(G18:G50, "Wendys", H18:H50)+SUMIF(G18:G50, "Hot Tacos", H18:H50)+SUMIF(G18:G50, "Popeyes", H18:H50)+SUMIF(G18:G50, "Chucks", H18:H50)</f>
        <v>11.39</v>
      </c>
      <c r="G19" s="21" t="s">
        <v>150</v>
      </c>
      <c r="H19" s="94">
        <v>4.14</v>
      </c>
      <c r="I19" s="109">
        <v>45689.0</v>
      </c>
      <c r="J19" s="93"/>
      <c r="K19" s="90"/>
      <c r="L19" s="19" t="s">
        <v>514</v>
      </c>
      <c r="M19" s="97">
        <v>50.0</v>
      </c>
      <c r="N19" s="19"/>
    </row>
    <row r="20">
      <c r="E20" s="10" t="s">
        <v>27</v>
      </c>
      <c r="F20" s="10">
        <f>SUMIF(G18:G60, "Gas", H18:H60)</f>
        <v>70.51</v>
      </c>
      <c r="G20" s="21" t="s">
        <v>592</v>
      </c>
      <c r="H20" s="94">
        <v>7.99</v>
      </c>
      <c r="I20" s="109">
        <v>45689.0</v>
      </c>
      <c r="J20" s="93"/>
      <c r="K20" s="96"/>
      <c r="L20" s="19" t="s">
        <v>151</v>
      </c>
      <c r="M20" s="97">
        <v>120.0</v>
      </c>
      <c r="N20" s="19" t="s">
        <v>152</v>
      </c>
    </row>
    <row r="21">
      <c r="A21" s="10" t="s">
        <v>153</v>
      </c>
      <c r="B21" s="10" t="s">
        <v>154</v>
      </c>
      <c r="G21" s="21" t="s">
        <v>593</v>
      </c>
      <c r="H21" s="94">
        <v>16.95</v>
      </c>
      <c r="I21" s="109">
        <v>45689.0</v>
      </c>
      <c r="J21" s="93"/>
      <c r="K21" s="90"/>
      <c r="L21" s="21" t="s">
        <v>157</v>
      </c>
      <c r="M21" s="97"/>
      <c r="N21" s="19"/>
    </row>
    <row r="22">
      <c r="A22" s="10" t="s">
        <v>158</v>
      </c>
      <c r="E22" s="10" t="s">
        <v>160</v>
      </c>
      <c r="F22" s="10">
        <f>SUMIF(G18:G50, "Urbn Planet", H18:H50)+SUMIF(G18:G50, "Winners", H18:H50) </f>
        <v>0</v>
      </c>
      <c r="G22" s="21" t="s">
        <v>594</v>
      </c>
      <c r="H22" s="94">
        <v>13.69</v>
      </c>
      <c r="I22" s="109">
        <v>45689.0</v>
      </c>
      <c r="J22" s="93"/>
      <c r="K22" s="90"/>
      <c r="L22" s="21" t="s">
        <v>162</v>
      </c>
      <c r="M22" s="97"/>
      <c r="N22" s="19"/>
    </row>
    <row r="23">
      <c r="A23" s="10" t="s">
        <v>165</v>
      </c>
      <c r="E23" s="10" t="s">
        <v>117</v>
      </c>
      <c r="F23" s="26">
        <f>0</f>
        <v>0</v>
      </c>
      <c r="G23" s="196" t="s">
        <v>150</v>
      </c>
      <c r="H23" s="197">
        <v>4.37</v>
      </c>
      <c r="I23" s="109">
        <v>45690.0</v>
      </c>
      <c r="J23" s="207"/>
      <c r="K23" s="90"/>
      <c r="L23" s="19"/>
      <c r="M23" s="97"/>
      <c r="N23" s="19"/>
    </row>
    <row r="24">
      <c r="E24" s="10" t="s">
        <v>170</v>
      </c>
      <c r="F24" s="26">
        <f>SUMIF(G18:G50, "LCBO", H18:H50) + SUMIF(G18:G50, "Beer Store", H18:H50)+ SUMIF(G18:G50, "Drinks", H18:H50)+SUMIF(G18:G50, "Beer", H18:H50)+SUMIF(G18:G50, "Wine", H18:H50)</f>
        <v>30.64</v>
      </c>
      <c r="G24" s="196" t="s">
        <v>259</v>
      </c>
      <c r="H24" s="197">
        <v>5.5</v>
      </c>
      <c r="I24" s="109">
        <v>45690.0</v>
      </c>
      <c r="J24" s="89"/>
      <c r="K24" s="90"/>
      <c r="L24" s="19" t="s">
        <v>52</v>
      </c>
      <c r="M24" s="97">
        <f>M19+M20+M22+M21+M23</f>
        <v>170</v>
      </c>
      <c r="N24" s="19"/>
    </row>
    <row r="25">
      <c r="A25" s="10" t="s">
        <v>172</v>
      </c>
      <c r="E25" s="10" t="s">
        <v>173</v>
      </c>
      <c r="F25" s="10">
        <f>SUMIF(G18:G50, "TIMS", H18:H50) + SUMIF(G18:G50, "Casa Miro", H18:H50) + SUMIF(G18:G50, "Toto", H18:H50) + SUMIF(G18:G50, "Coffee Exchange", H18:H50)+ SUMIF(G18:G50, "Ciao Caffe", H18:H50)
</f>
        <v>39.56</v>
      </c>
      <c r="G25" s="21" t="s">
        <v>257</v>
      </c>
      <c r="H25" s="94">
        <v>18.72</v>
      </c>
      <c r="I25" s="109">
        <v>45690.0</v>
      </c>
      <c r="J25" s="89"/>
      <c r="K25" s="19"/>
      <c r="L25" s="19"/>
      <c r="M25" s="107"/>
      <c r="N25" s="208"/>
    </row>
    <row r="26">
      <c r="E26" s="10" t="s">
        <v>52</v>
      </c>
      <c r="F26" s="26">
        <f>SUM(F18:F25)
</f>
        <v>229.19</v>
      </c>
      <c r="G26" s="21" t="s">
        <v>150</v>
      </c>
      <c r="H26" s="94">
        <v>3.29</v>
      </c>
      <c r="I26" s="109">
        <v>45691.0</v>
      </c>
      <c r="J26" s="89" t="s">
        <v>595</v>
      </c>
      <c r="K26" s="19"/>
    </row>
    <row r="27">
      <c r="A27" s="10"/>
      <c r="B27" s="66"/>
      <c r="E27" s="10" t="s">
        <v>177</v>
      </c>
      <c r="F27" s="10">
        <f>I1/(15-F3)</f>
        <v>3.411376147</v>
      </c>
      <c r="G27" s="21" t="s">
        <v>596</v>
      </c>
      <c r="H27" s="94">
        <v>14.17</v>
      </c>
      <c r="I27" s="109">
        <v>45691.0</v>
      </c>
      <c r="J27" s="89" t="s">
        <v>597</v>
      </c>
      <c r="K27" s="19"/>
    </row>
    <row r="28">
      <c r="A28" s="10" t="s">
        <v>525</v>
      </c>
      <c r="G28" s="21" t="s">
        <v>150</v>
      </c>
      <c r="H28" s="94">
        <v>1.76</v>
      </c>
      <c r="I28" s="109">
        <v>45692.0</v>
      </c>
      <c r="J28" s="89"/>
      <c r="K28" s="19"/>
    </row>
    <row r="29">
      <c r="G29" s="10" t="s">
        <v>27</v>
      </c>
      <c r="H29" s="10">
        <v>70.51</v>
      </c>
      <c r="I29" s="62">
        <v>45692.0</v>
      </c>
      <c r="J29" s="93"/>
    </row>
    <row r="30">
      <c r="A30" s="79" t="s">
        <v>577</v>
      </c>
      <c r="B30" s="37">
        <v>225.18</v>
      </c>
      <c r="C30" s="79" t="s">
        <v>489</v>
      </c>
      <c r="D30" s="211">
        <f>B30/2</f>
        <v>112.59</v>
      </c>
      <c r="E30" s="135"/>
      <c r="F30" s="135"/>
      <c r="G30" s="132" t="s">
        <v>139</v>
      </c>
      <c r="H30" s="132">
        <v>2.25</v>
      </c>
      <c r="I30" s="198">
        <v>45692.0</v>
      </c>
      <c r="J30" s="93" t="s">
        <v>370</v>
      </c>
      <c r="K30" s="135"/>
    </row>
    <row r="31">
      <c r="A31" s="79" t="s">
        <v>579</v>
      </c>
      <c r="B31" s="211"/>
      <c r="C31" s="211"/>
      <c r="D31" s="211"/>
      <c r="E31" s="135"/>
      <c r="F31" s="135"/>
      <c r="G31" s="132" t="s">
        <v>598</v>
      </c>
      <c r="H31" s="132">
        <v>321.0</v>
      </c>
      <c r="I31" s="198">
        <v>45693.0</v>
      </c>
      <c r="J31" s="64" t="s">
        <v>599</v>
      </c>
      <c r="K31" s="44"/>
      <c r="L31" s="31" t="s">
        <v>600</v>
      </c>
    </row>
    <row r="32">
      <c r="A32" s="79" t="s">
        <v>574</v>
      </c>
      <c r="B32" s="37">
        <v>225.18</v>
      </c>
      <c r="C32" s="212">
        <v>45698.0</v>
      </c>
      <c r="E32" s="135"/>
      <c r="F32" s="135"/>
      <c r="G32" s="132" t="s">
        <v>150</v>
      </c>
      <c r="H32" s="132">
        <v>1.83</v>
      </c>
      <c r="I32" s="198">
        <v>45693.0</v>
      </c>
      <c r="J32" s="93"/>
    </row>
    <row r="33">
      <c r="A33" s="10" t="s">
        <v>581</v>
      </c>
      <c r="E33" s="135"/>
      <c r="F33" s="135"/>
      <c r="G33" s="132" t="s">
        <v>541</v>
      </c>
      <c r="H33" s="132">
        <v>2.59</v>
      </c>
      <c r="I33" s="198">
        <v>45693.0</v>
      </c>
      <c r="J33" s="93" t="s">
        <v>601</v>
      </c>
      <c r="K33" s="135"/>
    </row>
    <row r="34">
      <c r="E34" s="135"/>
      <c r="F34" s="167"/>
      <c r="G34" s="199" t="s">
        <v>150</v>
      </c>
      <c r="H34" s="132">
        <v>1.59</v>
      </c>
      <c r="I34" s="200">
        <v>45693.0</v>
      </c>
      <c r="J34" s="93"/>
      <c r="K34" s="135"/>
    </row>
    <row r="35">
      <c r="E35" s="135"/>
      <c r="F35" s="132"/>
      <c r="G35" s="132" t="s">
        <v>602</v>
      </c>
      <c r="H35" s="132">
        <v>45.75</v>
      </c>
      <c r="I35" s="198">
        <v>45694.0</v>
      </c>
      <c r="J35" s="93"/>
      <c r="K35" s="132"/>
    </row>
    <row r="36">
      <c r="E36" s="135"/>
      <c r="F36" s="135"/>
      <c r="G36" s="132" t="s">
        <v>150</v>
      </c>
      <c r="H36" s="132">
        <v>2.07</v>
      </c>
      <c r="I36" s="198">
        <v>45694.0</v>
      </c>
      <c r="J36" s="93"/>
      <c r="K36" s="132"/>
    </row>
    <row r="37">
      <c r="A37" s="84"/>
      <c r="B37" s="84"/>
      <c r="C37" s="84"/>
      <c r="D37" s="84"/>
      <c r="E37" s="84"/>
      <c r="F37" s="84"/>
      <c r="G37" s="132" t="s">
        <v>150</v>
      </c>
      <c r="H37" s="132">
        <v>2.07</v>
      </c>
      <c r="I37" s="198">
        <v>45695.0</v>
      </c>
      <c r="J37" s="93"/>
      <c r="K37" s="135"/>
    </row>
    <row r="38">
      <c r="A38" s="85" t="s">
        <v>87</v>
      </c>
      <c r="B38" s="10">
        <v>31200.0</v>
      </c>
      <c r="E38" s="85" t="s">
        <v>363</v>
      </c>
      <c r="F38" s="132">
        <v>100.0</v>
      </c>
      <c r="G38" s="132" t="s">
        <v>257</v>
      </c>
      <c r="H38" s="132">
        <v>58.37</v>
      </c>
      <c r="I38" s="198">
        <v>45695.0</v>
      </c>
      <c r="J38" s="93"/>
      <c r="K38" s="135"/>
    </row>
    <row r="39">
      <c r="A39" s="85" t="s">
        <v>364</v>
      </c>
      <c r="B39" s="10">
        <v>36008.0</v>
      </c>
      <c r="E39" s="85" t="s">
        <v>365</v>
      </c>
      <c r="F39" s="135">
        <f>F38*5</f>
        <v>500</v>
      </c>
      <c r="G39" s="132" t="s">
        <v>603</v>
      </c>
      <c r="H39" s="132">
        <v>24.86</v>
      </c>
      <c r="I39" s="198">
        <v>45695.0</v>
      </c>
      <c r="J39" s="93"/>
      <c r="K39" s="132"/>
    </row>
    <row r="40">
      <c r="A40" s="85" t="s">
        <v>52</v>
      </c>
      <c r="B40" s="26">
        <f>SUM(B38:B39)
</f>
        <v>67208</v>
      </c>
      <c r="E40" s="85" t="s">
        <v>366</v>
      </c>
      <c r="F40" s="135">
        <f>F39*4</f>
        <v>2000</v>
      </c>
      <c r="G40" s="132" t="s">
        <v>150</v>
      </c>
      <c r="H40" s="132">
        <v>5.49</v>
      </c>
      <c r="I40" s="198">
        <v>45696.0</v>
      </c>
      <c r="J40" s="93"/>
      <c r="K40" s="135"/>
    </row>
    <row r="41">
      <c r="A41" s="126" t="s">
        <v>367</v>
      </c>
      <c r="B41" s="168"/>
      <c r="C41" s="169">
        <f>TODAY()
</f>
        <v>45905</v>
      </c>
      <c r="E41" s="85" t="s">
        <v>368</v>
      </c>
      <c r="F41" s="135">
        <f>F40*12</f>
        <v>24000</v>
      </c>
      <c r="G41" s="132" t="s">
        <v>150</v>
      </c>
      <c r="H41" s="132">
        <v>3.31</v>
      </c>
      <c r="I41" s="198">
        <v>45696.0</v>
      </c>
      <c r="J41" s="93"/>
      <c r="K41" s="135"/>
    </row>
    <row r="42">
      <c r="A42" s="10" t="s">
        <v>369</v>
      </c>
      <c r="B42" s="26">
        <f>B40*(C42/100)</f>
        <v>8737.04</v>
      </c>
      <c r="C42" s="10">
        <v>13.0</v>
      </c>
      <c r="G42" s="10" t="s">
        <v>259</v>
      </c>
      <c r="H42" s="10">
        <v>6.27</v>
      </c>
      <c r="I42" s="62">
        <v>45697.0</v>
      </c>
      <c r="J42" s="213" t="s">
        <v>604</v>
      </c>
    </row>
    <row r="43">
      <c r="G43" s="10" t="s">
        <v>371</v>
      </c>
      <c r="H43" s="10">
        <v>4.0</v>
      </c>
      <c r="I43" s="62">
        <v>45697.0</v>
      </c>
      <c r="J43" s="214"/>
    </row>
    <row r="44">
      <c r="G44" s="10" t="s">
        <v>150</v>
      </c>
      <c r="H44" s="10">
        <v>3.99</v>
      </c>
      <c r="I44" s="62">
        <v>45698.0</v>
      </c>
      <c r="J44" s="165"/>
    </row>
    <row r="45">
      <c r="G45" s="10" t="s">
        <v>261</v>
      </c>
      <c r="H45" s="10">
        <v>9.21</v>
      </c>
      <c r="I45" s="62">
        <v>45698.0</v>
      </c>
    </row>
    <row r="46">
      <c r="G46" s="10" t="s">
        <v>150</v>
      </c>
      <c r="H46" s="10">
        <v>1.59</v>
      </c>
      <c r="I46" s="62">
        <v>45698.0</v>
      </c>
    </row>
    <row r="47">
      <c r="G47" s="10" t="s">
        <v>261</v>
      </c>
      <c r="H47" s="10">
        <v>68.9</v>
      </c>
      <c r="I47" s="62">
        <v>45699.0</v>
      </c>
      <c r="J47" s="10" t="s">
        <v>605</v>
      </c>
    </row>
    <row r="48">
      <c r="G48" s="10" t="s">
        <v>155</v>
      </c>
      <c r="H48" s="10">
        <v>3.4</v>
      </c>
      <c r="I48" s="121">
        <v>45700.0</v>
      </c>
    </row>
    <row r="49">
      <c r="G49" s="10" t="s">
        <v>150</v>
      </c>
      <c r="H49" s="10">
        <v>4.06</v>
      </c>
      <c r="I49" s="121">
        <v>45701.0</v>
      </c>
    </row>
    <row r="50">
      <c r="I50" s="121"/>
    </row>
    <row r="51">
      <c r="I51" s="121"/>
    </row>
  </sheetData>
  <conditionalFormatting sqref="I1">
    <cfRule type="notContainsBlanks" dxfId="2" priority="1">
      <formula>LEN(TRIM(I1))&gt;0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588</v>
      </c>
      <c r="B1" s="181"/>
      <c r="C1" s="1"/>
      <c r="E1" s="54" t="s">
        <v>114</v>
      </c>
      <c r="F1" s="55">
        <f>TODAY()
</f>
        <v>45905</v>
      </c>
      <c r="H1" s="56" t="s">
        <v>115</v>
      </c>
      <c r="I1" s="32">
        <f>SUM(IFERROR(16:16, 0))
</f>
        <v>697.74</v>
      </c>
      <c r="K1" s="10" t="s">
        <v>265</v>
      </c>
      <c r="M1" s="10" t="s">
        <v>266</v>
      </c>
      <c r="O1" s="10" t="s">
        <v>116</v>
      </c>
    </row>
    <row r="2">
      <c r="C2" s="62"/>
      <c r="E2" s="10" t="s">
        <v>118</v>
      </c>
      <c r="F2" s="60">
        <v>45688.0</v>
      </c>
      <c r="H2" s="56" t="s">
        <v>119</v>
      </c>
      <c r="I2" s="61">
        <f>550+27.86+17+100</f>
        <v>694.86</v>
      </c>
      <c r="K2" s="10" t="s">
        <v>173</v>
      </c>
      <c r="L2" s="10">
        <v>40.0</v>
      </c>
      <c r="M2" s="10" t="s">
        <v>267</v>
      </c>
      <c r="O2" s="10" t="s">
        <v>589</v>
      </c>
    </row>
    <row r="3">
      <c r="C3" s="62"/>
      <c r="E3" s="10" t="s">
        <v>120</v>
      </c>
      <c r="F3" s="26">
        <f>F2-F1
</f>
        <v>-217</v>
      </c>
      <c r="H3" s="24" t="s">
        <v>80</v>
      </c>
      <c r="I3" s="56">
        <f>I2-I1
</f>
        <v>-2.88</v>
      </c>
      <c r="K3" s="10" t="s">
        <v>268</v>
      </c>
      <c r="L3" s="10" t="s">
        <v>269</v>
      </c>
      <c r="M3" s="10" t="s">
        <v>270</v>
      </c>
    </row>
    <row r="4">
      <c r="C4" s="62"/>
      <c r="E4" s="10" t="s">
        <v>49</v>
      </c>
      <c r="F4" s="26">
        <f>I2-I1
</f>
        <v>-2.88</v>
      </c>
      <c r="H4" s="63"/>
      <c r="I4" s="63"/>
      <c r="K4" s="10" t="s">
        <v>27</v>
      </c>
      <c r="L4" s="10" t="s">
        <v>271</v>
      </c>
      <c r="T4" s="10" t="s">
        <v>606</v>
      </c>
    </row>
    <row r="5">
      <c r="C5" s="62"/>
      <c r="E5" s="10" t="s">
        <v>122</v>
      </c>
      <c r="H5" s="64" t="s">
        <v>123</v>
      </c>
      <c r="I5" s="64">
        <f>I3/F3
</f>
        <v>0.0132718894</v>
      </c>
    </row>
    <row r="6">
      <c r="C6" s="62"/>
      <c r="K6" s="65"/>
      <c r="R6" s="66"/>
    </row>
    <row r="7">
      <c r="A7" s="53"/>
      <c r="B7" s="53"/>
      <c r="C7" s="170"/>
      <c r="D7" s="70"/>
      <c r="F7" s="182"/>
      <c r="G7" s="67"/>
      <c r="I7" s="44"/>
      <c r="J7" s="172"/>
      <c r="K7" s="44"/>
      <c r="O7" s="177"/>
      <c r="P7" s="10" t="s">
        <v>173</v>
      </c>
    </row>
    <row r="8">
      <c r="A8" s="72">
        <v>45674.0</v>
      </c>
      <c r="B8" s="72">
        <v>45675.0</v>
      </c>
      <c r="C8" s="73">
        <v>45676.0</v>
      </c>
      <c r="D8" s="72">
        <v>45677.0</v>
      </c>
      <c r="E8" s="72">
        <v>45678.0</v>
      </c>
      <c r="F8" s="72">
        <v>45679.0</v>
      </c>
      <c r="G8" s="72">
        <v>45680.0</v>
      </c>
      <c r="H8" s="72">
        <v>45681.0</v>
      </c>
      <c r="I8" s="72">
        <v>45682.0</v>
      </c>
      <c r="J8" s="72">
        <v>45683.0</v>
      </c>
      <c r="K8" s="72">
        <v>45684.0</v>
      </c>
      <c r="L8" s="72">
        <v>45685.0</v>
      </c>
      <c r="M8" s="72">
        <v>45686.0</v>
      </c>
      <c r="N8" s="72">
        <v>45687.0</v>
      </c>
      <c r="O8" s="74"/>
      <c r="P8" s="10" t="s">
        <v>125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  <c r="O9" s="53"/>
      <c r="P9" s="10" t="s">
        <v>133</v>
      </c>
    </row>
    <row r="10">
      <c r="A10" s="53" t="str">
        <f>IFERROR(__xludf.DUMMYFUNCTION("FILTER(G17:G52, I17:I52=A8)
"),"Hotel")</f>
        <v>Hotel</v>
      </c>
      <c r="B10" s="32" t="str">
        <f>IFERROR(__xludf.DUMMYFUNCTION("FILTER(G17:G52, I17:I52=B8)
"),"Gas")</f>
        <v>Gas</v>
      </c>
      <c r="C10" s="10" t="str">
        <f>IFERROR(__xludf.DUMMYFUNCTION("FILTER(G17:G52, I17:I52=C8)
"),"Winners")</f>
        <v>Winners</v>
      </c>
      <c r="D10" s="177" t="str">
        <f>IFERROR(__xludf.DUMMYFUNCTION("FILTER(G17:G52, I17:I52=D8)
"),"TIMS")</f>
        <v>TIMS</v>
      </c>
      <c r="E10" s="177" t="str">
        <f>IFERROR(__xludf.DUMMYFUNCTION("FILTER(G17:G52, I17:I52=E8)
"),"TIMS")</f>
        <v>TIMS</v>
      </c>
      <c r="F10" s="177" t="str">
        <f>IFERROR(__xludf.DUMMYFUNCTION("FILTER(G17:G52, I17:I52=F8)
"),"TIMS")</f>
        <v>TIMS</v>
      </c>
      <c r="G10" s="53" t="str">
        <f>IFERROR(__xludf.DUMMYFUNCTION("FILTER(G17:G52, I17:I52=G8)
"),"Gas")</f>
        <v>Gas</v>
      </c>
      <c r="H10" s="177" t="str">
        <f>IFERROR(__xludf.DUMMYFUNCTION("FILTER(G17:G52, I17:I52=H8)
"),"TIMS")</f>
        <v>TIMS</v>
      </c>
      <c r="I10" s="105" t="str">
        <f>IFERROR(__xludf.DUMMYFUNCTION("FILTER(G16:G51, I16:I51=I8)
"),"TIMS")</f>
        <v>TIMS</v>
      </c>
      <c r="J10" s="53" t="str">
        <f>IFERROR(__xludf.DUMMYFUNCTION("FILTER(G15:G50, I15:I50=J8)
"),"Credit Check")</f>
        <v>Credit Check</v>
      </c>
      <c r="K10" s="177" t="str">
        <f>IFERROR(__xludf.DUMMYFUNCTION("FILTER(G15:G50, I15:I50=K8)
"),"TIMS")</f>
        <v>TIMS</v>
      </c>
      <c r="L10" s="177" t="str">
        <f>IFERROR(__xludf.DUMMYFUNCTION("FILTER(G15:G65, I15:I65=L8)
"),"TIMS")</f>
        <v>TIMS</v>
      </c>
      <c r="M10" s="10" t="str">
        <f>IFERROR(__xludf.DUMMYFUNCTION("FILTER(G15:G65, I15:I65=M8)
"),"McDonalds")</f>
        <v>McDonalds</v>
      </c>
      <c r="N10" s="177" t="str">
        <f>IFERROR(__xludf.DUMMYFUNCTION("FILTER(G15:G65, I15:I65=N8)
"),"TIMS")</f>
        <v>TIMS</v>
      </c>
    </row>
    <row r="11">
      <c r="A11" s="177" t="str">
        <f>IFERROR(__xludf.DUMMYFUNCTION("""COMPUTED_VALUE"""),"TIMS")</f>
        <v>TIMS</v>
      </c>
      <c r="B11" s="53" t="str">
        <f>IFERROR(__xludf.DUMMYFUNCTION("""COMPUTED_VALUE"""),"LCBO")</f>
        <v>LCBO</v>
      </c>
      <c r="C11" s="26" t="str">
        <f>IFERROR(__xludf.DUMMYFUNCTION("""COMPUTED_VALUE"""),"Wendys")</f>
        <v>Wendys</v>
      </c>
      <c r="E11" s="177" t="str">
        <f>IFERROR(__xludf.DUMMYFUNCTION("""COMPUTED_VALUE"""),"TIMS")</f>
        <v>TIMS</v>
      </c>
      <c r="G11" s="177" t="str">
        <f>IFERROR(__xludf.DUMMYFUNCTION("""COMPUTED_VALUE"""),"TIMS ")</f>
        <v>TIMS </v>
      </c>
      <c r="H11" s="74" t="str">
        <f>IFERROR(__xludf.DUMMYFUNCTION("""COMPUTED_VALUE"""),"Dispo")</f>
        <v>Dispo</v>
      </c>
      <c r="J11" s="74" t="str">
        <f>IFERROR(__xludf.DUMMYFUNCTION("""COMPUTED_VALUE"""),"Dispo")</f>
        <v>Dispo</v>
      </c>
      <c r="L11" s="74" t="str">
        <f>IFERROR(__xludf.DUMMYFUNCTION("""COMPUTED_VALUE"""),"Dispo")</f>
        <v>Dispo</v>
      </c>
      <c r="M11" s="177" t="str">
        <f>IFERROR(__xludf.DUMMYFUNCTION("""COMPUTED_VALUE"""),"TIMS")</f>
        <v>TIMS</v>
      </c>
      <c r="N11" s="26" t="str">
        <f>IFERROR(__xludf.DUMMYFUNCTION("""COMPUTED_VALUE"""),"Carrots n Dates")</f>
        <v>Carrots n Dates</v>
      </c>
    </row>
    <row r="12">
      <c r="A12" s="26" t="str">
        <f>IFERROR(__xludf.DUMMYFUNCTION("""COMPUTED_VALUE"""),"City Cafe")</f>
        <v>City Cafe</v>
      </c>
      <c r="B12" s="53" t="str">
        <f>IFERROR(__xludf.DUMMYFUNCTION("""COMPUTED_VALUE"""),"Keg")</f>
        <v>Keg</v>
      </c>
      <c r="C12" s="26" t="str">
        <f>IFERROR(__xludf.DUMMYFUNCTION("""COMPUTED_VALUE"""),"Candy's")</f>
        <v>Candy's</v>
      </c>
      <c r="E12" s="74" t="str">
        <f>IFERROR(__xludf.DUMMYFUNCTION("""COMPUTED_VALUE"""),"DISPO")</f>
        <v>DISPO</v>
      </c>
      <c r="G12" s="177" t="str">
        <f>IFERROR(__xludf.DUMMYFUNCTION("""COMPUTED_VALUE"""),"TIMS ")</f>
        <v>TIMS </v>
      </c>
      <c r="J12" s="26" t="str">
        <f>IFERROR(__xludf.DUMMYFUNCTION("""COMPUTED_VALUE"""),"Car Wash")</f>
        <v>Car Wash</v>
      </c>
    </row>
    <row r="13">
      <c r="A13" s="217" t="str">
        <f>IFERROR(__xludf.DUMMYFUNCTION("""COMPUTED_VALUE"""),"DISPO")</f>
        <v>DISPO</v>
      </c>
      <c r="B13" s="204"/>
    </row>
    <row r="14">
      <c r="A14" s="204" t="str">
        <f>IFERROR(__xludf.DUMMYFUNCTION("""COMPUTED_VALUE"""),"Pizza")</f>
        <v>Pizza</v>
      </c>
      <c r="B14" s="204"/>
      <c r="K14" s="10" t="s">
        <v>122</v>
      </c>
    </row>
    <row r="15">
      <c r="A15" s="204"/>
      <c r="B15" s="204"/>
    </row>
    <row r="16">
      <c r="A16" s="56">
        <f>IFERROR(__xludf.DUMMYFUNCTION("SUM(FILTER(H17:H52, I17:I52=A8))
"),216.04999999999998)</f>
        <v>216.05</v>
      </c>
      <c r="B16" s="56">
        <f>IFERROR(__xludf.DUMMYFUNCTION("SUM(FILTER(H17:H52, I17:I52=B8))
"),162.15)</f>
        <v>162.15</v>
      </c>
      <c r="C16" s="56">
        <f>IFERROR(__xludf.DUMMYFUNCTION("SUM(FILTER(H17:H52, I17:I52=C8))
"),25.019999999999996)</f>
        <v>25.02</v>
      </c>
      <c r="D16" s="56">
        <f>IFERROR(__xludf.DUMMYFUNCTION("SUM(FILTER(H17:H52, I17:I52=D8))
"),5.16)</f>
        <v>5.16</v>
      </c>
      <c r="E16" s="56">
        <f>IFERROR(__xludf.DUMMYFUNCTION("SUM(FILTER(H17:H52, I17:I52=E8))
"),41.58)</f>
        <v>41.58</v>
      </c>
      <c r="F16" s="56">
        <f>IFERROR(__xludf.DUMMYFUNCTION("SUM(FILTER(H17:H52, I17:I52=F8))
"),2.17)</f>
        <v>2.17</v>
      </c>
      <c r="G16" s="56">
        <f>IFERROR(__xludf.DUMMYFUNCTION("SUM(FILTER(H17:H52, I17:I52=G8))
"),76.46999999999998)</f>
        <v>76.47</v>
      </c>
      <c r="H16" s="56">
        <f>IFERROR(__xludf.DUMMYFUNCTION("SUM(FILTER(H17:H52, I17:I52=H8))
"),29.0)</f>
        <v>29</v>
      </c>
      <c r="I16" s="56">
        <f>IFERROR(__xludf.DUMMYFUNCTION("SUM(FILTER(H17:H52, I17:I52=I8))
"),3.0)</f>
        <v>3</v>
      </c>
      <c r="J16" s="56">
        <f>IFERROR(__xludf.DUMMYFUNCTION("SUM(FILTER(H17:H52, I17:I52=J8))
"),95.17)</f>
        <v>95.17</v>
      </c>
      <c r="K16" s="56">
        <f>IFERROR(__xludf.DUMMYFUNCTION("SUM(FILTER(H17:H52, I17:I52=K8))
"),3.07)</f>
        <v>3.07</v>
      </c>
      <c r="L16" s="56">
        <f>IFERROR(__xludf.DUMMYFUNCTION("SUM(FILTER(H17:H52, I17:I52=L8))
"),15.6)</f>
        <v>15.6</v>
      </c>
      <c r="M16" s="56">
        <f>IFERROR(__xludf.DUMMYFUNCTION("SUM(FILTER(H17:H52, I17:I52=M8))
"),14.450000000000001)</f>
        <v>14.45</v>
      </c>
      <c r="N16" s="35">
        <f>IFERROR(__xludf.DUMMYFUNCTION("SUM(FILTER(H17:H52, I17:I52=N8))
"),8.85)</f>
        <v>8.85</v>
      </c>
    </row>
    <row r="17">
      <c r="A17" s="10" t="s">
        <v>590</v>
      </c>
      <c r="E17" s="79" t="s">
        <v>135</v>
      </c>
      <c r="F17" s="80">
        <f>COUNTIF(G18:G1002, "TIMS")+COUNTIF(G18:G1002, "Casa Miro")+COUNTIF(G18:G1002, "Toto")+COUNTIF(G18:G1002, "Coffee Exchange")+COUNTIF(G18:G1002, "Ciao Caffe")
</f>
        <v>11</v>
      </c>
      <c r="G17" s="81" t="s">
        <v>511</v>
      </c>
      <c r="H17" s="81"/>
      <c r="I17" s="82" t="s">
        <v>60</v>
      </c>
      <c r="J17" s="65"/>
    </row>
    <row r="18">
      <c r="E18" s="205" t="s">
        <v>138</v>
      </c>
      <c r="F18" s="205">
        <f>SUMIF(G18:G50, "Dispo", H18:H50)+SUMIF(G18:G50, "c cabana", H18:H50)</f>
        <v>140.79</v>
      </c>
      <c r="G18" s="196" t="s">
        <v>577</v>
      </c>
      <c r="H18" s="197">
        <v>156.06</v>
      </c>
      <c r="I18" s="216">
        <v>45674.0</v>
      </c>
      <c r="J18" s="89"/>
      <c r="K18" s="208"/>
      <c r="L18" s="19" t="s">
        <v>140</v>
      </c>
      <c r="M18" s="19"/>
      <c r="N18" s="19" t="s">
        <v>141</v>
      </c>
    </row>
    <row r="19">
      <c r="E19" s="92" t="s">
        <v>145</v>
      </c>
      <c r="F19" s="92">
        <f>SUMIF(G18:G50, "Keg", H18:H50)+SUMIF(G18:G50, "Ramen", H18:H50)+SUMIF(G18:G50, "Pizza", H18:H50) +SUMIF(G18:G50, "A&amp;W", H18:H50) + SUMIF(G18:G50, "Chucks", H18:H50) + SUMIF(G18:G50, "Cookie Bar", H18:H50) + SUMIF(G18:G50, "Burger King", H18:H50) + SUMIF(G18:G50, "Pho", H18:H50) + SUMIF(G18:G50, "McDonalds", H18:H50)+SUMIF(G18:G50, "Wendys", H18:H50)+SUMIF(G18:G50, "Hot Tacos", H18:H50)+SUMIF(G18:G50, "Popeyes", H18:H50)+SUMIF(G18:G50, "Chucks", H18:H50)</f>
        <v>105.97</v>
      </c>
      <c r="G19" s="21" t="s">
        <v>150</v>
      </c>
      <c r="H19" s="94">
        <v>2.07</v>
      </c>
      <c r="I19" s="109">
        <v>45674.0</v>
      </c>
      <c r="J19" s="93"/>
      <c r="K19" s="19"/>
      <c r="L19" s="19" t="s">
        <v>514</v>
      </c>
      <c r="M19" s="97">
        <v>50.0</v>
      </c>
      <c r="N19" s="19"/>
    </row>
    <row r="20">
      <c r="E20" s="10" t="s">
        <v>27</v>
      </c>
      <c r="F20" s="10">
        <f>SUMIF(G18:G60, "Gas", H18:H60)</f>
        <v>132.57</v>
      </c>
      <c r="G20" s="21" t="s">
        <v>258</v>
      </c>
      <c r="H20" s="94">
        <v>4.5</v>
      </c>
      <c r="I20" s="109">
        <v>45674.0</v>
      </c>
      <c r="J20" s="93"/>
      <c r="K20" s="21"/>
      <c r="L20" s="19" t="s">
        <v>151</v>
      </c>
      <c r="M20" s="97">
        <v>120.0</v>
      </c>
      <c r="N20" s="19" t="s">
        <v>152</v>
      </c>
    </row>
    <row r="21">
      <c r="A21" s="10" t="s">
        <v>153</v>
      </c>
      <c r="B21" s="10" t="s">
        <v>154</v>
      </c>
      <c r="G21" s="21" t="s">
        <v>607</v>
      </c>
      <c r="H21" s="94">
        <v>39.72</v>
      </c>
      <c r="I21" s="109">
        <v>45674.0</v>
      </c>
      <c r="J21" s="93"/>
      <c r="K21" s="19"/>
      <c r="L21" s="19"/>
      <c r="M21" s="97"/>
      <c r="N21" s="19"/>
    </row>
    <row r="22">
      <c r="A22" s="10" t="s">
        <v>158</v>
      </c>
      <c r="E22" s="10" t="s">
        <v>160</v>
      </c>
      <c r="F22" s="10">
        <f>SUMIF(G18:G50, "Urbn Planet", H18:H50)+SUMIF(G18:G50, "Winners", H18:H50) </f>
        <v>15.03</v>
      </c>
      <c r="G22" s="21" t="s">
        <v>592</v>
      </c>
      <c r="H22" s="94">
        <v>13.7</v>
      </c>
      <c r="I22" s="109">
        <v>45674.0</v>
      </c>
      <c r="J22" s="93"/>
      <c r="K22" s="19"/>
      <c r="L22" s="19"/>
      <c r="M22" s="97"/>
      <c r="N22" s="19"/>
    </row>
    <row r="23">
      <c r="A23" s="10" t="s">
        <v>165</v>
      </c>
      <c r="E23" s="10" t="s">
        <v>117</v>
      </c>
      <c r="F23" s="26">
        <f>0</f>
        <v>0</v>
      </c>
      <c r="G23" s="196" t="s">
        <v>27</v>
      </c>
      <c r="H23" s="197">
        <v>60.0</v>
      </c>
      <c r="I23" s="109">
        <v>45675.0</v>
      </c>
      <c r="J23" s="207"/>
      <c r="K23" s="19"/>
      <c r="L23" s="19"/>
      <c r="M23" s="97"/>
      <c r="N23" s="19"/>
    </row>
    <row r="24">
      <c r="E24" s="10" t="s">
        <v>170</v>
      </c>
      <c r="F24" s="26">
        <f>SUMIF(G18:G50, "LCBO", H18:H50) + SUMIF(G18:G50, "Beer Store", H18:H50)+ SUMIF(G18:G50, "Drinks", H18:H50)</f>
        <v>27.15</v>
      </c>
      <c r="G24" s="196" t="s">
        <v>254</v>
      </c>
      <c r="H24" s="197">
        <v>27.15</v>
      </c>
      <c r="I24" s="109">
        <v>45675.0</v>
      </c>
      <c r="J24" s="89"/>
      <c r="K24" s="19"/>
      <c r="L24" s="19" t="s">
        <v>52</v>
      </c>
      <c r="M24" s="97">
        <f>M19+M20+M22+M21+M23</f>
        <v>170</v>
      </c>
      <c r="N24" s="19"/>
    </row>
    <row r="25">
      <c r="A25" s="10" t="s">
        <v>172</v>
      </c>
      <c r="E25" s="10" t="s">
        <v>173</v>
      </c>
      <c r="F25" s="10">
        <f>SUMIF(G18:G50, "TIMS", H18:H50) + SUMIF(G18:G50, "Casa Miro", H18:H50) + SUMIF(G18:G50, "Toto", H18:H50) + SUMIF(G18:G50, "Coffee Exchange", H18:H50)+ SUMIF(G18:G50, "Ciao Caffe", H18:H50)
</f>
        <v>28.11</v>
      </c>
      <c r="G25" s="21" t="s">
        <v>608</v>
      </c>
      <c r="H25" s="94">
        <v>75.0</v>
      </c>
      <c r="I25" s="109">
        <v>45675.0</v>
      </c>
      <c r="J25" s="89"/>
      <c r="K25" s="19"/>
      <c r="L25" s="19"/>
      <c r="M25" s="107"/>
      <c r="N25" s="208"/>
    </row>
    <row r="26">
      <c r="E26" s="10" t="s">
        <v>52</v>
      </c>
      <c r="F26" s="26">
        <f>SUM(F18:F25)
</f>
        <v>449.62</v>
      </c>
      <c r="G26" s="21" t="s">
        <v>609</v>
      </c>
      <c r="H26" s="94">
        <v>15.03</v>
      </c>
      <c r="I26" s="109">
        <v>45676.0</v>
      </c>
      <c r="J26" s="89" t="s">
        <v>610</v>
      </c>
      <c r="K26" s="19"/>
    </row>
    <row r="27">
      <c r="B27" s="66"/>
      <c r="E27" s="10" t="s">
        <v>177</v>
      </c>
      <c r="F27" s="10">
        <f>I1/(15-F3)</f>
        <v>3.0075</v>
      </c>
      <c r="G27" s="21" t="s">
        <v>262</v>
      </c>
      <c r="H27" s="94">
        <v>4.89</v>
      </c>
      <c r="I27" s="109">
        <v>45676.0</v>
      </c>
      <c r="J27" s="207"/>
      <c r="K27" s="19"/>
    </row>
    <row r="28">
      <c r="G28" s="21" t="s">
        <v>479</v>
      </c>
      <c r="H28" s="94">
        <v>5.1</v>
      </c>
      <c r="I28" s="109">
        <v>45676.0</v>
      </c>
      <c r="J28" s="89" t="s">
        <v>611</v>
      </c>
      <c r="K28" s="19"/>
    </row>
    <row r="29">
      <c r="G29" s="10" t="s">
        <v>150</v>
      </c>
      <c r="H29" s="10">
        <v>5.16</v>
      </c>
      <c r="I29" s="62">
        <v>45677.0</v>
      </c>
      <c r="J29" s="93"/>
    </row>
    <row r="30">
      <c r="E30" s="135"/>
      <c r="F30" s="135"/>
      <c r="G30" s="132" t="s">
        <v>150</v>
      </c>
      <c r="H30" s="132">
        <v>2.17</v>
      </c>
      <c r="I30" s="198">
        <v>45678.0</v>
      </c>
      <c r="J30" s="93"/>
      <c r="K30" s="135"/>
    </row>
    <row r="31">
      <c r="E31" s="135"/>
      <c r="F31" s="135"/>
      <c r="G31" s="132" t="s">
        <v>150</v>
      </c>
      <c r="H31" s="132">
        <v>2.19</v>
      </c>
      <c r="I31" s="198">
        <v>45678.0</v>
      </c>
      <c r="J31" s="93"/>
      <c r="K31" s="135"/>
    </row>
    <row r="32">
      <c r="E32" s="135"/>
      <c r="F32" s="135"/>
      <c r="G32" s="132" t="s">
        <v>607</v>
      </c>
      <c r="H32" s="132">
        <v>37.22</v>
      </c>
      <c r="I32" s="198">
        <v>45678.0</v>
      </c>
      <c r="J32" s="64" t="s">
        <v>612</v>
      </c>
      <c r="K32" s="44">
        <f>14.99*1.13</f>
        <v>16.9387</v>
      </c>
    </row>
    <row r="33">
      <c r="E33" s="135"/>
      <c r="F33" s="135"/>
      <c r="G33" s="132" t="s">
        <v>150</v>
      </c>
      <c r="H33" s="132">
        <v>2.17</v>
      </c>
      <c r="I33" s="198">
        <v>45679.0</v>
      </c>
      <c r="J33" s="93"/>
      <c r="K33" s="135"/>
    </row>
    <row r="34">
      <c r="E34" s="135"/>
      <c r="F34" s="167"/>
      <c r="G34" s="199" t="s">
        <v>27</v>
      </c>
      <c r="H34" s="132">
        <v>72.57</v>
      </c>
      <c r="I34" s="200">
        <v>45680.0</v>
      </c>
      <c r="J34" s="93"/>
      <c r="K34" s="135"/>
    </row>
    <row r="35">
      <c r="E35" s="135"/>
      <c r="F35" s="132"/>
      <c r="G35" s="132" t="s">
        <v>613</v>
      </c>
      <c r="H35" s="132">
        <v>2.07</v>
      </c>
      <c r="I35" s="198">
        <v>45680.0</v>
      </c>
      <c r="J35" s="93"/>
      <c r="K35" s="132"/>
    </row>
    <row r="36">
      <c r="E36" s="135"/>
      <c r="F36" s="135"/>
      <c r="G36" s="132" t="s">
        <v>613</v>
      </c>
      <c r="H36" s="132">
        <v>1.83</v>
      </c>
      <c r="I36" s="198">
        <v>45680.0</v>
      </c>
      <c r="J36" s="93"/>
      <c r="K36" s="132"/>
    </row>
    <row r="37">
      <c r="E37" s="135"/>
      <c r="F37" s="135"/>
      <c r="G37" s="132" t="s">
        <v>150</v>
      </c>
      <c r="H37" s="132">
        <v>2.07</v>
      </c>
      <c r="I37" s="198">
        <v>45681.0</v>
      </c>
      <c r="J37" s="93"/>
      <c r="K37" s="135"/>
    </row>
    <row r="38">
      <c r="E38" s="135"/>
      <c r="F38" s="135"/>
      <c r="G38" s="132" t="s">
        <v>257</v>
      </c>
      <c r="H38" s="132">
        <v>26.93</v>
      </c>
      <c r="I38" s="198">
        <v>45681.0</v>
      </c>
      <c r="J38" s="93"/>
      <c r="K38" s="135"/>
    </row>
    <row r="39">
      <c r="E39" s="135"/>
      <c r="F39" s="135"/>
      <c r="G39" s="132" t="s">
        <v>150</v>
      </c>
      <c r="H39" s="132">
        <v>3.0</v>
      </c>
      <c r="I39" s="198">
        <v>45682.0</v>
      </c>
      <c r="J39" s="93"/>
      <c r="K39" s="132"/>
    </row>
    <row r="40">
      <c r="E40" s="135"/>
      <c r="F40" s="135"/>
      <c r="G40" s="132" t="s">
        <v>614</v>
      </c>
      <c r="H40" s="132">
        <v>67.78</v>
      </c>
      <c r="I40" s="198">
        <v>45683.0</v>
      </c>
      <c r="J40" s="93"/>
      <c r="K40" s="135"/>
    </row>
    <row r="41">
      <c r="E41" s="135"/>
      <c r="F41" s="135"/>
      <c r="G41" s="132" t="s">
        <v>257</v>
      </c>
      <c r="H41" s="132">
        <v>23.39</v>
      </c>
      <c r="I41" s="198">
        <v>45683.0</v>
      </c>
      <c r="J41" s="93"/>
      <c r="K41" s="135"/>
    </row>
    <row r="42">
      <c r="G42" s="10" t="s">
        <v>371</v>
      </c>
      <c r="H42" s="10">
        <v>4.0</v>
      </c>
      <c r="I42" s="62">
        <v>45683.0</v>
      </c>
      <c r="J42" s="165"/>
    </row>
    <row r="43">
      <c r="G43" s="10" t="s">
        <v>150</v>
      </c>
      <c r="H43" s="10">
        <v>3.07</v>
      </c>
      <c r="I43" s="62">
        <v>45684.0</v>
      </c>
      <c r="J43" s="214"/>
    </row>
    <row r="44">
      <c r="G44" s="10" t="s">
        <v>150</v>
      </c>
      <c r="H44" s="10">
        <v>2.07</v>
      </c>
      <c r="I44" s="62">
        <v>45685.0</v>
      </c>
      <c r="J44" s="165"/>
    </row>
    <row r="45">
      <c r="G45" s="10" t="s">
        <v>257</v>
      </c>
      <c r="H45" s="10">
        <v>13.53</v>
      </c>
      <c r="I45" s="62">
        <v>45685.0</v>
      </c>
    </row>
    <row r="46">
      <c r="G46" s="10" t="s">
        <v>155</v>
      </c>
      <c r="H46" s="10">
        <v>12.38</v>
      </c>
      <c r="I46" s="62">
        <v>45686.0</v>
      </c>
    </row>
    <row r="47">
      <c r="G47" s="10" t="s">
        <v>150</v>
      </c>
      <c r="H47" s="10">
        <v>2.07</v>
      </c>
      <c r="I47" s="62">
        <v>45686.0</v>
      </c>
      <c r="K47" s="10"/>
    </row>
    <row r="48">
      <c r="G48" s="10" t="s">
        <v>150</v>
      </c>
      <c r="H48" s="10">
        <v>2.07</v>
      </c>
      <c r="I48" s="121">
        <v>45687.0</v>
      </c>
    </row>
    <row r="49">
      <c r="G49" s="10" t="s">
        <v>615</v>
      </c>
      <c r="H49" s="10">
        <v>6.78</v>
      </c>
      <c r="I49" s="121">
        <v>45687.0</v>
      </c>
    </row>
    <row r="50">
      <c r="I50" s="121"/>
    </row>
    <row r="51">
      <c r="I51" s="121"/>
    </row>
  </sheetData>
  <conditionalFormatting sqref="I1">
    <cfRule type="notContainsBlanks" dxfId="2" priority="1">
      <formula>LEN(TRIM(I1))&gt;0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588</v>
      </c>
      <c r="B1" s="181"/>
      <c r="C1" s="1"/>
      <c r="E1" s="54" t="s">
        <v>114</v>
      </c>
      <c r="F1" s="55">
        <f>TODAY()
</f>
        <v>45905</v>
      </c>
      <c r="H1" s="56" t="s">
        <v>115</v>
      </c>
      <c r="I1" s="32">
        <f>SUM(IFERROR(16:16, 0))
</f>
        <v>442.14</v>
      </c>
      <c r="K1" s="10" t="s">
        <v>265</v>
      </c>
      <c r="M1" s="10" t="s">
        <v>266</v>
      </c>
      <c r="O1" s="10" t="s">
        <v>116</v>
      </c>
    </row>
    <row r="2">
      <c r="C2" s="62"/>
      <c r="E2" s="10" t="s">
        <v>118</v>
      </c>
      <c r="F2" s="60">
        <v>45674.0</v>
      </c>
      <c r="H2" s="10" t="s">
        <v>119</v>
      </c>
      <c r="I2" s="10">
        <v>470.0</v>
      </c>
      <c r="K2" s="10" t="s">
        <v>173</v>
      </c>
      <c r="L2" s="10">
        <v>40.0</v>
      </c>
      <c r="M2" s="10" t="s">
        <v>267</v>
      </c>
      <c r="O2" s="10" t="s">
        <v>589</v>
      </c>
    </row>
    <row r="3">
      <c r="C3" s="62"/>
      <c r="E3" s="10" t="s">
        <v>120</v>
      </c>
      <c r="F3" s="26">
        <f>F2-F1
</f>
        <v>-231</v>
      </c>
      <c r="H3" s="10" t="s">
        <v>80</v>
      </c>
      <c r="I3" s="10">
        <f>I2-I1
</f>
        <v>27.86</v>
      </c>
      <c r="K3" s="10" t="s">
        <v>268</v>
      </c>
      <c r="L3" s="10" t="s">
        <v>269</v>
      </c>
      <c r="M3" s="10" t="s">
        <v>270</v>
      </c>
      <c r="O3" s="10"/>
    </row>
    <row r="4">
      <c r="C4" s="62"/>
      <c r="H4" s="63"/>
      <c r="I4" s="63"/>
      <c r="K4" s="10" t="s">
        <v>27</v>
      </c>
      <c r="L4" s="10" t="s">
        <v>271</v>
      </c>
      <c r="O4" s="10"/>
      <c r="T4" s="10" t="s">
        <v>606</v>
      </c>
    </row>
    <row r="5">
      <c r="C5" s="62"/>
      <c r="E5" s="10" t="s">
        <v>122</v>
      </c>
      <c r="H5" s="64" t="s">
        <v>123</v>
      </c>
      <c r="I5" s="64">
        <f>I3/F3
</f>
        <v>-0.1206060606</v>
      </c>
      <c r="O5" s="10" t="s">
        <v>616</v>
      </c>
    </row>
    <row r="6">
      <c r="C6" s="62"/>
      <c r="K6" s="65"/>
      <c r="R6" s="66"/>
    </row>
    <row r="7">
      <c r="A7" s="53"/>
      <c r="C7" s="170"/>
      <c r="D7" s="70"/>
      <c r="F7" s="44"/>
      <c r="G7" s="164"/>
      <c r="H7" s="44"/>
      <c r="I7" s="69"/>
      <c r="J7" s="182"/>
      <c r="K7" s="69"/>
      <c r="L7" s="44"/>
      <c r="M7" s="44"/>
      <c r="N7" s="44"/>
    </row>
    <row r="8">
      <c r="A8" s="72">
        <v>45660.0</v>
      </c>
      <c r="B8" s="72">
        <v>45661.0</v>
      </c>
      <c r="C8" s="73">
        <v>45662.0</v>
      </c>
      <c r="D8" s="72">
        <v>45663.0</v>
      </c>
      <c r="E8" s="72">
        <v>45664.0</v>
      </c>
      <c r="F8" s="72">
        <v>45665.0</v>
      </c>
      <c r="G8" s="72">
        <v>45666.0</v>
      </c>
      <c r="H8" s="72">
        <v>45667.0</v>
      </c>
      <c r="I8" s="72">
        <v>45668.0</v>
      </c>
      <c r="J8" s="72">
        <v>45669.0</v>
      </c>
      <c r="K8" s="72">
        <v>45670.0</v>
      </c>
      <c r="L8" s="72">
        <v>45671.0</v>
      </c>
      <c r="M8" s="72">
        <v>45672.0</v>
      </c>
      <c r="N8" s="72">
        <v>45673.0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</row>
    <row r="10">
      <c r="A10" s="53" t="str">
        <f>IFERROR(__xludf.DUMMYFUNCTION("FILTER(G17:G53, I17:I53=A8)
"),"Dad Gift")</f>
        <v>Dad Gift</v>
      </c>
      <c r="B10" s="10" t="str">
        <f>IFERROR(__xludf.DUMMYFUNCTION("FILTER(G17:G53, I17:I53=B8)
"),"Shoppers ")</f>
        <v>Shoppers </v>
      </c>
      <c r="C10" s="10" t="str">
        <f>IFERROR(__xludf.DUMMYFUNCTION("FILTER(G17:G53, I17:I53=C8)
"),"TIMS")</f>
        <v>TIMS</v>
      </c>
      <c r="D10" s="44" t="str">
        <f>IFERROR(__xludf.DUMMYFUNCTION("FILTER(G17:G53, I17:I53=D8)
"),"#N/A")</f>
        <v>#N/A</v>
      </c>
      <c r="E10" s="26" t="str">
        <f>IFERROR(__xludf.DUMMYFUNCTION("FILTER(G17:G53, I17:I53=E8)
"),"Dollarama")</f>
        <v>Dollarama</v>
      </c>
      <c r="F10" s="26" t="str">
        <f>IFERROR(__xludf.DUMMYFUNCTION("FILTER(G17:G53, I17:I53=F8)
"),"#N/A")</f>
        <v>#N/A</v>
      </c>
      <c r="G10" s="26" t="str">
        <f>IFERROR(__xludf.DUMMYFUNCTION("FILTER(G17:G53, I17:I53=G8)
"),"TIMS")</f>
        <v>TIMS</v>
      </c>
      <c r="H10" s="26" t="str">
        <f>IFERROR(__xludf.DUMMYFUNCTION("FILTER(G17:G53, I17:I53=H8)
"),"TIMS")</f>
        <v>TIMS</v>
      </c>
      <c r="I10" s="1" t="str">
        <f>IFERROR(__xludf.DUMMYFUNCTION("FILTER(G16:G52, I16:I52=I8)
"),"Wal Mart")</f>
        <v>Wal Mart</v>
      </c>
      <c r="J10" s="26" t="str">
        <f>IFERROR(__xludf.DUMMYFUNCTION("FILTER(G15:G51, I15:I51=J8)
"),"TIMS")</f>
        <v>TIMS</v>
      </c>
      <c r="K10" s="26" t="str">
        <f>IFERROR(__xludf.DUMMYFUNCTION("FILTER(G15:G51, I15:I51=K8)
"),"TIMS")</f>
        <v>TIMS</v>
      </c>
      <c r="L10" s="26" t="str">
        <f>IFERROR(__xludf.DUMMYFUNCTION("FILTER(G15:G66, I15:I66=L8)
"),"TIMS")</f>
        <v>TIMS</v>
      </c>
      <c r="M10" s="10" t="str">
        <f>IFERROR(__xludf.DUMMYFUNCTION("FILTER(G15:G66, I15:I66=M8)
"),"TIMS")</f>
        <v>TIMS</v>
      </c>
      <c r="N10" s="26" t="str">
        <f>IFERROR(__xludf.DUMMYFUNCTION("FILTER(G15:G66, I15:I66=N8)
"),"TIMS")</f>
        <v>TIMS</v>
      </c>
    </row>
    <row r="11">
      <c r="A11" s="26" t="str">
        <f>IFERROR(__xludf.DUMMYFUNCTION("""COMPUTED_VALUE"""),"Coffee Exchange")</f>
        <v>Coffee Exchange</v>
      </c>
      <c r="B11" s="26" t="str">
        <f>IFERROR(__xludf.DUMMYFUNCTION("""COMPUTED_VALUE"""),"Dispo")</f>
        <v>Dispo</v>
      </c>
      <c r="C11" s="26" t="str">
        <f>IFERROR(__xludf.DUMMYFUNCTION("""COMPUTED_VALUE"""),"Metro")</f>
        <v>Metro</v>
      </c>
      <c r="D11" s="44"/>
      <c r="G11" s="53" t="str">
        <f>IFERROR(__xludf.DUMMYFUNCTION("""COMPUTED_VALUE"""),"Gas")</f>
        <v>Gas</v>
      </c>
      <c r="I11" s="69" t="str">
        <f>IFERROR(__xludf.DUMMYFUNCTION("""COMPUTED_VALUE"""),"Pizza")</f>
        <v>Pizza</v>
      </c>
      <c r="J11" s="26" t="str">
        <f>IFERROR(__xludf.DUMMYFUNCTION("""COMPUTED_VALUE"""),"TIMS")</f>
        <v>TIMS</v>
      </c>
      <c r="K11" s="69" t="str">
        <f>IFERROR(__xludf.DUMMYFUNCTION("""COMPUTED_VALUE"""),"Metro")</f>
        <v>Metro</v>
      </c>
      <c r="L11" s="26" t="str">
        <f>IFERROR(__xludf.DUMMYFUNCTION("""COMPUTED_VALUE"""),"TIMS")</f>
        <v>TIMS</v>
      </c>
      <c r="N11" s="26" t="str">
        <f>IFERROR(__xludf.DUMMYFUNCTION("""COMPUTED_VALUE"""),"City Cafe")</f>
        <v>City Cafe</v>
      </c>
    </row>
    <row r="12">
      <c r="A12" s="26" t="str">
        <f>IFERROR(__xludf.DUMMYFUNCTION("""COMPUTED_VALUE"""),"McDonalds")</f>
        <v>McDonalds</v>
      </c>
      <c r="D12" s="44"/>
      <c r="G12" s="26" t="str">
        <f>IFERROR(__xludf.DUMMYFUNCTION("""COMPUTED_VALUE"""),"Dispo")</f>
        <v>Dispo</v>
      </c>
      <c r="K12" s="69" t="str">
        <f>IFERROR(__xludf.DUMMYFUNCTION("""COMPUTED_VALUE"""),"Dispo")</f>
        <v>Dispo</v>
      </c>
    </row>
    <row r="13">
      <c r="A13" s="204"/>
      <c r="B13" s="204"/>
      <c r="D13" s="44"/>
    </row>
    <row r="14">
      <c r="A14" s="204"/>
      <c r="B14" s="204"/>
      <c r="D14" s="44"/>
      <c r="K14" s="10" t="s">
        <v>122</v>
      </c>
    </row>
    <row r="15">
      <c r="A15" s="204"/>
      <c r="B15" s="204"/>
      <c r="D15" s="44"/>
    </row>
    <row r="16">
      <c r="A16" s="56">
        <f>IFERROR(__xludf.DUMMYFUNCTION("SUM(FILTER(H17:H53, I17:I53=A8))
"),159.15000000000003)</f>
        <v>159.15</v>
      </c>
      <c r="B16" s="56">
        <f>IFERROR(__xludf.DUMMYFUNCTION("SUM(FILTER(H17:H53, I17:I53=B8))
"),22.82)</f>
        <v>22.82</v>
      </c>
      <c r="C16" s="56">
        <f>IFERROR(__xludf.DUMMYFUNCTION("SUM(FILTER(H17:H53, I17:I53=C8))
"),22.94)</f>
        <v>22.94</v>
      </c>
      <c r="D16" s="56" t="str">
        <f>IFERROR(__xludf.DUMMYFUNCTION("SUM(FILTER(H17:H53, I17:I53=D8))
"),"#N/A")</f>
        <v>#N/A</v>
      </c>
      <c r="E16" s="56">
        <f>IFERROR(__xludf.DUMMYFUNCTION("SUM(FILTER(H17:H53, I17:I53=E8))
"),10.56)</f>
        <v>10.56</v>
      </c>
      <c r="F16" s="56" t="str">
        <f>IFERROR(__xludf.DUMMYFUNCTION("SUM(FILTER(H17:H53, I17:I53=F8))
"),"#N/A")</f>
        <v>#N/A</v>
      </c>
      <c r="G16" s="56">
        <f>IFERROR(__xludf.DUMMYFUNCTION("SUM(FILTER(H17:H53, I17:I53=G8))
"),94.54)</f>
        <v>94.54</v>
      </c>
      <c r="H16" s="56">
        <f>IFERROR(__xludf.DUMMYFUNCTION("SUM(FILTER(H17:H53, I17:I53=H8))
"),2.07)</f>
        <v>2.07</v>
      </c>
      <c r="I16" s="56">
        <f>IFERROR(__xludf.DUMMYFUNCTION("SUM(FILTER(H17:H53, I17:I53=I8))
"),60.02)</f>
        <v>60.02</v>
      </c>
      <c r="J16" s="56">
        <f>IFERROR(__xludf.DUMMYFUNCTION("SUM(FILTER(H17:H53, I17:I53=J8))
"),4.24)</f>
        <v>4.24</v>
      </c>
      <c r="K16" s="56">
        <f>IFERROR(__xludf.DUMMYFUNCTION("SUM(FILTER(H17:H53, I17:I53=K8))
"),52.13)</f>
        <v>52.13</v>
      </c>
      <c r="L16" s="56">
        <f>IFERROR(__xludf.DUMMYFUNCTION("SUM(FILTER(H17:H53, I17:I53=L8))
"),4.02)</f>
        <v>4.02</v>
      </c>
      <c r="M16" s="56">
        <f>IFERROR(__xludf.DUMMYFUNCTION("SUM(FILTER(H17:H53, I17:I53=M8))
"),4.37)</f>
        <v>4.37</v>
      </c>
      <c r="N16" s="35">
        <f>IFERROR(__xludf.DUMMYFUNCTION("SUM(FILTER(H17:H53, I17:I53=N8))
"),5.279999999999999)</f>
        <v>5.28</v>
      </c>
    </row>
    <row r="17">
      <c r="E17" s="79" t="s">
        <v>135</v>
      </c>
      <c r="F17" s="80">
        <f>COUNTIF(G18:G1003, "TIMS")+COUNTIF(G18:G1003, "Casa Miro")+COUNTIF(G18:G1003, "Toto")+COUNTIF(G18:G1003, "Coffee Exchange")+COUNTIF(G18:G1003, "Ciao Caffe")
</f>
        <v>11</v>
      </c>
      <c r="G17" s="81" t="s">
        <v>511</v>
      </c>
      <c r="H17" s="81"/>
      <c r="I17" s="82" t="s">
        <v>60</v>
      </c>
      <c r="J17" s="65"/>
    </row>
    <row r="18">
      <c r="A18" s="10" t="s">
        <v>617</v>
      </c>
      <c r="E18" s="205" t="s">
        <v>138</v>
      </c>
      <c r="F18" s="205">
        <f>SUMIF(G18:G51, "Dispo", H18:H51)+SUMIF(G18:G51, "c cabana", H18:H51)</f>
        <v>53.08</v>
      </c>
      <c r="G18" s="218" t="s">
        <v>618</v>
      </c>
      <c r="H18" s="197">
        <v>135.83</v>
      </c>
      <c r="I18" s="216">
        <v>45660.0</v>
      </c>
      <c r="J18" s="89" t="s">
        <v>619</v>
      </c>
      <c r="K18" s="208"/>
      <c r="L18" s="19" t="s">
        <v>140</v>
      </c>
      <c r="M18" s="19"/>
      <c r="N18" s="19" t="s">
        <v>141</v>
      </c>
    </row>
    <row r="19">
      <c r="A19" s="10" t="s">
        <v>620</v>
      </c>
      <c r="E19" s="92" t="s">
        <v>145</v>
      </c>
      <c r="F19" s="92">
        <f>SUMIF(G18:G51, "Ramen", H18:H51)+SUMIF(G18:G51, "Pizza", H18:H51) +SUMIF(G18:G51, "A&amp;W", H18:H51) + SUMIF(G18:G51, "Chucks", H18:H51) + SUMIF(G18:G51, "Cookie Bar", H18:H51) + SUMIF(G18:G51, "Burger King", H18:H51) + SUMIF(G18:G51, "Pho", H18:H51) + SUMIF(G18:G51, "McDonalds", H18:H51)+SUMIF(G18:G51, "Wendys", H18:H51)+SUMIF(G18:G51, "Hot Tacos", H18:H51)+SUMIF(G18:G51, "Popeyes", H18:H51)+SUMIF(G18:G51, "Chucks", H18:H51)</f>
        <v>42.12</v>
      </c>
      <c r="G19" s="21" t="s">
        <v>621</v>
      </c>
      <c r="H19" s="94">
        <v>14.55</v>
      </c>
      <c r="I19" s="109">
        <v>45660.0</v>
      </c>
      <c r="J19" s="93" t="s">
        <v>622</v>
      </c>
      <c r="K19" s="19"/>
      <c r="L19" s="19" t="s">
        <v>514</v>
      </c>
      <c r="M19" s="97">
        <v>50.0</v>
      </c>
      <c r="N19" s="19"/>
    </row>
    <row r="20">
      <c r="E20" s="10" t="s">
        <v>27</v>
      </c>
      <c r="F20" s="10">
        <f>SUMIF(G18:G61, "Gas", H18:H61)</f>
        <v>70</v>
      </c>
      <c r="G20" s="21" t="s">
        <v>155</v>
      </c>
      <c r="H20" s="94">
        <v>8.77</v>
      </c>
      <c r="I20" s="109">
        <v>45660.0</v>
      </c>
      <c r="J20" s="93" t="s">
        <v>15</v>
      </c>
      <c r="K20" s="21"/>
      <c r="L20" s="19" t="s">
        <v>151</v>
      </c>
      <c r="M20" s="97">
        <v>120.0</v>
      </c>
      <c r="N20" s="19" t="s">
        <v>152</v>
      </c>
    </row>
    <row r="21">
      <c r="A21" s="10" t="s">
        <v>153</v>
      </c>
      <c r="B21" s="10" t="s">
        <v>623</v>
      </c>
      <c r="G21" s="21" t="s">
        <v>414</v>
      </c>
      <c r="H21" s="94">
        <v>18.07</v>
      </c>
      <c r="I21" s="109">
        <v>45661.0</v>
      </c>
      <c r="J21" s="93" t="s">
        <v>624</v>
      </c>
      <c r="K21" s="19"/>
      <c r="L21" s="19"/>
      <c r="M21" s="97"/>
      <c r="N21" s="19"/>
    </row>
    <row r="22">
      <c r="A22" s="10" t="s">
        <v>158</v>
      </c>
      <c r="B22" s="10" t="s">
        <v>625</v>
      </c>
      <c r="E22" s="10" t="s">
        <v>160</v>
      </c>
      <c r="F22" s="10">
        <f>SUMIF(G18:G51, "Urbn Planet", H18:H51) </f>
        <v>0</v>
      </c>
      <c r="G22" s="21" t="s">
        <v>257</v>
      </c>
      <c r="H22" s="94">
        <v>4.75</v>
      </c>
      <c r="I22" s="109">
        <v>45661.0</v>
      </c>
      <c r="J22" s="93" t="s">
        <v>626</v>
      </c>
      <c r="K22" s="19"/>
      <c r="L22" s="19"/>
      <c r="M22" s="97"/>
      <c r="N22" s="19"/>
    </row>
    <row r="23">
      <c r="A23" s="10" t="s">
        <v>165</v>
      </c>
      <c r="E23" s="10" t="s">
        <v>117</v>
      </c>
      <c r="F23" s="26">
        <f>18.07+20.75</f>
        <v>38.82</v>
      </c>
      <c r="G23" s="196" t="s">
        <v>150</v>
      </c>
      <c r="H23" s="197">
        <v>2.19</v>
      </c>
      <c r="I23" s="109">
        <v>45662.0</v>
      </c>
      <c r="J23" s="207"/>
      <c r="K23" s="19"/>
      <c r="L23" s="19"/>
      <c r="M23" s="97"/>
      <c r="N23" s="19"/>
    </row>
    <row r="24">
      <c r="E24" s="10" t="s">
        <v>170</v>
      </c>
      <c r="F24" s="26">
        <f>SUMIF(G18:G51, "LCBO", H18:H51) + SUMIF(G18:G51, "Beer Store", H18:H51)+ SUMIF(G18:G51, "Drinks", H18:H51)</f>
        <v>0</v>
      </c>
      <c r="G24" s="196" t="s">
        <v>261</v>
      </c>
      <c r="H24" s="197">
        <v>20.75</v>
      </c>
      <c r="I24" s="109">
        <v>45662.0</v>
      </c>
      <c r="J24" s="89" t="s">
        <v>627</v>
      </c>
      <c r="K24" s="19"/>
      <c r="L24" s="19" t="s">
        <v>52</v>
      </c>
      <c r="M24" s="97">
        <f>M19+M20+M22+M21+M23</f>
        <v>170</v>
      </c>
      <c r="N24" s="19"/>
    </row>
    <row r="25">
      <c r="A25" s="10" t="s">
        <v>172</v>
      </c>
      <c r="E25" s="10" t="s">
        <v>173</v>
      </c>
      <c r="F25" s="10">
        <f>SUMIF(G18:G51, "TIMS", H18:H51) + SUMIF(G18:G51, "Casa Miro", H18:H51) + SUMIF(G18:G51, "Toto", H18:H51) + SUMIF(G18:G51, "Coffee Exchange", H18:H51)+ SUMIF(G18:G51, "Ciao Caffe", H18:H51)
</f>
        <v>39.56</v>
      </c>
      <c r="G25" s="21" t="s">
        <v>259</v>
      </c>
      <c r="H25" s="94">
        <v>10.56</v>
      </c>
      <c r="I25" s="109">
        <v>45664.0</v>
      </c>
      <c r="J25" s="89" t="s">
        <v>628</v>
      </c>
      <c r="K25" s="19"/>
      <c r="L25" s="19"/>
      <c r="M25" s="107"/>
      <c r="N25" s="208"/>
    </row>
    <row r="26">
      <c r="A26" s="10" t="s">
        <v>461</v>
      </c>
      <c r="B26" s="10">
        <v>70.0</v>
      </c>
      <c r="C26" s="10" t="s">
        <v>629</v>
      </c>
      <c r="E26" s="10" t="s">
        <v>52</v>
      </c>
      <c r="F26" s="26">
        <f>SUM(F18:F25)
</f>
        <v>243.58</v>
      </c>
      <c r="G26" s="21" t="s">
        <v>150</v>
      </c>
      <c r="H26" s="94">
        <v>2.17</v>
      </c>
      <c r="I26" s="109">
        <v>45666.0</v>
      </c>
      <c r="J26" s="207"/>
      <c r="K26" s="19"/>
    </row>
    <row r="27">
      <c r="A27" s="10" t="s">
        <v>630</v>
      </c>
      <c r="B27" s="66">
        <v>14.0</v>
      </c>
      <c r="E27" s="10" t="s">
        <v>177</v>
      </c>
      <c r="F27" s="26">
        <f>I1/(15-F3)</f>
        <v>1.797317073</v>
      </c>
      <c r="G27" s="21" t="s">
        <v>27</v>
      </c>
      <c r="H27" s="94">
        <v>70.0</v>
      </c>
      <c r="I27" s="109">
        <v>45666.0</v>
      </c>
      <c r="J27" s="207"/>
      <c r="K27" s="19"/>
    </row>
    <row r="28">
      <c r="A28" s="10" t="s">
        <v>631</v>
      </c>
      <c r="G28" s="21" t="s">
        <v>257</v>
      </c>
      <c r="H28" s="94">
        <v>22.37</v>
      </c>
      <c r="I28" s="109">
        <v>45666.0</v>
      </c>
      <c r="J28" s="89" t="s">
        <v>632</v>
      </c>
      <c r="K28" s="19"/>
    </row>
    <row r="29">
      <c r="G29" s="10" t="s">
        <v>150</v>
      </c>
      <c r="H29" s="10">
        <v>2.07</v>
      </c>
      <c r="I29" s="62">
        <v>45667.0</v>
      </c>
      <c r="J29" s="93"/>
    </row>
    <row r="30">
      <c r="E30" s="135"/>
      <c r="F30" s="135"/>
      <c r="G30" s="132" t="s">
        <v>171</v>
      </c>
      <c r="H30" s="132">
        <v>26.67</v>
      </c>
      <c r="I30" s="198">
        <v>45668.0</v>
      </c>
      <c r="J30" s="93" t="s">
        <v>633</v>
      </c>
      <c r="K30" s="135"/>
    </row>
    <row r="31">
      <c r="E31" s="135"/>
      <c r="F31" s="135"/>
      <c r="G31" s="132" t="s">
        <v>592</v>
      </c>
      <c r="H31" s="132">
        <v>33.35</v>
      </c>
      <c r="I31" s="198">
        <v>45668.0</v>
      </c>
      <c r="J31" s="93" t="s">
        <v>15</v>
      </c>
      <c r="K31" s="135"/>
    </row>
    <row r="32">
      <c r="E32" s="135"/>
      <c r="F32" s="135"/>
      <c r="G32" s="132" t="s">
        <v>150</v>
      </c>
      <c r="H32" s="132">
        <v>2.17</v>
      </c>
      <c r="I32" s="198">
        <v>45669.0</v>
      </c>
      <c r="J32" s="65"/>
      <c r="K32" s="135"/>
    </row>
    <row r="33">
      <c r="E33" s="135"/>
      <c r="F33" s="135"/>
      <c r="G33" s="132" t="s">
        <v>150</v>
      </c>
      <c r="H33" s="132">
        <v>2.07</v>
      </c>
      <c r="I33" s="198">
        <v>45669.0</v>
      </c>
      <c r="J33" s="93"/>
      <c r="K33" s="135"/>
    </row>
    <row r="34">
      <c r="E34" s="135"/>
      <c r="F34" s="135"/>
      <c r="G34" s="132" t="s">
        <v>150</v>
      </c>
      <c r="H34" s="132">
        <v>2.17</v>
      </c>
      <c r="I34" s="198">
        <v>45670.0</v>
      </c>
      <c r="J34" s="93"/>
      <c r="K34" s="135"/>
    </row>
    <row r="35">
      <c r="E35" s="135"/>
      <c r="F35" s="167"/>
      <c r="G35" s="199" t="s">
        <v>261</v>
      </c>
      <c r="H35" s="132">
        <v>24.0</v>
      </c>
      <c r="I35" s="200">
        <v>45670.0</v>
      </c>
      <c r="J35" s="93" t="s">
        <v>634</v>
      </c>
      <c r="K35" s="135"/>
    </row>
    <row r="36">
      <c r="E36" s="135"/>
      <c r="F36" s="132"/>
      <c r="G36" s="132" t="s">
        <v>257</v>
      </c>
      <c r="H36" s="132">
        <v>25.96</v>
      </c>
      <c r="I36" s="198">
        <v>45670.0</v>
      </c>
      <c r="J36" s="93" t="s">
        <v>635</v>
      </c>
      <c r="K36" s="132"/>
    </row>
    <row r="37">
      <c r="E37" s="135"/>
      <c r="F37" s="135"/>
      <c r="G37" s="132" t="s">
        <v>150</v>
      </c>
      <c r="H37" s="132">
        <v>2.19</v>
      </c>
      <c r="I37" s="198">
        <v>45671.0</v>
      </c>
      <c r="J37" s="93" t="s">
        <v>636</v>
      </c>
      <c r="K37" s="132"/>
    </row>
    <row r="38">
      <c r="E38" s="135"/>
      <c r="F38" s="135"/>
      <c r="G38" s="132" t="s">
        <v>150</v>
      </c>
      <c r="H38" s="132">
        <v>1.83</v>
      </c>
      <c r="I38" s="198">
        <v>45671.0</v>
      </c>
      <c r="J38" s="93"/>
      <c r="K38" s="135"/>
    </row>
    <row r="39">
      <c r="E39" s="135"/>
      <c r="F39" s="135"/>
      <c r="G39" s="132" t="s">
        <v>150</v>
      </c>
      <c r="H39" s="132">
        <v>4.37</v>
      </c>
      <c r="I39" s="198">
        <v>45672.0</v>
      </c>
      <c r="J39" s="93"/>
      <c r="K39" s="135"/>
    </row>
    <row r="40">
      <c r="E40" s="135"/>
      <c r="F40" s="135"/>
      <c r="G40" s="132" t="s">
        <v>150</v>
      </c>
      <c r="H40" s="132">
        <v>3.78</v>
      </c>
      <c r="I40" s="198">
        <v>45673.0</v>
      </c>
      <c r="J40" s="93"/>
      <c r="K40" s="132"/>
    </row>
    <row r="41">
      <c r="E41" s="135"/>
      <c r="F41" s="135"/>
      <c r="G41" s="132" t="s">
        <v>258</v>
      </c>
      <c r="H41" s="132">
        <v>1.5</v>
      </c>
      <c r="I41" s="198">
        <v>45673.0</v>
      </c>
      <c r="J41" s="93"/>
      <c r="K41" s="135"/>
    </row>
    <row r="42">
      <c r="E42" s="135"/>
      <c r="F42" s="135"/>
      <c r="G42" s="132"/>
      <c r="H42" s="132"/>
      <c r="I42" s="198"/>
      <c r="J42" s="93"/>
      <c r="K42" s="135"/>
    </row>
    <row r="43">
      <c r="I43" s="62"/>
      <c r="J43" s="165"/>
    </row>
    <row r="44">
      <c r="I44" s="62"/>
      <c r="J44" s="214"/>
    </row>
    <row r="45">
      <c r="I45" s="62"/>
      <c r="J45" s="165"/>
    </row>
    <row r="46">
      <c r="I46" s="62"/>
    </row>
    <row r="47">
      <c r="I47" s="62"/>
    </row>
    <row r="48">
      <c r="I48" s="62"/>
      <c r="K48" s="10"/>
    </row>
    <row r="49">
      <c r="I49" s="121"/>
    </row>
    <row r="50">
      <c r="I50" s="121"/>
    </row>
    <row r="51">
      <c r="I51" s="121"/>
    </row>
    <row r="52">
      <c r="I52" s="121"/>
    </row>
  </sheetData>
  <conditionalFormatting sqref="I1">
    <cfRule type="notContainsBlanks" dxfId="2" priority="1">
      <formula>LEN(TRIM(I1))&gt;0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588</v>
      </c>
      <c r="B1" s="181"/>
      <c r="C1" s="1"/>
      <c r="E1" s="54" t="s">
        <v>114</v>
      </c>
      <c r="F1" s="55">
        <f>TODAY()
</f>
        <v>45905</v>
      </c>
      <c r="H1" s="56" t="s">
        <v>115</v>
      </c>
      <c r="I1" s="32">
        <f>SUM(IFERROR(16:16, 0))
</f>
        <v>500</v>
      </c>
      <c r="K1" s="10" t="s">
        <v>265</v>
      </c>
      <c r="M1" s="10" t="s">
        <v>266</v>
      </c>
      <c r="O1" s="10" t="s">
        <v>116</v>
      </c>
    </row>
    <row r="2">
      <c r="C2" s="62"/>
      <c r="E2" s="10" t="s">
        <v>118</v>
      </c>
      <c r="F2" s="60">
        <v>45660.0</v>
      </c>
      <c r="H2" s="10" t="s">
        <v>119</v>
      </c>
      <c r="I2" s="10">
        <v>500.0</v>
      </c>
      <c r="K2" s="10" t="s">
        <v>173</v>
      </c>
      <c r="L2" s="10">
        <v>40.0</v>
      </c>
      <c r="M2" s="10" t="s">
        <v>267</v>
      </c>
      <c r="O2" s="1" t="s">
        <v>461</v>
      </c>
      <c r="P2" s="10" t="s">
        <v>637</v>
      </c>
    </row>
    <row r="3">
      <c r="C3" s="62"/>
      <c r="E3" s="10" t="s">
        <v>120</v>
      </c>
      <c r="F3" s="26">
        <f>F2-F1
</f>
        <v>-245</v>
      </c>
      <c r="H3" s="10" t="s">
        <v>80</v>
      </c>
      <c r="I3" s="10">
        <f>I2-I1
</f>
        <v>0</v>
      </c>
      <c r="K3" s="10" t="s">
        <v>268</v>
      </c>
      <c r="L3" s="10" t="s">
        <v>269</v>
      </c>
      <c r="M3" s="10" t="s">
        <v>270</v>
      </c>
      <c r="O3" s="1" t="s">
        <v>638</v>
      </c>
      <c r="Q3" s="10">
        <v>100.0</v>
      </c>
      <c r="R3" s="10" t="s">
        <v>639</v>
      </c>
    </row>
    <row r="4">
      <c r="C4" s="62"/>
      <c r="H4" s="63"/>
      <c r="I4" s="63"/>
      <c r="K4" s="10" t="s">
        <v>27</v>
      </c>
      <c r="L4" s="10" t="s">
        <v>271</v>
      </c>
      <c r="O4" s="31" t="s">
        <v>640</v>
      </c>
      <c r="Q4" s="10" t="s">
        <v>641</v>
      </c>
      <c r="R4" s="10" t="s">
        <v>642</v>
      </c>
      <c r="T4" s="10" t="s">
        <v>606</v>
      </c>
    </row>
    <row r="5">
      <c r="C5" s="62"/>
      <c r="E5" s="10" t="s">
        <v>122</v>
      </c>
      <c r="H5" s="64" t="s">
        <v>123</v>
      </c>
      <c r="I5" s="64">
        <f>I3/F3
</f>
        <v>0</v>
      </c>
      <c r="O5" s="31" t="s">
        <v>643</v>
      </c>
      <c r="P5" s="10" t="s">
        <v>644</v>
      </c>
      <c r="R5" s="10" t="s">
        <v>645</v>
      </c>
    </row>
    <row r="6">
      <c r="C6" s="62"/>
      <c r="K6" s="65"/>
      <c r="O6" s="10"/>
      <c r="R6" s="66"/>
    </row>
    <row r="7">
      <c r="B7" s="53"/>
      <c r="C7" s="70"/>
      <c r="D7" s="182"/>
      <c r="E7" s="69"/>
      <c r="G7" s="44"/>
      <c r="J7" s="164"/>
      <c r="K7" s="69"/>
      <c r="O7" s="10"/>
    </row>
    <row r="8">
      <c r="A8" s="72">
        <v>45646.0</v>
      </c>
      <c r="B8" s="72">
        <v>45647.0</v>
      </c>
      <c r="C8" s="73">
        <v>45648.0</v>
      </c>
      <c r="D8" s="72">
        <v>45649.0</v>
      </c>
      <c r="E8" s="72">
        <v>45650.0</v>
      </c>
      <c r="F8" s="72">
        <v>45651.0</v>
      </c>
      <c r="G8" s="72">
        <v>45652.0</v>
      </c>
      <c r="H8" s="72">
        <v>45653.0</v>
      </c>
      <c r="I8" s="72">
        <v>45654.0</v>
      </c>
      <c r="J8" s="72">
        <v>45655.0</v>
      </c>
      <c r="K8" s="72">
        <v>45656.0</v>
      </c>
      <c r="L8" s="72">
        <v>45657.0</v>
      </c>
      <c r="M8" s="72">
        <v>45658.0</v>
      </c>
      <c r="N8" s="72">
        <v>45659.0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</row>
    <row r="10">
      <c r="A10" s="26" t="str">
        <f>IFERROR(__xludf.DUMMYFUNCTION("FILTER(G17:G52, I17:I52=A8)
"),"Macs")</f>
        <v>Macs</v>
      </c>
      <c r="B10" s="10" t="str">
        <f>IFERROR(__xludf.DUMMYFUNCTION("FILTER(G17:G52, I17:I52=B8)
"),"Dispo")</f>
        <v>Dispo</v>
      </c>
      <c r="C10" s="10" t="str">
        <f>IFERROR(__xludf.DUMMYFUNCTION("FILTER(G17:G52, I17:I52=C8)
"),"Burger King")</f>
        <v>Burger King</v>
      </c>
      <c r="D10" s="26" t="str">
        <f>IFERROR(__xludf.DUMMYFUNCTION("FILTER(G17:G52, I17:I52=D8)
"),"#N/A")</f>
        <v>#N/A</v>
      </c>
      <c r="E10" s="26" t="str">
        <f>IFERROR(__xludf.DUMMYFUNCTION("FILTER(G17:G52, I17:I52=E8)
"),"Dispo")</f>
        <v>Dispo</v>
      </c>
      <c r="F10" s="26" t="str">
        <f>IFERROR(__xludf.DUMMYFUNCTION("FILTER(G17:G52, I17:I52=F8)
"),"Tilbury Market")</f>
        <v>Tilbury Market</v>
      </c>
      <c r="G10" s="26" t="str">
        <f>IFERROR(__xludf.DUMMYFUNCTION("FILTER(G17:G52, I17:I52=G8)
"),"TIMS")</f>
        <v>TIMS</v>
      </c>
      <c r="H10" s="26" t="str">
        <f>IFERROR(__xludf.DUMMYFUNCTION("FILTER(G17:G52, I17:I52=H8)
"),"W/J Gift")</f>
        <v>W/J Gift</v>
      </c>
      <c r="I10" s="10" t="str">
        <f>IFERROR(__xludf.DUMMYFUNCTION("FILTER(G16:G51, I16:I51=I8)
"),"Macs")</f>
        <v>Macs</v>
      </c>
      <c r="J10" s="26" t="str">
        <f>IFERROR(__xludf.DUMMYFUNCTION("FILTER(G15:G50, I15:I50=J8)
"),"Tims")</f>
        <v>Tims</v>
      </c>
      <c r="K10" s="26" t="str">
        <f>IFERROR(__xludf.DUMMYFUNCTION("FILTER(G15:G50, I15:I50=K8)
"),"Metro")</f>
        <v>Metro</v>
      </c>
      <c r="L10" s="26" t="str">
        <f>IFERROR(__xludf.DUMMYFUNCTION("FILTER(G15:G65, I15:I65=L8)
"),"Dispo")</f>
        <v>Dispo</v>
      </c>
      <c r="M10" s="10" t="str">
        <f>IFERROR(__xludf.DUMMYFUNCTION("FILTER(G15:G65, I15:I65=M8)
"),"Drinks")</f>
        <v>Drinks</v>
      </c>
      <c r="N10" s="26" t="str">
        <f>IFERROR(__xludf.DUMMYFUNCTION("FILTER(G15:G65, I15:I65=N8)
"),"Dad Gift")</f>
        <v>Dad Gift</v>
      </c>
    </row>
    <row r="11">
      <c r="B11" s="26" t="str">
        <f>IFERROR(__xludf.DUMMYFUNCTION("""COMPUTED_VALUE"""),"Wal Mart")</f>
        <v>Wal Mart</v>
      </c>
      <c r="E11" s="26" t="str">
        <f>IFERROR(__xludf.DUMMYFUNCTION("""COMPUTED_VALUE"""),"Wal Mart")</f>
        <v>Wal Mart</v>
      </c>
      <c r="F11" s="26" t="str">
        <f>IFERROR(__xludf.DUMMYFUNCTION("""COMPUTED_VALUE"""),"Macs")</f>
        <v>Macs</v>
      </c>
      <c r="H11" s="26" t="str">
        <f>IFERROR(__xludf.DUMMYFUNCTION("""COMPUTED_VALUE"""),"TIMS")</f>
        <v>TIMS</v>
      </c>
      <c r="J11" s="26" t="str">
        <f>IFERROR(__xludf.DUMMYFUNCTION("""COMPUTED_VALUE"""),"Gas")</f>
        <v>Gas</v>
      </c>
      <c r="K11" s="26" t="str">
        <f>IFERROR(__xludf.DUMMYFUNCTION("""COMPUTED_VALUE"""),"Marina Fish")</f>
        <v>Marina Fish</v>
      </c>
    </row>
    <row r="12">
      <c r="B12" s="26" t="str">
        <f>IFERROR(__xludf.DUMMYFUNCTION("""COMPUTED_VALUE"""),"Chucks")</f>
        <v>Chucks</v>
      </c>
      <c r="E12" s="26" t="str">
        <f>IFERROR(__xludf.DUMMYFUNCTION("""COMPUTED_VALUE"""),"TIMS")</f>
        <v>TIMS</v>
      </c>
      <c r="J12" s="26" t="str">
        <f>IFERROR(__xludf.DUMMYFUNCTION("""COMPUTED_VALUE"""),"Dispo")</f>
        <v>Dispo</v>
      </c>
    </row>
    <row r="13">
      <c r="A13" s="204"/>
      <c r="B13" s="204"/>
      <c r="J13" s="26" t="str">
        <f>IFERROR(__xludf.DUMMYFUNCTION("""COMPUTED_VALUE"""),"McDonalds")</f>
        <v>McDonalds</v>
      </c>
    </row>
    <row r="14">
      <c r="A14" s="204"/>
      <c r="B14" s="204"/>
      <c r="K14" s="10" t="s">
        <v>122</v>
      </c>
    </row>
    <row r="15">
      <c r="A15" s="204"/>
      <c r="B15" s="204"/>
    </row>
    <row r="16">
      <c r="A16" s="56">
        <f>IFERROR(__xludf.DUMMYFUNCTION("SUM(FILTER(H17:H52, I17:I52=A8))
"),20.48)</f>
        <v>20.48</v>
      </c>
      <c r="B16" s="56">
        <f>IFERROR(__xludf.DUMMYFUNCTION("SUM(FILTER(H17:H52, I17:I52=B8))
"),98.09)</f>
        <v>98.09</v>
      </c>
      <c r="C16" s="56">
        <f>IFERROR(__xludf.DUMMYFUNCTION("SUM(FILTER(H17:H52, I17:I52=C8))
"),2.49)</f>
        <v>2.49</v>
      </c>
      <c r="D16" s="56" t="str">
        <f>IFERROR(__xludf.DUMMYFUNCTION("SUM(FILTER(H17:H52, I17:I52=D8))
"),"#N/A")</f>
        <v>#N/A</v>
      </c>
      <c r="E16" s="56">
        <f>IFERROR(__xludf.DUMMYFUNCTION("SUM(FILTER(H17:H52, I17:I52=E8))
"),61.0)</f>
        <v>61</v>
      </c>
      <c r="F16" s="56">
        <f>IFERROR(__xludf.DUMMYFUNCTION("SUM(FILTER(H17:H52, I17:I52=F8))
"),34.489999999999995)</f>
        <v>34.49</v>
      </c>
      <c r="G16" s="56">
        <f>IFERROR(__xludf.DUMMYFUNCTION("SUM(FILTER(H17:H52, I17:I52=G8))
"),4.14)</f>
        <v>4.14</v>
      </c>
      <c r="H16" s="56">
        <f>IFERROR(__xludf.DUMMYFUNCTION("SUM(FILTER(H17:H52, I17:I52=H8))
"),47.17)</f>
        <v>47.17</v>
      </c>
      <c r="I16" s="56">
        <f>IFERROR(__xludf.DUMMYFUNCTION("SUM(FILTER(H17:H52, I17:I52=I8))
"),10.37)</f>
        <v>10.37</v>
      </c>
      <c r="J16" s="56">
        <f>IFERROR(__xludf.DUMMYFUNCTION("SUM(FILTER(H17:H52, I17:I52=J8))
"),87.57000000000001)</f>
        <v>87.57</v>
      </c>
      <c r="K16" s="56">
        <f>IFERROR(__xludf.DUMMYFUNCTION("SUM(FILTER(H17:H52, I17:I52=K8))
"),64.17)</f>
        <v>64.17</v>
      </c>
      <c r="L16" s="56">
        <f>IFERROR(__xludf.DUMMYFUNCTION("SUM(FILTER(H17:H52, I17:I52=L8))
"),35.91)</f>
        <v>35.91</v>
      </c>
      <c r="M16" s="56">
        <f>IFERROR(__xludf.DUMMYFUNCTION("SUM(FILTER(H17:H52, I17:I52=M8))
"),21.29)</f>
        <v>21.29</v>
      </c>
      <c r="N16" s="35">
        <f>IFERROR(__xludf.DUMMYFUNCTION("SUM(FILTER(H17:H52, I17:I52=N8))
"),12.83)</f>
        <v>12.83</v>
      </c>
    </row>
    <row r="17">
      <c r="E17" s="79" t="s">
        <v>135</v>
      </c>
      <c r="F17" s="80">
        <f>COUNTIF(G18:G1002, "TIMS")+COUNTIF(G18:G1002, "Casa Miro")+COUNTIF(G18:G1002, "Toto")+COUNTIF(G18:G1002, "Coffee Exchange")+COUNTIF(G18:G1002, "Ciao Caffe")
</f>
        <v>4</v>
      </c>
      <c r="G17" s="81" t="s">
        <v>511</v>
      </c>
      <c r="H17" s="81"/>
      <c r="I17" s="82" t="s">
        <v>60</v>
      </c>
      <c r="J17" s="65"/>
    </row>
    <row r="18">
      <c r="A18" s="10" t="s">
        <v>617</v>
      </c>
      <c r="E18" s="205" t="s">
        <v>138</v>
      </c>
      <c r="F18" s="205">
        <f>SUMIF(G18:G50, "Dispo", H18:H50)+SUMIF(G18:G50, "c cabana", H18:H50)</f>
        <v>118.49</v>
      </c>
      <c r="G18" s="21" t="s">
        <v>139</v>
      </c>
      <c r="H18" s="94">
        <v>20.48</v>
      </c>
      <c r="I18" s="109">
        <v>45646.0</v>
      </c>
      <c r="J18" s="93" t="s">
        <v>646</v>
      </c>
      <c r="K18" s="19"/>
      <c r="L18" s="19" t="s">
        <v>140</v>
      </c>
      <c r="M18" s="19"/>
      <c r="N18" s="19" t="s">
        <v>141</v>
      </c>
    </row>
    <row r="19">
      <c r="A19" s="10" t="s">
        <v>620</v>
      </c>
      <c r="E19" s="92" t="s">
        <v>145</v>
      </c>
      <c r="F19" s="92">
        <f>SUMIF(G18:G50, "Ramen", H18:H50) +SUMIF(G18:G50, "A&amp;W", H18:H50) + SUMIF(G18:G50, "Chucks", H18:H50) + SUMIF(G18:G50, "Cookie Bar", H18:H50) + SUMIF(G18:G50, "Burger King", H18:H50) + SUMIF(G18:G50, "Pho", H18:H50) + SUMIF(G18:G50, "McDonalds", H18:H50)+SUMIF(G18:G50, "Wendys", H18:H50)+SUMIF(G18:G50, "Hot Tacos", H18:H50)+SUMIF(G18:G50, "Popeyes", H18:H50)+SUMIF(G18:G50, "Chucks", H18:H50)</f>
        <v>55.14</v>
      </c>
      <c r="G19" s="21" t="s">
        <v>257</v>
      </c>
      <c r="H19" s="94">
        <v>33.19</v>
      </c>
      <c r="I19" s="109">
        <v>45647.0</v>
      </c>
      <c r="J19" s="93" t="s">
        <v>647</v>
      </c>
      <c r="K19" s="19"/>
      <c r="L19" s="19" t="s">
        <v>648</v>
      </c>
      <c r="M19" s="97">
        <v>80.0</v>
      </c>
      <c r="N19" s="19"/>
    </row>
    <row r="20">
      <c r="A20" s="10" t="s">
        <v>649</v>
      </c>
      <c r="E20" s="10" t="s">
        <v>27</v>
      </c>
      <c r="F20" s="10">
        <f>SUMIF(G18:G60, "Gas", H18:H60)</f>
        <v>67.48</v>
      </c>
      <c r="G20" s="21" t="s">
        <v>171</v>
      </c>
      <c r="H20" s="94">
        <v>40.97</v>
      </c>
      <c r="I20" s="109">
        <v>45647.0</v>
      </c>
      <c r="J20" s="93" t="s">
        <v>650</v>
      </c>
      <c r="K20" s="21" t="s">
        <v>651</v>
      </c>
      <c r="L20" s="19" t="s">
        <v>652</v>
      </c>
      <c r="M20" s="97">
        <v>30.0</v>
      </c>
      <c r="N20" s="19"/>
    </row>
    <row r="21">
      <c r="A21" s="10" t="s">
        <v>653</v>
      </c>
      <c r="G21" s="21" t="s">
        <v>315</v>
      </c>
      <c r="H21" s="94">
        <v>23.93</v>
      </c>
      <c r="I21" s="109">
        <v>45647.0</v>
      </c>
      <c r="J21" s="93" t="s">
        <v>654</v>
      </c>
      <c r="K21" s="19"/>
      <c r="L21" s="19" t="s">
        <v>655</v>
      </c>
      <c r="M21" s="97">
        <v>40.0</v>
      </c>
      <c r="N21" s="19" t="s">
        <v>656</v>
      </c>
    </row>
    <row r="22">
      <c r="E22" s="10" t="s">
        <v>160</v>
      </c>
      <c r="F22" s="10">
        <f>SUMIF(G18:G50, "Urbn Planet", H18:H50) </f>
        <v>0</v>
      </c>
      <c r="G22" s="21" t="s">
        <v>534</v>
      </c>
      <c r="H22" s="94">
        <v>2.49</v>
      </c>
      <c r="I22" s="109">
        <v>45648.0</v>
      </c>
      <c r="J22" s="93" t="s">
        <v>657</v>
      </c>
      <c r="K22" s="19"/>
      <c r="L22" s="19" t="s">
        <v>514</v>
      </c>
      <c r="M22" s="97">
        <v>50.0</v>
      </c>
      <c r="N22" s="19"/>
    </row>
    <row r="23">
      <c r="E23" s="10" t="s">
        <v>117</v>
      </c>
      <c r="F23" s="10">
        <f>57.83+44.97+19.2</f>
        <v>122</v>
      </c>
      <c r="G23" s="208" t="s">
        <v>257</v>
      </c>
      <c r="H23" s="219">
        <v>35.92</v>
      </c>
      <c r="I23" s="184">
        <v>45650.0</v>
      </c>
      <c r="J23" s="107" t="s">
        <v>658</v>
      </c>
      <c r="K23" s="19"/>
      <c r="L23" s="19" t="s">
        <v>151</v>
      </c>
      <c r="M23" s="97">
        <v>120.0</v>
      </c>
      <c r="N23" s="19" t="s">
        <v>152</v>
      </c>
    </row>
    <row r="24">
      <c r="E24" s="10" t="s">
        <v>170</v>
      </c>
      <c r="F24" s="26">
        <f>SUMIF(G18:G50, "LCBO", H18:H50) + SUMIF(G18:G50, "Beer Store", H18:H50)+ SUMIF(G18:G50, "Drinks", H18:H50)+15+31.49+10.37</f>
        <v>78.15</v>
      </c>
      <c r="G24" s="218" t="s">
        <v>171</v>
      </c>
      <c r="H24" s="220">
        <v>24.79</v>
      </c>
      <c r="I24" s="184">
        <v>45650.0</v>
      </c>
      <c r="J24" s="107" t="s">
        <v>659</v>
      </c>
      <c r="K24" s="19"/>
      <c r="L24" s="19" t="s">
        <v>52</v>
      </c>
      <c r="M24" s="97">
        <f>M19+M20+M22+M21+O22</f>
        <v>200</v>
      </c>
      <c r="N24" s="19"/>
    </row>
    <row r="25">
      <c r="E25" s="10" t="s">
        <v>173</v>
      </c>
      <c r="F25" s="10">
        <f>SUMIF(G18:G50, "TIMS", H18:H50) + SUMIF(G18:G50, "Casa Miro", H18:H50) + SUMIF(G18:G50, "Toto", H18:H50) + SUMIF(G18:G50, "Coffee Exchange", H18:H50)+ SUMIF(G18:G50, "Ciao Caffe", H18:H50)
</f>
        <v>8.43</v>
      </c>
      <c r="G25" s="107" t="s">
        <v>150</v>
      </c>
      <c r="H25" s="166">
        <v>0.29</v>
      </c>
      <c r="I25" s="184">
        <v>45650.0</v>
      </c>
      <c r="J25" s="107"/>
      <c r="K25" s="19"/>
      <c r="L25" s="19"/>
      <c r="M25" s="107"/>
      <c r="N25" s="208"/>
    </row>
    <row r="26">
      <c r="E26" s="10" t="s">
        <v>52</v>
      </c>
      <c r="F26" s="26">
        <f>SUM(F18:F25)
</f>
        <v>449.69</v>
      </c>
      <c r="G26" s="19" t="s">
        <v>660</v>
      </c>
      <c r="H26" s="97">
        <v>31.49</v>
      </c>
      <c r="I26" s="184">
        <v>45651.0</v>
      </c>
      <c r="J26" s="107" t="s">
        <v>661</v>
      </c>
      <c r="K26" s="19"/>
    </row>
    <row r="27">
      <c r="G27" s="19" t="s">
        <v>139</v>
      </c>
      <c r="H27" s="97">
        <v>3.0</v>
      </c>
      <c r="I27" s="184">
        <v>45651.0</v>
      </c>
      <c r="J27" s="107" t="s">
        <v>662</v>
      </c>
      <c r="K27" s="19"/>
    </row>
    <row r="28">
      <c r="G28" s="19" t="s">
        <v>150</v>
      </c>
      <c r="H28" s="97">
        <v>4.14</v>
      </c>
      <c r="I28" s="184">
        <v>45652.0</v>
      </c>
      <c r="J28" s="107" t="s">
        <v>663</v>
      </c>
      <c r="K28" s="19"/>
    </row>
    <row r="29">
      <c r="G29" s="10" t="s">
        <v>664</v>
      </c>
      <c r="H29" s="10">
        <v>45.0</v>
      </c>
      <c r="I29" s="62">
        <v>45653.0</v>
      </c>
      <c r="J29" s="93" t="s">
        <v>665</v>
      </c>
    </row>
    <row r="30">
      <c r="E30" s="135"/>
      <c r="F30" s="135"/>
      <c r="G30" s="132" t="s">
        <v>150</v>
      </c>
      <c r="H30" s="132">
        <v>2.17</v>
      </c>
      <c r="I30" s="198">
        <v>45653.0</v>
      </c>
      <c r="J30" s="165"/>
      <c r="K30" s="135"/>
    </row>
    <row r="31">
      <c r="E31" s="135"/>
      <c r="F31" s="135"/>
      <c r="G31" s="132" t="s">
        <v>139</v>
      </c>
      <c r="H31" s="132">
        <v>10.37</v>
      </c>
      <c r="I31" s="198">
        <v>45654.0</v>
      </c>
      <c r="J31" s="165"/>
      <c r="K31" s="135"/>
    </row>
    <row r="32">
      <c r="E32" s="135"/>
      <c r="F32" s="135"/>
      <c r="G32" s="132" t="s">
        <v>666</v>
      </c>
      <c r="H32" s="132">
        <v>1.83</v>
      </c>
      <c r="I32" s="198">
        <v>45655.0</v>
      </c>
      <c r="J32" s="165"/>
      <c r="K32" s="135"/>
    </row>
    <row r="33">
      <c r="E33" s="135"/>
      <c r="F33" s="135"/>
      <c r="G33" s="132" t="s">
        <v>27</v>
      </c>
      <c r="H33" s="132">
        <v>67.48</v>
      </c>
      <c r="I33" s="198">
        <v>45655.0</v>
      </c>
      <c r="J33" s="93"/>
      <c r="K33" s="135"/>
    </row>
    <row r="34">
      <c r="E34" s="135"/>
      <c r="F34" s="167"/>
      <c r="G34" s="199" t="s">
        <v>257</v>
      </c>
      <c r="H34" s="132">
        <v>13.47</v>
      </c>
      <c r="I34" s="200">
        <v>45655.0</v>
      </c>
      <c r="J34" s="93" t="s">
        <v>667</v>
      </c>
      <c r="K34" s="135"/>
    </row>
    <row r="35">
      <c r="E35" s="135"/>
      <c r="F35" s="132"/>
      <c r="G35" s="132" t="s">
        <v>155</v>
      </c>
      <c r="H35" s="132">
        <v>4.79</v>
      </c>
      <c r="I35" s="198">
        <v>45655.0</v>
      </c>
      <c r="J35" s="93" t="s">
        <v>668</v>
      </c>
      <c r="K35" s="132"/>
    </row>
    <row r="36">
      <c r="E36" s="135"/>
      <c r="F36" s="135"/>
      <c r="G36" s="132" t="s">
        <v>261</v>
      </c>
      <c r="H36" s="132">
        <v>19.2</v>
      </c>
      <c r="I36" s="198">
        <v>45656.0</v>
      </c>
      <c r="J36" s="93" t="s">
        <v>669</v>
      </c>
      <c r="K36" s="132"/>
    </row>
    <row r="37">
      <c r="E37" s="135"/>
      <c r="F37" s="135"/>
      <c r="G37" s="132" t="s">
        <v>670</v>
      </c>
      <c r="H37" s="132">
        <v>44.97</v>
      </c>
      <c r="I37" s="198">
        <v>45656.0</v>
      </c>
      <c r="J37" s="93" t="s">
        <v>671</v>
      </c>
      <c r="K37" s="135"/>
    </row>
    <row r="38">
      <c r="E38" s="135"/>
      <c r="F38" s="135"/>
      <c r="G38" s="132" t="s">
        <v>257</v>
      </c>
      <c r="H38" s="132">
        <v>35.91</v>
      </c>
      <c r="I38" s="198">
        <v>45657.0</v>
      </c>
      <c r="J38" s="93"/>
      <c r="K38" s="135"/>
    </row>
    <row r="39">
      <c r="E39" s="135"/>
      <c r="F39" s="135"/>
      <c r="G39" s="132" t="s">
        <v>349</v>
      </c>
      <c r="H39" s="132">
        <v>21.29</v>
      </c>
      <c r="I39" s="198">
        <v>45658.0</v>
      </c>
      <c r="J39" s="93" t="s">
        <v>672</v>
      </c>
      <c r="K39" s="132"/>
    </row>
    <row r="40">
      <c r="E40" s="135"/>
      <c r="F40" s="135"/>
      <c r="G40" s="132" t="s">
        <v>618</v>
      </c>
      <c r="H40" s="132">
        <v>12.83</v>
      </c>
      <c r="I40" s="198">
        <v>45659.0</v>
      </c>
      <c r="J40" s="93" t="s">
        <v>619</v>
      </c>
      <c r="K40" s="135"/>
    </row>
    <row r="41">
      <c r="E41" s="135"/>
      <c r="F41" s="135"/>
      <c r="G41" s="132"/>
      <c r="H41" s="132"/>
      <c r="I41" s="198"/>
      <c r="J41" s="93"/>
      <c r="K41" s="135"/>
    </row>
    <row r="42">
      <c r="I42" s="62"/>
      <c r="J42" s="165"/>
    </row>
    <row r="43">
      <c r="I43" s="62"/>
      <c r="J43" s="214"/>
    </row>
    <row r="44">
      <c r="I44" s="62"/>
      <c r="J44" s="165"/>
    </row>
    <row r="45">
      <c r="I45" s="62"/>
    </row>
    <row r="46">
      <c r="I46" s="62"/>
    </row>
    <row r="47">
      <c r="I47" s="62"/>
      <c r="K47" s="10"/>
    </row>
    <row r="48">
      <c r="I48" s="121"/>
    </row>
    <row r="49">
      <c r="I49" s="121"/>
    </row>
    <row r="50">
      <c r="I50" s="121"/>
    </row>
    <row r="51">
      <c r="I51" s="121"/>
    </row>
  </sheetData>
  <conditionalFormatting sqref="I1">
    <cfRule type="notContainsBlanks" dxfId="2" priority="1">
      <formula>LEN(TRIM(I1))&gt;0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588</v>
      </c>
      <c r="B1" s="181"/>
      <c r="C1" s="1"/>
      <c r="E1" s="54" t="s">
        <v>114</v>
      </c>
      <c r="F1" s="55">
        <f>TODAY()
</f>
        <v>45905</v>
      </c>
      <c r="H1" s="56" t="s">
        <v>115</v>
      </c>
      <c r="I1" s="32">
        <f>SUM(IFERROR(16:16, 0))
</f>
        <v>604.57</v>
      </c>
      <c r="K1" s="10" t="s">
        <v>265</v>
      </c>
      <c r="M1" s="10" t="s">
        <v>266</v>
      </c>
      <c r="O1" s="10" t="s">
        <v>116</v>
      </c>
    </row>
    <row r="2">
      <c r="C2" s="62"/>
      <c r="E2" s="10" t="s">
        <v>118</v>
      </c>
      <c r="F2" s="60">
        <v>45646.0</v>
      </c>
      <c r="H2" s="10" t="s">
        <v>119</v>
      </c>
      <c r="I2" s="10">
        <v>600.0</v>
      </c>
      <c r="K2" s="10" t="s">
        <v>173</v>
      </c>
      <c r="L2" s="10">
        <v>40.0</v>
      </c>
      <c r="M2" s="10" t="s">
        <v>267</v>
      </c>
      <c r="O2" s="31" t="s">
        <v>673</v>
      </c>
      <c r="P2" s="10" t="s">
        <v>674</v>
      </c>
      <c r="R2" s="10" t="s">
        <v>675</v>
      </c>
    </row>
    <row r="3">
      <c r="C3" s="62"/>
      <c r="E3" s="10" t="s">
        <v>120</v>
      </c>
      <c r="F3" s="26">
        <f>F2-F1
</f>
        <v>-259</v>
      </c>
      <c r="H3" s="10" t="s">
        <v>80</v>
      </c>
      <c r="I3" s="10">
        <f>I2-I1
</f>
        <v>-4.57</v>
      </c>
      <c r="K3" s="10" t="s">
        <v>268</v>
      </c>
      <c r="L3" s="10">
        <v>40.0</v>
      </c>
      <c r="O3" s="1" t="s">
        <v>638</v>
      </c>
      <c r="Q3" s="10">
        <v>100.0</v>
      </c>
      <c r="R3" s="10" t="s">
        <v>639</v>
      </c>
    </row>
    <row r="4">
      <c r="C4" s="62"/>
      <c r="H4" s="63"/>
      <c r="I4" s="63"/>
      <c r="K4" s="10" t="s">
        <v>27</v>
      </c>
      <c r="L4" s="10" t="s">
        <v>271</v>
      </c>
      <c r="O4" s="10" t="s">
        <v>640</v>
      </c>
      <c r="Q4" s="10" t="s">
        <v>641</v>
      </c>
      <c r="R4" s="10" t="s">
        <v>642</v>
      </c>
    </row>
    <row r="5">
      <c r="C5" s="62"/>
      <c r="E5" s="10" t="s">
        <v>122</v>
      </c>
      <c r="H5" s="64" t="s">
        <v>123</v>
      </c>
      <c r="I5" s="64">
        <f>I3/F3
</f>
        <v>0.01764478764</v>
      </c>
      <c r="O5" s="1" t="s">
        <v>643</v>
      </c>
      <c r="P5" s="10" t="s">
        <v>644</v>
      </c>
      <c r="R5" s="10" t="s">
        <v>645</v>
      </c>
    </row>
    <row r="6">
      <c r="C6" s="62"/>
      <c r="K6" s="65"/>
      <c r="O6" s="31" t="s">
        <v>676</v>
      </c>
      <c r="Q6" s="10" t="s">
        <v>677</v>
      </c>
      <c r="R6" s="66">
        <v>30.0</v>
      </c>
    </row>
    <row r="7">
      <c r="C7" s="170"/>
      <c r="F7" s="31" t="s">
        <v>678</v>
      </c>
      <c r="G7" s="53"/>
      <c r="I7" s="31" t="s">
        <v>678</v>
      </c>
      <c r="K7" s="31" t="s">
        <v>678</v>
      </c>
      <c r="L7" s="53"/>
      <c r="M7" s="31" t="s">
        <v>678</v>
      </c>
      <c r="O7" s="31" t="s">
        <v>679</v>
      </c>
      <c r="Q7" s="10" t="s">
        <v>680</v>
      </c>
      <c r="R7" s="10" t="s">
        <v>681</v>
      </c>
    </row>
    <row r="8">
      <c r="A8" s="72">
        <v>45632.0</v>
      </c>
      <c r="B8" s="72">
        <v>45633.0</v>
      </c>
      <c r="C8" s="73">
        <v>45634.0</v>
      </c>
      <c r="D8" s="72">
        <v>45635.0</v>
      </c>
      <c r="E8" s="72">
        <v>45636.0</v>
      </c>
      <c r="F8" s="72">
        <v>45637.0</v>
      </c>
      <c r="G8" s="72">
        <v>45638.0</v>
      </c>
      <c r="H8" s="72">
        <v>45639.0</v>
      </c>
      <c r="I8" s="72">
        <v>45640.0</v>
      </c>
      <c r="J8" s="72">
        <v>45641.0</v>
      </c>
      <c r="K8" s="72">
        <v>45642.0</v>
      </c>
      <c r="L8" s="72">
        <v>45643.0</v>
      </c>
      <c r="M8" s="72">
        <v>45644.0</v>
      </c>
      <c r="N8" s="72">
        <v>45645.0</v>
      </c>
      <c r="O8" s="1" t="s">
        <v>461</v>
      </c>
      <c r="P8" s="10" t="s">
        <v>637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</row>
    <row r="10">
      <c r="A10" s="26" t="str">
        <f>IFERROR(__xludf.DUMMYFUNCTION("FILTER(G17:G52, I17:I52=A8)
"),"TIMS")</f>
        <v>TIMS</v>
      </c>
      <c r="B10" s="10" t="str">
        <f>IFERROR(__xludf.DUMMYFUNCTION("FILTER(G17:G52, I17:I52=B8)
"),"TIMS")</f>
        <v>TIMS</v>
      </c>
      <c r="C10" s="10" t="str">
        <f>IFERROR(__xludf.DUMMYFUNCTION("FILTER(G17:G52, I17:I52=C8)
"),"Urbn Planet")</f>
        <v>Urbn Planet</v>
      </c>
      <c r="D10" s="26" t="str">
        <f>IFERROR(__xludf.DUMMYFUNCTION("FILTER(G17:G52, I17:I52=D8)
"),"TIMS")</f>
        <v>TIMS</v>
      </c>
      <c r="E10" s="26" t="str">
        <f>IFERROR(__xludf.DUMMYFUNCTION("FILTER(G17:G52, I17:I52=E8)
"),"TIMS")</f>
        <v>TIMS</v>
      </c>
      <c r="F10" s="26" t="str">
        <f>IFERROR(__xludf.DUMMYFUNCTION("FILTER(G17:G52, I17:I52=F8)
"),"#N/A")</f>
        <v>#N/A</v>
      </c>
      <c r="G10" s="26" t="str">
        <f>IFERROR(__xludf.DUMMYFUNCTION("FILTER(G17:G52, I17:I52=G8)
"),"Pandora")</f>
        <v>Pandora</v>
      </c>
      <c r="H10" s="26" t="str">
        <f>IFERROR(__xludf.DUMMYFUNCTION("FILTER(G17:G52, I17:I52=H8)
"),"Mac's")</f>
        <v>Mac's</v>
      </c>
      <c r="I10" s="10" t="str">
        <f>IFERROR(__xludf.DUMMYFUNCTION("FILTER(G16:G51, I16:I51=I8)
"),"TIMS")</f>
        <v>TIMS</v>
      </c>
      <c r="J10" s="26" t="str">
        <f>IFERROR(__xludf.DUMMYFUNCTION("FILTER(G15:G50, I15:I50=J8)
"),"Seven 11")</f>
        <v>Seven 11</v>
      </c>
      <c r="K10" s="26" t="str">
        <f>IFERROR(__xludf.DUMMYFUNCTION("FILTER(G15:G50, I15:I50=K8)
"),"TIMS")</f>
        <v>TIMS</v>
      </c>
      <c r="L10" s="26" t="str">
        <f>IFERROR(__xludf.DUMMYFUNCTION("FILTER(G15:G65, I15:I65=L8)
"),"Mom/Dad Gift")</f>
        <v>Mom/Dad Gift</v>
      </c>
      <c r="M10" s="10" t="str">
        <f>IFERROR(__xludf.DUMMYFUNCTION("FILTER(G15:G65, I15:I65=M8)
"),"TIMS")</f>
        <v>TIMS</v>
      </c>
      <c r="N10" s="26" t="str">
        <f>IFERROR(__xludf.DUMMYFUNCTION("FILTER(G15:G65, I15:I65=N8)
"),"Taco Bell ")</f>
        <v>Taco Bell </v>
      </c>
    </row>
    <row r="11">
      <c r="A11" s="26" t="str">
        <f>IFERROR(__xludf.DUMMYFUNCTION("""COMPUTED_VALUE"""),"Ramen")</f>
        <v>Ramen</v>
      </c>
      <c r="B11" s="26" t="str">
        <f>IFERROR(__xludf.DUMMYFUNCTION("""COMPUTED_VALUE"""),"Food Basics")</f>
        <v>Food Basics</v>
      </c>
      <c r="C11" s="26" t="str">
        <f>IFERROR(__xludf.DUMMYFUNCTION("""COMPUTED_VALUE"""),"TIMS")</f>
        <v>TIMS</v>
      </c>
      <c r="D11" s="26" t="str">
        <f>IFERROR(__xludf.DUMMYFUNCTION("""COMPUTED_VALUE"""),"Add to total")</f>
        <v>Add to total</v>
      </c>
      <c r="E11" s="26" t="str">
        <f>IFERROR(__xludf.DUMMYFUNCTION("""COMPUTED_VALUE"""),"Dispo")</f>
        <v>Dispo</v>
      </c>
      <c r="G11" s="26" t="str">
        <f>IFERROR(__xludf.DUMMYFUNCTION("""COMPUTED_VALUE"""),"John Max")</f>
        <v>John Max</v>
      </c>
      <c r="H11" s="26" t="str">
        <f>IFERROR(__xludf.DUMMYFUNCTION("""COMPUTED_VALUE"""),"Rain got dinner")</f>
        <v>Rain got dinner</v>
      </c>
      <c r="J11" s="26" t="str">
        <f>IFERROR(__xludf.DUMMYFUNCTION("""COMPUTED_VALUE"""),"Ciao Caffe")</f>
        <v>Ciao Caffe</v>
      </c>
      <c r="L11" s="26" t="str">
        <f>IFERROR(__xludf.DUMMYFUNCTION("""COMPUTED_VALUE"""),"Gas")</f>
        <v>Gas</v>
      </c>
    </row>
    <row r="12">
      <c r="A12" s="26" t="str">
        <f>IFERROR(__xludf.DUMMYFUNCTION("""COMPUTED_VALUE"""),"Dispo")</f>
        <v>Dispo</v>
      </c>
      <c r="B12" s="26" t="str">
        <f>IFERROR(__xludf.DUMMYFUNCTION("""COMPUTED_VALUE"""),"Circle K")</f>
        <v>Circle K</v>
      </c>
      <c r="C12" s="26" t="str">
        <f>IFERROR(__xludf.DUMMYFUNCTION("""COMPUTED_VALUE"""),"Dollarama")</f>
        <v>Dollarama</v>
      </c>
      <c r="G12" s="26" t="str">
        <f>IFERROR(__xludf.DUMMYFUNCTION("""COMPUTED_VALUE"""),"McDonalds")</f>
        <v>McDonalds</v>
      </c>
      <c r="L12" s="26" t="str">
        <f>IFERROR(__xludf.DUMMYFUNCTION("""COMPUTED_VALUE"""),"TIMS")</f>
        <v>TIMS</v>
      </c>
    </row>
    <row r="13">
      <c r="A13" s="204"/>
      <c r="B13" s="204"/>
      <c r="C13" s="26" t="str">
        <f>IFERROR(__xludf.DUMMYFUNCTION("""COMPUTED_VALUE"""),"Popeyes")</f>
        <v>Popeyes</v>
      </c>
      <c r="L13" s="26" t="str">
        <f>IFERROR(__xludf.DUMMYFUNCTION("""COMPUTED_VALUE"""),"TIMS")</f>
        <v>TIMS</v>
      </c>
    </row>
    <row r="14">
      <c r="A14" s="204"/>
      <c r="B14" s="204"/>
      <c r="C14" s="26" t="str">
        <f>IFERROR(__xludf.DUMMYFUNCTION("""COMPUTED_VALUE"""),"Mac's")</f>
        <v>Mac's</v>
      </c>
      <c r="K14" s="10" t="s">
        <v>122</v>
      </c>
      <c r="L14" s="26" t="str">
        <f>IFERROR(__xludf.DUMMYFUNCTION("""COMPUTED_VALUE"""),"Dispo")</f>
        <v>Dispo</v>
      </c>
    </row>
    <row r="15">
      <c r="A15" s="204"/>
      <c r="B15" s="204"/>
      <c r="C15" s="26" t="str">
        <f>IFERROR(__xludf.DUMMYFUNCTION("""COMPUTED_VALUE"""),"Car Wash")</f>
        <v>Car Wash</v>
      </c>
      <c r="L15" s="26" t="str">
        <f>IFERROR(__xludf.DUMMYFUNCTION("""COMPUTED_VALUE"""),"Mac's")</f>
        <v>Mac's</v>
      </c>
    </row>
    <row r="16">
      <c r="A16" s="56">
        <f>IFERROR(__xludf.DUMMYFUNCTION("SUM(FILTER(H17:H52, I17:I52=A8))
"),36.94)</f>
        <v>36.94</v>
      </c>
      <c r="B16" s="56">
        <f>IFERROR(__xludf.DUMMYFUNCTION("SUM(FILTER(H17:H52, I17:I52=B8))
"),23.42)</f>
        <v>23.42</v>
      </c>
      <c r="C16" s="56">
        <f>IFERROR(__xludf.DUMMYFUNCTION("SUM(FILTER(H17:H52, I17:I52=C8))
"),38.69)</f>
        <v>38.69</v>
      </c>
      <c r="D16" s="56">
        <f>IFERROR(__xludf.DUMMYFUNCTION("SUM(FILTER(H17:H52, I17:I52=D8))
"),50.35)</f>
        <v>50.35</v>
      </c>
      <c r="E16" s="56">
        <f>IFERROR(__xludf.DUMMYFUNCTION("SUM(FILTER(H17:H52, I17:I52=E8))
"),27.64)</f>
        <v>27.64</v>
      </c>
      <c r="F16" s="56" t="str">
        <f>IFERROR(__xludf.DUMMYFUNCTION("SUM(FILTER(H17:H52, I17:I52=F8))
"),"#N/A")</f>
        <v>#N/A</v>
      </c>
      <c r="G16" s="56">
        <f>IFERROR(__xludf.DUMMYFUNCTION("SUM(FILTER(H17:H52, I17:I52=G8))
"),200.09)</f>
        <v>200.09</v>
      </c>
      <c r="H16" s="56">
        <f>IFERROR(__xludf.DUMMYFUNCTION("SUM(FILTER(H17:H52, I17:I52=H8))
"),10.66)</f>
        <v>10.66</v>
      </c>
      <c r="I16" s="56">
        <f>IFERROR(__xludf.DUMMYFUNCTION("SUM(FILTER(H17:H52, I17:I52=I8))
"),2.79)</f>
        <v>2.79</v>
      </c>
      <c r="J16" s="56">
        <f>IFERROR(__xludf.DUMMYFUNCTION("SUM(FILTER(H17:H52, I17:I52=J8))
"),10.370000000000001)</f>
        <v>10.37</v>
      </c>
      <c r="K16" s="56">
        <f>IFERROR(__xludf.DUMMYFUNCTION("SUM(FILTER(H17:H52, I17:I52=K8))
"),2.07)</f>
        <v>2.07</v>
      </c>
      <c r="L16" s="56">
        <f>IFERROR(__xludf.DUMMYFUNCTION("SUM(FILTER(H17:H52, I17:I52=L8))
"),185.81)</f>
        <v>185.81</v>
      </c>
      <c r="M16" s="56">
        <f>IFERROR(__xludf.DUMMYFUNCTION("SUM(FILTER(H17:H52, I17:I52=M8))
"),2.19)</f>
        <v>2.19</v>
      </c>
      <c r="N16" s="35">
        <f>IFERROR(__xludf.DUMMYFUNCTION("SUM(FILTER(H17:H52, I17:I52=N8))
"),13.55)</f>
        <v>13.55</v>
      </c>
    </row>
    <row r="17">
      <c r="E17" s="79" t="s">
        <v>135</v>
      </c>
      <c r="F17" s="80">
        <f>COUNTIF(G18:G1002, "TIMS")+COUNTIF(G18:G1002, "Casa Miro")+COUNTIF(G18:G1002, "Toto")+COUNTIF(G18:G1002, "Coffee Exchange")+COUNTIF(G18:G1002, "Ciao Caffe")
</f>
        <v>11</v>
      </c>
      <c r="G17" s="81" t="s">
        <v>511</v>
      </c>
      <c r="H17" s="81"/>
      <c r="I17" s="82" t="s">
        <v>682</v>
      </c>
      <c r="J17" s="65"/>
    </row>
    <row r="18">
      <c r="A18" s="10" t="s">
        <v>683</v>
      </c>
      <c r="D18" s="10">
        <v>80.0</v>
      </c>
      <c r="E18" s="205" t="s">
        <v>138</v>
      </c>
      <c r="F18" s="205">
        <f>SUMIF(G18:G50, "Dispo", H18:H50)+SUMIF(G18:G50, "c cabana", H18:H50)-18</f>
        <v>70.25</v>
      </c>
      <c r="G18" s="21" t="s">
        <v>150</v>
      </c>
      <c r="H18" s="94">
        <v>2.17</v>
      </c>
      <c r="I18" s="109">
        <v>45632.0</v>
      </c>
      <c r="J18" s="93"/>
      <c r="K18" s="19" t="s">
        <v>140</v>
      </c>
      <c r="L18" s="19"/>
      <c r="M18" s="19" t="s">
        <v>141</v>
      </c>
    </row>
    <row r="19">
      <c r="A19" s="10" t="s">
        <v>684</v>
      </c>
      <c r="E19" s="92" t="s">
        <v>145</v>
      </c>
      <c r="F19" s="92">
        <f>SUMIF(G18:G50, "Ramen", H18:H50) +SUMIF(G18:G50, "A&amp;W", H18:H50) + SUMIF(G18:G50, "Cookie Bar", H18:H50) + SUMIF(G18:G50, "Pho", H18:H50) + SUMIF(G18:G50, "McDonalds", H18:H50)+SUMIF(G18:G50, "Wendys", H18:H50)+SUMIF(G18:G50, "Hot Tacos", H18:H50)+SUMIF(G18:G50, "Popeyes", H18:H50)+4</f>
        <v>31.76</v>
      </c>
      <c r="G19" s="21" t="s">
        <v>685</v>
      </c>
      <c r="H19" s="94">
        <v>14.99</v>
      </c>
      <c r="I19" s="109">
        <v>45632.0</v>
      </c>
      <c r="J19" s="93" t="s">
        <v>686</v>
      </c>
      <c r="K19" s="19" t="s">
        <v>648</v>
      </c>
      <c r="L19" s="97">
        <v>80.0</v>
      </c>
      <c r="M19" s="19"/>
    </row>
    <row r="20">
      <c r="A20" s="10" t="s">
        <v>687</v>
      </c>
      <c r="E20" s="10" t="s">
        <v>27</v>
      </c>
      <c r="F20" s="10">
        <f>SUMIF(G18:G60, "Gas", H18:H60)</f>
        <v>69.74</v>
      </c>
      <c r="G20" s="21" t="s">
        <v>257</v>
      </c>
      <c r="H20" s="94">
        <v>19.78</v>
      </c>
      <c r="I20" s="109">
        <v>45632.0</v>
      </c>
      <c r="J20" s="93" t="s">
        <v>688</v>
      </c>
      <c r="K20" s="19" t="s">
        <v>652</v>
      </c>
      <c r="L20" s="97">
        <v>30.0</v>
      </c>
      <c r="M20" s="19"/>
    </row>
    <row r="21">
      <c r="G21" s="21" t="s">
        <v>150</v>
      </c>
      <c r="H21" s="94">
        <v>4.91</v>
      </c>
      <c r="I21" s="109">
        <v>45633.0</v>
      </c>
      <c r="J21" s="93" t="s">
        <v>15</v>
      </c>
      <c r="K21" s="19" t="s">
        <v>655</v>
      </c>
      <c r="L21" s="97">
        <v>40.0</v>
      </c>
      <c r="M21" s="19" t="s">
        <v>656</v>
      </c>
    </row>
    <row r="22">
      <c r="E22" s="10" t="s">
        <v>160</v>
      </c>
      <c r="F22" s="10">
        <f>SUMIF(G18:G50, "Urbn Planet", H18:H50) </f>
        <v>11.58</v>
      </c>
      <c r="G22" s="21" t="s">
        <v>195</v>
      </c>
      <c r="H22" s="94">
        <v>7.77</v>
      </c>
      <c r="I22" s="109">
        <v>45633.0</v>
      </c>
      <c r="J22" s="93" t="s">
        <v>689</v>
      </c>
      <c r="K22" s="19" t="s">
        <v>514</v>
      </c>
      <c r="L22" s="97">
        <v>50.0</v>
      </c>
      <c r="M22" s="19"/>
    </row>
    <row r="23">
      <c r="E23" s="10" t="s">
        <v>117</v>
      </c>
      <c r="F23" s="26">
        <f>175.14+55.35</f>
        <v>230.49</v>
      </c>
      <c r="G23" s="10" t="s">
        <v>559</v>
      </c>
      <c r="H23" s="10">
        <v>10.74</v>
      </c>
      <c r="I23" s="62">
        <v>45633.0</v>
      </c>
      <c r="J23" s="93" t="s">
        <v>689</v>
      </c>
      <c r="K23" s="19" t="s">
        <v>151</v>
      </c>
      <c r="L23" s="97">
        <v>120.0</v>
      </c>
      <c r="M23" s="19" t="s">
        <v>152</v>
      </c>
    </row>
    <row r="24">
      <c r="E24" s="10" t="s">
        <v>170</v>
      </c>
      <c r="F24" s="26">
        <f>SUMIF(G18:G50, "LCBO", H18:H50) + SUMIF(G18:G50, "Beer Store", H18:H50) +7.07+10.66+13.69</f>
        <v>31.42</v>
      </c>
      <c r="G24" s="132" t="s">
        <v>690</v>
      </c>
      <c r="H24" s="132">
        <v>11.58</v>
      </c>
      <c r="I24" s="62">
        <v>45634.0</v>
      </c>
      <c r="J24" s="93" t="s">
        <v>691</v>
      </c>
      <c r="K24" s="19" t="s">
        <v>52</v>
      </c>
      <c r="L24" s="97">
        <f>L19+L20+L22+L21+N22</f>
        <v>200</v>
      </c>
      <c r="M24" s="19"/>
    </row>
    <row r="25">
      <c r="E25" s="10" t="s">
        <v>173</v>
      </c>
      <c r="F25" s="10">
        <f>SUMIF(G18:G50, "TIMS", H18:H50) + SUMIF(G18:G50, "Casa Miro", H18:H50) + SUMIF(G18:G50, "Toto", H18:H50) + SUMIF(G18:G50, "Coffee Exchange", H18:H50)+ SUMIF(G18:G50, "Ciao Caffe", H18:H50)
</f>
        <v>30.36</v>
      </c>
      <c r="G25" s="132" t="s">
        <v>150</v>
      </c>
      <c r="H25" s="132">
        <v>1.92</v>
      </c>
      <c r="I25" s="62">
        <v>45634.0</v>
      </c>
      <c r="J25" s="93" t="s">
        <v>692</v>
      </c>
      <c r="M25" s="221"/>
    </row>
    <row r="26">
      <c r="E26" s="10" t="s">
        <v>52</v>
      </c>
      <c r="F26" s="26">
        <f>SUM(F18:F25)
</f>
        <v>475.6</v>
      </c>
      <c r="G26" s="10" t="s">
        <v>259</v>
      </c>
      <c r="H26" s="10">
        <v>3.96</v>
      </c>
      <c r="I26" s="62">
        <v>45634.0</v>
      </c>
      <c r="J26" s="93" t="s">
        <v>693</v>
      </c>
    </row>
    <row r="27">
      <c r="G27" s="10" t="s">
        <v>587</v>
      </c>
      <c r="H27" s="10">
        <v>10.16</v>
      </c>
      <c r="I27" s="62">
        <v>45634.0</v>
      </c>
      <c r="J27" s="93"/>
    </row>
    <row r="28">
      <c r="G28" s="10" t="s">
        <v>694</v>
      </c>
      <c r="H28" s="10">
        <v>7.07</v>
      </c>
      <c r="I28" s="62">
        <v>45634.0</v>
      </c>
      <c r="J28" s="93" t="s">
        <v>695</v>
      </c>
    </row>
    <row r="29">
      <c r="G29" s="10" t="s">
        <v>371</v>
      </c>
      <c r="H29" s="10">
        <v>4.0</v>
      </c>
      <c r="I29" s="62">
        <v>45634.0</v>
      </c>
      <c r="J29" s="65"/>
    </row>
    <row r="30">
      <c r="E30" s="135"/>
      <c r="F30" s="135"/>
      <c r="G30" s="132" t="s">
        <v>150</v>
      </c>
      <c r="H30" s="132">
        <v>1.74</v>
      </c>
      <c r="I30" s="198">
        <v>45635.0</v>
      </c>
      <c r="J30" s="165"/>
      <c r="K30" s="135"/>
    </row>
    <row r="31">
      <c r="E31" s="135"/>
      <c r="F31" s="135"/>
      <c r="G31" s="132" t="s">
        <v>696</v>
      </c>
      <c r="H31" s="132">
        <v>48.61</v>
      </c>
      <c r="I31" s="198">
        <v>45635.0</v>
      </c>
      <c r="J31" s="165"/>
      <c r="K31" s="135"/>
    </row>
    <row r="32">
      <c r="E32" s="135"/>
      <c r="F32" s="135"/>
      <c r="G32" s="132" t="s">
        <v>150</v>
      </c>
      <c r="H32" s="132">
        <v>1.68</v>
      </c>
      <c r="I32" s="198">
        <v>45636.0</v>
      </c>
      <c r="J32" s="165"/>
      <c r="K32" s="135"/>
    </row>
    <row r="33">
      <c r="E33" s="135"/>
      <c r="F33" s="135"/>
      <c r="G33" s="132" t="s">
        <v>257</v>
      </c>
      <c r="H33" s="132">
        <v>25.96</v>
      </c>
      <c r="I33" s="198">
        <v>45636.0</v>
      </c>
      <c r="J33" s="93" t="s">
        <v>697</v>
      </c>
      <c r="K33" s="135"/>
    </row>
    <row r="34">
      <c r="E34" s="135"/>
      <c r="F34" s="167"/>
      <c r="G34" s="199" t="s">
        <v>698</v>
      </c>
      <c r="H34" s="132">
        <v>175.14</v>
      </c>
      <c r="I34" s="200">
        <v>45638.0</v>
      </c>
      <c r="J34" s="222" t="s">
        <v>673</v>
      </c>
      <c r="K34" s="135"/>
    </row>
    <row r="35">
      <c r="E35" s="135"/>
      <c r="F35" s="132"/>
      <c r="G35" s="132" t="s">
        <v>699</v>
      </c>
      <c r="H35" s="132">
        <v>22.34</v>
      </c>
      <c r="I35" s="198">
        <v>45638.0</v>
      </c>
      <c r="J35" s="93" t="s">
        <v>636</v>
      </c>
      <c r="K35" s="132"/>
    </row>
    <row r="36">
      <c r="E36" s="135"/>
      <c r="F36" s="135"/>
      <c r="G36" s="132" t="s">
        <v>155</v>
      </c>
      <c r="H36" s="132">
        <v>2.61</v>
      </c>
      <c r="I36" s="198">
        <v>45638.0</v>
      </c>
      <c r="J36" s="93" t="s">
        <v>15</v>
      </c>
      <c r="K36" s="132"/>
    </row>
    <row r="37">
      <c r="E37" s="135"/>
      <c r="F37" s="135"/>
      <c r="G37" s="132" t="s">
        <v>694</v>
      </c>
      <c r="H37" s="132">
        <v>10.66</v>
      </c>
      <c r="I37" s="198">
        <v>45639.0</v>
      </c>
      <c r="J37" s="93" t="s">
        <v>700</v>
      </c>
      <c r="K37" s="135"/>
    </row>
    <row r="38">
      <c r="E38" s="135"/>
      <c r="F38" s="135"/>
      <c r="G38" s="132" t="s">
        <v>150</v>
      </c>
      <c r="H38" s="132">
        <v>2.79</v>
      </c>
      <c r="I38" s="198">
        <v>45640.0</v>
      </c>
      <c r="J38" s="93" t="s">
        <v>636</v>
      </c>
      <c r="K38" s="135"/>
    </row>
    <row r="39">
      <c r="E39" s="135"/>
      <c r="F39" s="135"/>
      <c r="G39" s="132" t="s">
        <v>701</v>
      </c>
      <c r="H39" s="132">
        <v>0.0</v>
      </c>
      <c r="I39" s="198">
        <v>45639.0</v>
      </c>
      <c r="J39" s="93" t="s">
        <v>702</v>
      </c>
      <c r="K39" s="132"/>
    </row>
    <row r="40">
      <c r="E40" s="135"/>
      <c r="F40" s="135"/>
      <c r="G40" s="132" t="s">
        <v>309</v>
      </c>
      <c r="H40" s="132">
        <v>4.0</v>
      </c>
      <c r="I40" s="198">
        <v>45641.0</v>
      </c>
      <c r="J40" s="93" t="s">
        <v>703</v>
      </c>
      <c r="K40" s="135"/>
    </row>
    <row r="41">
      <c r="E41" s="135"/>
      <c r="F41" s="135"/>
      <c r="G41" s="132" t="s">
        <v>704</v>
      </c>
      <c r="H41" s="132">
        <v>6.37</v>
      </c>
      <c r="I41" s="198">
        <v>45641.0</v>
      </c>
      <c r="J41" s="93" t="s">
        <v>705</v>
      </c>
      <c r="K41" s="135"/>
    </row>
    <row r="42">
      <c r="G42" s="10" t="s">
        <v>150</v>
      </c>
      <c r="H42" s="10">
        <v>2.07</v>
      </c>
      <c r="I42" s="62">
        <v>45642.0</v>
      </c>
      <c r="J42" s="165"/>
    </row>
    <row r="43">
      <c r="G43" s="10" t="s">
        <v>706</v>
      </c>
      <c r="H43" s="10">
        <v>55.35</v>
      </c>
      <c r="I43" s="62">
        <v>45643.0</v>
      </c>
      <c r="J43" s="214"/>
    </row>
    <row r="44">
      <c r="G44" s="10" t="s">
        <v>27</v>
      </c>
      <c r="H44" s="10">
        <v>69.74</v>
      </c>
      <c r="I44" s="62">
        <v>45643.0</v>
      </c>
      <c r="J44" s="165"/>
    </row>
    <row r="45">
      <c r="G45" s="10" t="s">
        <v>150</v>
      </c>
      <c r="H45" s="10">
        <v>2.17</v>
      </c>
      <c r="I45" s="62">
        <v>45643.0</v>
      </c>
    </row>
    <row r="46">
      <c r="G46" s="10" t="s">
        <v>150</v>
      </c>
      <c r="H46" s="10">
        <v>2.35</v>
      </c>
      <c r="I46" s="62">
        <v>45643.0</v>
      </c>
    </row>
    <row r="47">
      <c r="G47" s="10" t="s">
        <v>257</v>
      </c>
      <c r="H47" s="10">
        <v>42.51</v>
      </c>
      <c r="I47" s="62">
        <v>45643.0</v>
      </c>
      <c r="J47" s="10" t="s">
        <v>707</v>
      </c>
      <c r="K47" s="111">
        <v>21.25</v>
      </c>
      <c r="L47" s="10" t="s">
        <v>708</v>
      </c>
    </row>
    <row r="48">
      <c r="G48" s="10" t="s">
        <v>694</v>
      </c>
      <c r="H48" s="10">
        <v>13.69</v>
      </c>
      <c r="I48" s="121">
        <v>45643.0</v>
      </c>
      <c r="J48" s="10" t="s">
        <v>709</v>
      </c>
    </row>
    <row r="49">
      <c r="G49" s="10" t="s">
        <v>150</v>
      </c>
      <c r="H49" s="10">
        <v>2.19</v>
      </c>
      <c r="I49" s="121">
        <v>45644.0</v>
      </c>
      <c r="J49" s="10" t="s">
        <v>710</v>
      </c>
    </row>
    <row r="50">
      <c r="G50" s="10" t="s">
        <v>711</v>
      </c>
      <c r="H50" s="10">
        <v>13.55</v>
      </c>
      <c r="I50" s="121">
        <v>45645.0</v>
      </c>
      <c r="J50" s="10" t="s">
        <v>712</v>
      </c>
      <c r="K50" s="10" t="s">
        <v>713</v>
      </c>
    </row>
    <row r="51">
      <c r="I51" s="121"/>
    </row>
  </sheetData>
  <conditionalFormatting sqref="I1">
    <cfRule type="notContainsBlanks" dxfId="2" priority="1">
      <formula>LEN(TRIM(I1))&gt;0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181"/>
      <c r="C1" s="1"/>
      <c r="E1" s="54" t="s">
        <v>114</v>
      </c>
      <c r="F1" s="55">
        <f>TODAY()
</f>
        <v>45905</v>
      </c>
      <c r="H1" s="56" t="s">
        <v>115</v>
      </c>
      <c r="I1" s="32">
        <f>SUM(IFERROR(16:16, 0))
</f>
        <v>555.73</v>
      </c>
      <c r="K1" s="10" t="s">
        <v>265</v>
      </c>
      <c r="M1" s="10" t="s">
        <v>266</v>
      </c>
      <c r="O1" s="10" t="s">
        <v>116</v>
      </c>
    </row>
    <row r="2">
      <c r="C2" s="62"/>
      <c r="E2" s="10" t="s">
        <v>118</v>
      </c>
      <c r="F2" s="60">
        <v>45632.0</v>
      </c>
      <c r="H2" s="10" t="s">
        <v>119</v>
      </c>
      <c r="I2" s="10">
        <v>500.0</v>
      </c>
      <c r="K2" s="10" t="s">
        <v>173</v>
      </c>
      <c r="L2" s="10">
        <v>30.0</v>
      </c>
      <c r="O2" s="10" t="s">
        <v>673</v>
      </c>
      <c r="P2" s="10" t="s">
        <v>714</v>
      </c>
    </row>
    <row r="3">
      <c r="C3" s="62"/>
      <c r="E3" s="10" t="s">
        <v>120</v>
      </c>
      <c r="F3" s="26">
        <f>F2-F1
</f>
        <v>-273</v>
      </c>
      <c r="H3" s="10" t="s">
        <v>80</v>
      </c>
      <c r="I3" s="10">
        <f>I2-I1
</f>
        <v>-55.73</v>
      </c>
      <c r="K3" s="10" t="s">
        <v>268</v>
      </c>
      <c r="L3" s="10">
        <v>80.0</v>
      </c>
      <c r="O3" s="10" t="s">
        <v>638</v>
      </c>
      <c r="Q3" s="10">
        <v>100.0</v>
      </c>
    </row>
    <row r="4">
      <c r="C4" s="62"/>
      <c r="H4" s="63"/>
      <c r="I4" s="63"/>
      <c r="O4" s="10" t="s">
        <v>640</v>
      </c>
      <c r="Q4" s="10" t="s">
        <v>641</v>
      </c>
      <c r="R4" s="10" t="s">
        <v>642</v>
      </c>
    </row>
    <row r="5">
      <c r="C5" s="62"/>
      <c r="E5" s="10" t="s">
        <v>122</v>
      </c>
      <c r="H5" s="64" t="s">
        <v>123</v>
      </c>
      <c r="I5" s="64">
        <f>I3/F3
</f>
        <v>0.2041391941</v>
      </c>
      <c r="O5" s="10" t="s">
        <v>643</v>
      </c>
    </row>
    <row r="6">
      <c r="C6" s="62"/>
      <c r="K6" s="65"/>
    </row>
    <row r="7">
      <c r="A7" s="69"/>
      <c r="C7" s="164"/>
      <c r="E7" s="135"/>
      <c r="F7" s="44"/>
      <c r="G7" s="135"/>
      <c r="H7" s="69"/>
      <c r="I7" s="223"/>
      <c r="J7" s="135"/>
      <c r="K7" s="69"/>
      <c r="L7" s="44"/>
    </row>
    <row r="8">
      <c r="A8" s="72">
        <v>45618.0</v>
      </c>
      <c r="B8" s="72">
        <v>45619.0</v>
      </c>
      <c r="C8" s="73">
        <v>45620.0</v>
      </c>
      <c r="D8" s="72">
        <v>45621.0</v>
      </c>
      <c r="E8" s="72">
        <v>45622.0</v>
      </c>
      <c r="F8" s="72">
        <v>45623.0</v>
      </c>
      <c r="G8" s="72">
        <v>45624.0</v>
      </c>
      <c r="H8" s="72">
        <v>45625.0</v>
      </c>
      <c r="I8" s="72">
        <v>45626.0</v>
      </c>
      <c r="J8" s="72">
        <v>45627.0</v>
      </c>
      <c r="K8" s="72">
        <v>45628.0</v>
      </c>
      <c r="L8" s="72">
        <v>45629.0</v>
      </c>
      <c r="M8" s="72">
        <v>45630.0</v>
      </c>
      <c r="N8" s="72">
        <v>45631.0</v>
      </c>
      <c r="O8" s="10" t="s">
        <v>715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</row>
    <row r="10">
      <c r="A10" s="26" t="str">
        <f>IFERROR(__xludf.DUMMYFUNCTION("FILTER(G17:G52, I17:I52=A8)
"),"Cookie Bar")</f>
        <v>Cookie Bar</v>
      </c>
      <c r="B10" s="10" t="str">
        <f>IFERROR(__xludf.DUMMYFUNCTION("FILTER(G17:G52, I17:I52=B8)
"),"Casa Miro")</f>
        <v>Casa Miro</v>
      </c>
      <c r="C10" s="10" t="str">
        <f>IFERROR(__xludf.DUMMYFUNCTION("FILTER(G17:G52, I17:I52=C8)
"),"Wal Mart")</f>
        <v>Wal Mart</v>
      </c>
      <c r="D10" s="26" t="str">
        <f>IFERROR(__xludf.DUMMYFUNCTION("FILTER(G17:G52, I17:I52=D8)
"),"McDonalds")</f>
        <v>McDonalds</v>
      </c>
      <c r="E10" s="26" t="str">
        <f>IFERROR(__xludf.DUMMYFUNCTION("FILTER(G17:G52, I17:I52=E8)
"),"Toto")</f>
        <v>Toto</v>
      </c>
      <c r="F10" s="26" t="str">
        <f>IFERROR(__xludf.DUMMYFUNCTION("FILTER(G17:G52, I17:I52=F8)
"),"#N/A")</f>
        <v>#N/A</v>
      </c>
      <c r="G10" s="26" t="str">
        <f>IFERROR(__xludf.DUMMYFUNCTION("FILTER(G17:G52, I17:I52=G8)
"),"Wendys ")</f>
        <v>Wendys </v>
      </c>
      <c r="H10" s="26" t="str">
        <f>IFERROR(__xludf.DUMMYFUNCTION("FILTER(G17:G52, I17:I52=H8)
"),"TIMS")</f>
        <v>TIMS</v>
      </c>
      <c r="I10" s="10" t="str">
        <f>IFERROR(__xludf.DUMMYFUNCTION("FILTER(G16:G51, I16:I51=I8)
"),"McDonalds")</f>
        <v>McDonalds</v>
      </c>
      <c r="J10" s="26" t="str">
        <f>IFERROR(__xludf.DUMMYFUNCTION("FILTER(G15:G50, I15:I50=J8)
"),"Metro ")</f>
        <v>Metro </v>
      </c>
      <c r="K10" s="26" t="str">
        <f>IFERROR(__xludf.DUMMYFUNCTION("FILTER(G15:G50, I15:I50=K8)
"),"Amazon")</f>
        <v>Amazon</v>
      </c>
      <c r="L10" s="26" t="str">
        <f>IFERROR(__xludf.DUMMYFUNCTION("FILTER(G15:G65, I15:I65=L8)
"),"#N/A")</f>
        <v>#N/A</v>
      </c>
      <c r="M10" s="10" t="str">
        <f>IFERROR(__xludf.DUMMYFUNCTION("FILTER(G15:G65, I15:I65=M8)
"),"TIMS")</f>
        <v>TIMS</v>
      </c>
      <c r="N10" s="26" t="str">
        <f>IFERROR(__xludf.DUMMYFUNCTION("FILTER(G15:G65, I15:I65=N8)
"),"TIMS")</f>
        <v>TIMS</v>
      </c>
    </row>
    <row r="11">
      <c r="A11" s="26" t="str">
        <f>IFERROR(__xludf.DUMMYFUNCTION("""COMPUTED_VALUE"""),"A&amp;W")</f>
        <v>A&amp;W</v>
      </c>
      <c r="B11" s="26" t="str">
        <f>IFERROR(__xludf.DUMMYFUNCTION("""COMPUTED_VALUE"""),"TIMS")</f>
        <v>TIMS</v>
      </c>
      <c r="C11" s="26" t="str">
        <f>IFERROR(__xludf.DUMMYFUNCTION("""COMPUTED_VALUE"""),"TIMS")</f>
        <v>TIMS</v>
      </c>
      <c r="G11" s="26" t="str">
        <f>IFERROR(__xludf.DUMMYFUNCTION("""COMPUTED_VALUE"""),"Coffee Exchange")</f>
        <v>Coffee Exchange</v>
      </c>
      <c r="H11" s="26" t="str">
        <f>IFERROR(__xludf.DUMMYFUNCTION("""COMPUTED_VALUE"""),"Hot Tacos")</f>
        <v>Hot Tacos</v>
      </c>
      <c r="I11" s="26" t="str">
        <f>IFERROR(__xludf.DUMMYFUNCTION("""COMPUTED_VALUE"""),"TIMS")</f>
        <v>TIMS</v>
      </c>
      <c r="J11" s="26" t="str">
        <f>IFERROR(__xludf.DUMMYFUNCTION("""COMPUTED_VALUE"""),"TIMS")</f>
        <v>TIMS</v>
      </c>
      <c r="K11" s="26" t="str">
        <f>IFERROR(__xludf.DUMMYFUNCTION("""COMPUTED_VALUE"""),"TIMS")</f>
        <v>TIMS</v>
      </c>
      <c r="M11" s="26" t="str">
        <f>IFERROR(__xludf.DUMMYFUNCTION("""COMPUTED_VALUE"""),"Goodwill")</f>
        <v>Goodwill</v>
      </c>
      <c r="N11" s="26" t="str">
        <f>IFERROR(__xludf.DUMMYFUNCTION("""COMPUTED_VALUE"""),"Gas")</f>
        <v>Gas</v>
      </c>
    </row>
    <row r="12">
      <c r="B12" s="26" t="str">
        <f>IFERROR(__xludf.DUMMYFUNCTION("""COMPUTED_VALUE"""),"Gas")</f>
        <v>Gas</v>
      </c>
      <c r="C12" s="26" t="str">
        <f>IFERROR(__xludf.DUMMYFUNCTION("""COMPUTED_VALUE"""),"Car Wash")</f>
        <v>Car Wash</v>
      </c>
      <c r="H12" s="26" t="str">
        <f>IFERROR(__xludf.DUMMYFUNCTION("""COMPUTED_VALUE"""),"Prime")</f>
        <v>Prime</v>
      </c>
      <c r="I12" s="26" t="str">
        <f>IFERROR(__xludf.DUMMYFUNCTION("""COMPUTED_VALUE"""),"J Shotz")</f>
        <v>J Shotz</v>
      </c>
      <c r="K12" s="26" t="str">
        <f>IFERROR(__xludf.DUMMYFUNCTION("""COMPUTED_VALUE"""),"Creatine")</f>
        <v>Creatine</v>
      </c>
    </row>
    <row r="13">
      <c r="A13" s="204"/>
      <c r="B13" s="204"/>
      <c r="C13" s="26" t="str">
        <f>IFERROR(__xludf.DUMMYFUNCTION("""COMPUTED_VALUE"""),"Pho")</f>
        <v>Pho</v>
      </c>
      <c r="H13" s="26" t="str">
        <f>IFERROR(__xludf.DUMMYFUNCTION("""COMPUTED_VALUE"""),"AMZN Charger")</f>
        <v>AMZN Charger</v>
      </c>
      <c r="I13" s="26" t="str">
        <f>IFERROR(__xludf.DUMMYFUNCTION("""COMPUTED_VALUE"""),"Wal Mart")</f>
        <v>Wal Mart</v>
      </c>
      <c r="K13" s="26" t="str">
        <f>IFERROR(__xludf.DUMMYFUNCTION("""COMPUTED_VALUE"""),"Fit4Less")</f>
        <v>Fit4Less</v>
      </c>
    </row>
    <row r="14">
      <c r="A14" s="204"/>
      <c r="B14" s="204"/>
      <c r="H14" s="26" t="str">
        <f>IFERROR(__xludf.DUMMYFUNCTION("""COMPUTED_VALUE"""),"Metro ")</f>
        <v>Metro </v>
      </c>
      <c r="I14" s="26" t="str">
        <f>IFERROR(__xludf.DUMMYFUNCTION("""COMPUTED_VALUE"""),"Wal Mart")</f>
        <v>Wal Mart</v>
      </c>
      <c r="K14" s="10" t="s">
        <v>122</v>
      </c>
    </row>
    <row r="15">
      <c r="A15" s="204"/>
      <c r="B15" s="204"/>
      <c r="I15" s="26" t="str">
        <f>IFERROR(__xludf.DUMMYFUNCTION("""COMPUTED_VALUE"""),"c cabana")</f>
        <v>c cabana</v>
      </c>
    </row>
    <row r="16">
      <c r="A16" s="56">
        <f>IFERROR(__xludf.DUMMYFUNCTION("SUM(FILTER(H17:H52, I17:I52=A8))
"),40.55)</f>
        <v>40.55</v>
      </c>
      <c r="B16" s="56">
        <f>IFERROR(__xludf.DUMMYFUNCTION("SUM(FILTER(H17:H52, I17:I52=B8))
"),79.21)</f>
        <v>79.21</v>
      </c>
      <c r="C16" s="56">
        <f>IFERROR(__xludf.DUMMYFUNCTION("SUM(FILTER(H17:H52, I17:I52=C8))
"),100.28)</f>
        <v>100.28</v>
      </c>
      <c r="D16" s="56">
        <f>IFERROR(__xludf.DUMMYFUNCTION("SUM(FILTER(H17:H52, I17:I52=D8))
"),10.48)</f>
        <v>10.48</v>
      </c>
      <c r="E16" s="56">
        <f>IFERROR(__xludf.DUMMYFUNCTION("SUM(FILTER(H17:H52, I17:I52=E8))
"),10.66)</f>
        <v>10.66</v>
      </c>
      <c r="F16" s="56" t="str">
        <f>IFERROR(__xludf.DUMMYFUNCTION("SUM(FILTER(H17:H52, I17:I52=F8))
"),"#N/A")</f>
        <v>#N/A</v>
      </c>
      <c r="G16" s="56">
        <f>IFERROR(__xludf.DUMMYFUNCTION("SUM(FILTER(H17:H52, I17:I52=G8))
"),13.2)</f>
        <v>13.2</v>
      </c>
      <c r="H16" s="56">
        <f>IFERROR(__xludf.DUMMYFUNCTION("SUM(FILTER(H17:H52, I17:I52=H8))
"),38.81)</f>
        <v>38.81</v>
      </c>
      <c r="I16" s="56">
        <f>IFERROR(__xludf.DUMMYFUNCTION("SUM(FILTER(H17:H52, I17:I52=I8))
"),122.63)</f>
        <v>122.63</v>
      </c>
      <c r="J16" s="56">
        <f>IFERROR(__xludf.DUMMYFUNCTION("SUM(FILTER(H17:H52, I17:I52=J8))
"),7.19)</f>
        <v>7.19</v>
      </c>
      <c r="K16" s="56">
        <f>IFERROR(__xludf.DUMMYFUNCTION("SUM(FILTER(H17:H52, I17:I52=K8))
"),44.67)</f>
        <v>44.67</v>
      </c>
      <c r="L16" s="56" t="str">
        <f>IFERROR(__xludf.DUMMYFUNCTION("SUM(FILTER(H17:H52, I17:I52=L8))
"),"#N/A")</f>
        <v>#N/A</v>
      </c>
      <c r="M16" s="56">
        <f>IFERROR(__xludf.DUMMYFUNCTION("SUM(FILTER(H17:H52, I17:I52=M8))
"),17.95)</f>
        <v>17.95</v>
      </c>
      <c r="N16" s="35">
        <f>IFERROR(__xludf.DUMMYFUNCTION("SUM(FILTER(H17:H52, I17:I52=N8))
"),70.10000000000001)</f>
        <v>70.1</v>
      </c>
    </row>
    <row r="17">
      <c r="E17" s="79" t="s">
        <v>135</v>
      </c>
      <c r="F17" s="80">
        <f>COUNTIF(G18:G1002, "TIMS")+COUNTIF(G18:G1002, "Casa Miro")+COUNTIF(G18:G1002, "Toto")+COUNTIF(G18:G1002, "Coffee Exchange")
</f>
        <v>11</v>
      </c>
      <c r="G17" s="81" t="s">
        <v>511</v>
      </c>
      <c r="H17" s="81"/>
      <c r="I17" s="82" t="s">
        <v>716</v>
      </c>
      <c r="L17" s="10" t="s">
        <v>717</v>
      </c>
    </row>
    <row r="18">
      <c r="E18" s="205" t="s">
        <v>138</v>
      </c>
      <c r="F18" s="205">
        <f>SUMIF(G18:G50, "Dispo", H18:H50)+SUMIF(G18:G50, "c cabana", H18:H50)</f>
        <v>36.88</v>
      </c>
      <c r="G18" s="21" t="s">
        <v>718</v>
      </c>
      <c r="H18" s="94">
        <v>22.04</v>
      </c>
      <c r="I18" s="109">
        <v>45618.0</v>
      </c>
      <c r="J18" s="1" t="s">
        <v>654</v>
      </c>
      <c r="L18" s="10" t="s">
        <v>719</v>
      </c>
    </row>
    <row r="19">
      <c r="A19" s="10" t="s">
        <v>720</v>
      </c>
      <c r="B19" s="10" t="s">
        <v>721</v>
      </c>
      <c r="C19" s="10">
        <v>49.51</v>
      </c>
      <c r="E19" s="92" t="s">
        <v>145</v>
      </c>
      <c r="F19" s="92">
        <f>SUMIF(G18:G50, "A&amp;W", H18:H50) + SUMIF(G18:G50, "Cookie Bar", H18:H50) + SUMIF(G18:G50, "Pho", H18:H50) + SUMIF(G18:G50, "McDonalds", H18:H50)+SUMIF(G18:G50, "Wendys", H18:H50)+SUMIF(G18:G50, "Hot Tacos", H18:H50)</f>
        <v>115.58</v>
      </c>
      <c r="G19" s="21" t="s">
        <v>332</v>
      </c>
      <c r="H19" s="94">
        <v>18.51</v>
      </c>
      <c r="I19" s="109">
        <v>45618.0</v>
      </c>
      <c r="J19" s="1" t="s">
        <v>722</v>
      </c>
    </row>
    <row r="20">
      <c r="A20" s="10" t="s">
        <v>723</v>
      </c>
      <c r="E20" s="10" t="s">
        <v>27</v>
      </c>
      <c r="F20" s="10">
        <f>SUMIF(G18:G60, "Gas", H18:H60)</f>
        <v>137.23</v>
      </c>
      <c r="G20" s="21" t="s">
        <v>724</v>
      </c>
      <c r="H20" s="94">
        <v>6.78</v>
      </c>
      <c r="I20" s="109">
        <v>45619.0</v>
      </c>
    </row>
    <row r="21">
      <c r="A21" s="10" t="s">
        <v>725</v>
      </c>
      <c r="G21" s="21" t="s">
        <v>150</v>
      </c>
      <c r="H21" s="94">
        <v>3.13</v>
      </c>
      <c r="I21" s="109">
        <v>45619.0</v>
      </c>
    </row>
    <row r="22">
      <c r="E22" s="10" t="s">
        <v>160</v>
      </c>
      <c r="G22" s="21" t="s">
        <v>27</v>
      </c>
      <c r="H22" s="94">
        <v>69.3</v>
      </c>
      <c r="I22" s="109">
        <v>45619.0</v>
      </c>
    </row>
    <row r="23">
      <c r="A23" s="10" t="s">
        <v>726</v>
      </c>
      <c r="E23" s="10" t="s">
        <v>117</v>
      </c>
      <c r="F23" s="26">
        <f>SUMIF(G18:G50, "LCBO", H18:H50) + SUMIF(G18:G50, "Beer Store", H18:H50) </f>
        <v>0</v>
      </c>
      <c r="G23" s="10" t="s">
        <v>171</v>
      </c>
      <c r="H23" s="10">
        <v>49.51</v>
      </c>
      <c r="I23" s="62">
        <v>45620.0</v>
      </c>
      <c r="J23" s="32" t="s">
        <v>722</v>
      </c>
    </row>
    <row r="24">
      <c r="A24" s="10" t="s">
        <v>727</v>
      </c>
      <c r="E24" s="10" t="s">
        <v>170</v>
      </c>
      <c r="F24" s="26">
        <f>SUMIF(G18:G50, "LCBO", H18:H50) + SUMIF(G18:G50, "Beer Store", H18:H50)+30</f>
        <v>30</v>
      </c>
      <c r="G24" s="132" t="s">
        <v>150</v>
      </c>
      <c r="H24" s="132">
        <v>4.68</v>
      </c>
      <c r="I24" s="62">
        <v>45620.0</v>
      </c>
      <c r="J24" s="135"/>
    </row>
    <row r="25">
      <c r="A25" s="10"/>
      <c r="E25" s="10" t="s">
        <v>173</v>
      </c>
      <c r="F25" s="10">
        <f>SUMIF(G18:G50, "TIMS", H18:H50) + SUMIF(G18:G50, "Casa Miro", H18:H50) + SUMIF(G18:G50, "Toto", H18:H50) + SUMIF(G18:G50, "Coffee Exchange", H18:H50)
</f>
        <v>43.49</v>
      </c>
      <c r="G25" s="132" t="s">
        <v>371</v>
      </c>
      <c r="H25" s="132">
        <v>4.0</v>
      </c>
      <c r="I25" s="62">
        <v>45620.0</v>
      </c>
      <c r="J25" s="135"/>
    </row>
    <row r="26">
      <c r="E26" s="10" t="s">
        <v>52</v>
      </c>
      <c r="F26" s="26">
        <f>SUM(F18:F25)
</f>
        <v>363.18</v>
      </c>
      <c r="G26" s="10" t="s">
        <v>728</v>
      </c>
      <c r="H26" s="10">
        <v>42.09</v>
      </c>
      <c r="I26" s="62">
        <v>45620.0</v>
      </c>
      <c r="J26" s="32" t="s">
        <v>654</v>
      </c>
    </row>
    <row r="27">
      <c r="G27" s="10" t="s">
        <v>155</v>
      </c>
      <c r="H27" s="10">
        <v>10.48</v>
      </c>
      <c r="I27" s="62">
        <v>45621.0</v>
      </c>
      <c r="J27" s="85" t="s">
        <v>654</v>
      </c>
    </row>
    <row r="28">
      <c r="G28" s="10" t="s">
        <v>729</v>
      </c>
      <c r="H28" s="10">
        <v>10.66</v>
      </c>
      <c r="I28" s="62">
        <v>45622.0</v>
      </c>
      <c r="J28" s="85" t="s">
        <v>654</v>
      </c>
    </row>
    <row r="29">
      <c r="G29" s="10" t="s">
        <v>730</v>
      </c>
      <c r="H29" s="10">
        <v>10.0</v>
      </c>
      <c r="I29" s="62">
        <v>45624.0</v>
      </c>
    </row>
    <row r="30">
      <c r="E30" s="135"/>
      <c r="F30" s="135"/>
      <c r="G30" s="132" t="s">
        <v>621</v>
      </c>
      <c r="H30" s="132">
        <v>3.2</v>
      </c>
      <c r="I30" s="198">
        <v>45624.0</v>
      </c>
      <c r="J30" s="135"/>
      <c r="K30" s="135"/>
    </row>
    <row r="31">
      <c r="E31" s="135"/>
      <c r="F31" s="135"/>
      <c r="G31" s="132" t="s">
        <v>150</v>
      </c>
      <c r="H31" s="132">
        <v>2.17</v>
      </c>
      <c r="I31" s="198">
        <v>45625.0</v>
      </c>
      <c r="J31" s="135"/>
      <c r="K31" s="135"/>
    </row>
    <row r="32">
      <c r="E32" s="135"/>
      <c r="F32" s="135"/>
      <c r="G32" s="132" t="s">
        <v>390</v>
      </c>
      <c r="H32" s="132">
        <v>13.67</v>
      </c>
      <c r="I32" s="198">
        <v>45625.0</v>
      </c>
      <c r="J32" s="135"/>
      <c r="K32" s="135"/>
    </row>
    <row r="33">
      <c r="E33" s="135"/>
      <c r="F33" s="135"/>
      <c r="G33" s="132" t="s">
        <v>398</v>
      </c>
      <c r="H33" s="132">
        <v>1.12</v>
      </c>
      <c r="I33" s="198">
        <v>45625.0</v>
      </c>
      <c r="J33" s="135"/>
      <c r="K33" s="135"/>
    </row>
    <row r="34">
      <c r="E34" s="135"/>
      <c r="F34" s="167">
        <v>25.98</v>
      </c>
      <c r="G34" s="199" t="s">
        <v>731</v>
      </c>
      <c r="H34" s="132">
        <v>0.0</v>
      </c>
      <c r="I34" s="200">
        <v>45625.0</v>
      </c>
      <c r="J34" s="224" t="s">
        <v>732</v>
      </c>
      <c r="K34" s="135"/>
      <c r="M34" s="10" t="s">
        <v>733</v>
      </c>
    </row>
    <row r="35">
      <c r="E35" s="135"/>
      <c r="F35" s="132"/>
      <c r="G35" s="132" t="s">
        <v>386</v>
      </c>
      <c r="H35" s="132">
        <v>21.85</v>
      </c>
      <c r="I35" s="198">
        <v>45625.0</v>
      </c>
      <c r="J35" s="85" t="s">
        <v>654</v>
      </c>
      <c r="K35" s="132" t="s">
        <v>734</v>
      </c>
    </row>
    <row r="36">
      <c r="E36" s="135"/>
      <c r="F36" s="135"/>
      <c r="G36" s="132" t="s">
        <v>155</v>
      </c>
      <c r="H36" s="132">
        <v>8.79</v>
      </c>
      <c r="I36" s="198">
        <v>45626.0</v>
      </c>
      <c r="J36" s="85" t="s">
        <v>654</v>
      </c>
      <c r="K36" s="132" t="s">
        <v>735</v>
      </c>
    </row>
    <row r="37">
      <c r="E37" s="135"/>
      <c r="F37" s="135"/>
      <c r="G37" s="132" t="s">
        <v>150</v>
      </c>
      <c r="H37" s="132">
        <v>2.47</v>
      </c>
      <c r="I37" s="198">
        <v>45626.0</v>
      </c>
      <c r="J37" s="132" t="s">
        <v>736</v>
      </c>
      <c r="K37" s="135"/>
    </row>
    <row r="38">
      <c r="E38" s="135"/>
      <c r="F38" s="135"/>
      <c r="G38" s="132" t="s">
        <v>737</v>
      </c>
      <c r="H38" s="132">
        <v>43.39</v>
      </c>
      <c r="I38" s="198">
        <v>45626.0</v>
      </c>
      <c r="J38" s="32" t="s">
        <v>654</v>
      </c>
      <c r="K38" s="135"/>
    </row>
    <row r="39">
      <c r="E39" s="135"/>
      <c r="F39" s="135"/>
      <c r="G39" s="132" t="s">
        <v>171</v>
      </c>
      <c r="H39" s="132">
        <v>18.05</v>
      </c>
      <c r="I39" s="198">
        <v>45626.0</v>
      </c>
      <c r="J39" s="132" t="s">
        <v>738</v>
      </c>
      <c r="K39" s="132" t="s">
        <v>739</v>
      </c>
    </row>
    <row r="40">
      <c r="E40" s="135"/>
      <c r="F40" s="135"/>
      <c r="G40" s="132" t="s">
        <v>171</v>
      </c>
      <c r="H40" s="132">
        <v>13.05</v>
      </c>
      <c r="I40" s="198">
        <v>45626.0</v>
      </c>
      <c r="J40" s="132" t="s">
        <v>740</v>
      </c>
      <c r="K40" s="135"/>
    </row>
    <row r="41">
      <c r="E41" s="135"/>
      <c r="F41" s="135"/>
      <c r="G41" s="132" t="s">
        <v>741</v>
      </c>
      <c r="H41" s="132">
        <v>36.88</v>
      </c>
      <c r="I41" s="198">
        <v>45626.0</v>
      </c>
      <c r="J41" s="132" t="s">
        <v>742</v>
      </c>
      <c r="K41" s="135"/>
    </row>
    <row r="42">
      <c r="G42" s="10" t="s">
        <v>386</v>
      </c>
      <c r="H42" s="10">
        <v>2.99</v>
      </c>
      <c r="I42" s="62">
        <v>45627.0</v>
      </c>
      <c r="J42" s="10" t="s">
        <v>743</v>
      </c>
    </row>
    <row r="43">
      <c r="F43" s="10">
        <v>40.0</v>
      </c>
      <c r="G43" s="10" t="s">
        <v>744</v>
      </c>
      <c r="H43" s="10">
        <v>0.0</v>
      </c>
      <c r="I43" s="62">
        <v>45628.0</v>
      </c>
      <c r="J43" s="224" t="s">
        <v>745</v>
      </c>
      <c r="M43" s="10" t="s">
        <v>733</v>
      </c>
    </row>
    <row r="44">
      <c r="G44" s="10" t="s">
        <v>150</v>
      </c>
      <c r="H44" s="10">
        <v>4.2</v>
      </c>
      <c r="I44" s="62">
        <v>45627.0</v>
      </c>
      <c r="J44" s="10" t="s">
        <v>692</v>
      </c>
    </row>
    <row r="45">
      <c r="G45" s="10" t="s">
        <v>150</v>
      </c>
      <c r="H45" s="10">
        <v>1.74</v>
      </c>
      <c r="I45" s="62">
        <v>45628.0</v>
      </c>
    </row>
    <row r="46">
      <c r="G46" s="10" t="s">
        <v>399</v>
      </c>
      <c r="H46" s="10">
        <v>20.33</v>
      </c>
      <c r="I46" s="62">
        <v>45628.0</v>
      </c>
    </row>
    <row r="47">
      <c r="G47" s="10" t="s">
        <v>746</v>
      </c>
      <c r="H47" s="10">
        <v>22.6</v>
      </c>
      <c r="I47" s="62">
        <v>45628.0</v>
      </c>
      <c r="J47" s="10" t="s">
        <v>747</v>
      </c>
    </row>
    <row r="48">
      <c r="G48" s="10" t="s">
        <v>150</v>
      </c>
      <c r="H48" s="10">
        <v>2.29</v>
      </c>
      <c r="I48" s="121">
        <v>45630.0</v>
      </c>
    </row>
    <row r="49">
      <c r="G49" s="10" t="s">
        <v>748</v>
      </c>
      <c r="H49" s="10">
        <v>15.66</v>
      </c>
      <c r="I49" s="121">
        <v>45630.0</v>
      </c>
      <c r="J49" s="10" t="s">
        <v>749</v>
      </c>
    </row>
    <row r="50">
      <c r="G50" s="10" t="s">
        <v>150</v>
      </c>
      <c r="H50" s="10">
        <v>2.17</v>
      </c>
      <c r="I50" s="121">
        <v>45631.0</v>
      </c>
    </row>
    <row r="51">
      <c r="G51" s="10" t="s">
        <v>27</v>
      </c>
      <c r="H51" s="10">
        <v>67.93</v>
      </c>
      <c r="I51" s="121">
        <v>45631.0</v>
      </c>
    </row>
  </sheetData>
  <conditionalFormatting sqref="I1">
    <cfRule type="notContainsBlanks" dxfId="2" priority="1">
      <formula>LEN(TRIM(I1))&gt;0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181"/>
      <c r="C1" s="1"/>
      <c r="E1" s="54" t="s">
        <v>114</v>
      </c>
      <c r="F1" s="55">
        <v>45616.0</v>
      </c>
      <c r="H1" s="56" t="s">
        <v>115</v>
      </c>
      <c r="I1" s="32">
        <f>SUM(IFERROR(16:16, 0))
</f>
        <v>521.51</v>
      </c>
      <c r="K1" s="10" t="s">
        <v>265</v>
      </c>
      <c r="M1" s="10" t="s">
        <v>266</v>
      </c>
      <c r="O1" s="10" t="s">
        <v>116</v>
      </c>
    </row>
    <row r="2">
      <c r="C2" s="62"/>
      <c r="E2" s="10" t="s">
        <v>118</v>
      </c>
      <c r="F2" s="60">
        <v>45617.0</v>
      </c>
      <c r="H2" s="10" t="s">
        <v>119</v>
      </c>
      <c r="I2" s="10">
        <v>500.0</v>
      </c>
      <c r="K2" s="10" t="s">
        <v>173</v>
      </c>
      <c r="L2" s="10">
        <v>30.0</v>
      </c>
      <c r="O2" s="10" t="s">
        <v>750</v>
      </c>
      <c r="Q2" s="10">
        <v>55.0</v>
      </c>
    </row>
    <row r="3">
      <c r="C3" s="62"/>
      <c r="E3" s="10" t="s">
        <v>120</v>
      </c>
      <c r="F3" s="26">
        <f>F2-F1+1
</f>
        <v>2</v>
      </c>
      <c r="H3" s="10" t="s">
        <v>80</v>
      </c>
      <c r="I3" s="10">
        <f>I2-I1
</f>
        <v>-21.51</v>
      </c>
      <c r="K3" s="10" t="s">
        <v>268</v>
      </c>
      <c r="L3" s="10">
        <v>100.0</v>
      </c>
      <c r="O3" s="10" t="s">
        <v>751</v>
      </c>
      <c r="Q3" s="10">
        <v>60.0</v>
      </c>
    </row>
    <row r="4">
      <c r="C4" s="62"/>
      <c r="H4" s="63" t="s">
        <v>752</v>
      </c>
      <c r="I4" s="63">
        <v>-27.0</v>
      </c>
    </row>
    <row r="5">
      <c r="A5" s="10"/>
      <c r="C5" s="62"/>
      <c r="E5" s="10" t="s">
        <v>122</v>
      </c>
      <c r="H5" s="64" t="s">
        <v>123</v>
      </c>
      <c r="I5" s="64">
        <f>I3/F3
</f>
        <v>-10.755</v>
      </c>
      <c r="J5" s="10" t="s">
        <v>753</v>
      </c>
    </row>
    <row r="6">
      <c r="C6" s="62"/>
      <c r="K6" s="65"/>
    </row>
    <row r="7">
      <c r="E7" s="53"/>
      <c r="H7" s="53"/>
      <c r="J7" s="53"/>
    </row>
    <row r="8">
      <c r="A8" s="72">
        <v>45604.0</v>
      </c>
      <c r="B8" s="72">
        <v>45605.0</v>
      </c>
      <c r="C8" s="73">
        <v>45606.0</v>
      </c>
      <c r="D8" s="72">
        <v>45607.0</v>
      </c>
      <c r="E8" s="72">
        <v>45608.0</v>
      </c>
      <c r="F8" s="72">
        <v>45609.0</v>
      </c>
      <c r="G8" s="72">
        <v>45610.0</v>
      </c>
      <c r="H8" s="72">
        <v>45611.0</v>
      </c>
      <c r="I8" s="72">
        <v>45612.0</v>
      </c>
      <c r="J8" s="72">
        <v>45613.0</v>
      </c>
      <c r="K8" s="72">
        <v>45614.0</v>
      </c>
      <c r="L8" s="72">
        <v>45615.0</v>
      </c>
      <c r="M8" s="72">
        <v>45616.0</v>
      </c>
      <c r="N8" s="72">
        <v>45617.0</v>
      </c>
      <c r="O8" s="10" t="s">
        <v>754</v>
      </c>
      <c r="P8" s="10" t="s">
        <v>755</v>
      </c>
      <c r="Q8" s="10" t="s">
        <v>756</v>
      </c>
    </row>
    <row r="9">
      <c r="A9" s="76" t="s">
        <v>126</v>
      </c>
      <c r="B9" s="76" t="s">
        <v>127</v>
      </c>
      <c r="C9" s="76" t="s">
        <v>128</v>
      </c>
      <c r="D9" s="76" t="s">
        <v>129</v>
      </c>
      <c r="E9" s="76" t="s">
        <v>130</v>
      </c>
      <c r="F9" s="76" t="s">
        <v>131</v>
      </c>
      <c r="G9" s="76" t="s">
        <v>132</v>
      </c>
      <c r="H9" s="76" t="s">
        <v>126</v>
      </c>
      <c r="I9" s="76" t="s">
        <v>127</v>
      </c>
      <c r="J9" s="76" t="s">
        <v>128</v>
      </c>
      <c r="K9" s="76" t="s">
        <v>129</v>
      </c>
      <c r="L9" s="76" t="s">
        <v>130</v>
      </c>
      <c r="M9" s="76" t="s">
        <v>131</v>
      </c>
      <c r="N9" s="76" t="s">
        <v>132</v>
      </c>
      <c r="O9" s="10" t="s">
        <v>757</v>
      </c>
      <c r="P9" s="10" t="s">
        <v>755</v>
      </c>
      <c r="Q9" s="10" t="s">
        <v>758</v>
      </c>
    </row>
    <row r="10">
      <c r="A10" s="26" t="str">
        <f>IFERROR(__xludf.DUMMYFUNCTION("FILTER(G17:G52, I17:I52=A8)
"),"Greentown")</f>
        <v>Greentown</v>
      </c>
      <c r="B10" s="10" t="str">
        <f>IFERROR(__xludf.DUMMYFUNCTION("FILTER(G17:G52, I17:I52=B8)
"),"TIMS")</f>
        <v>TIMS</v>
      </c>
      <c r="C10" s="10" t="str">
        <f>IFERROR(__xludf.DUMMYFUNCTION("FILTER(G17:G52, I17:I52=C8)
"),"#N/A")</f>
        <v>#N/A</v>
      </c>
      <c r="D10" s="26" t="str">
        <f>IFERROR(__xludf.DUMMYFUNCTION("FILTER(G17:G52, I17:I52=D8)
"),"TIMS")</f>
        <v>TIMS</v>
      </c>
      <c r="E10" s="26" t="str">
        <f>IFERROR(__xludf.DUMMYFUNCTION("FILTER(G17:G52, I17:I52=E8)
"),"Gas")</f>
        <v>Gas</v>
      </c>
      <c r="F10" s="26" t="str">
        <f>IFERROR(__xludf.DUMMYFUNCTION("FILTER(G17:G52, I17:I52=F8)
"),"TIMS")</f>
        <v>TIMS</v>
      </c>
      <c r="G10" s="26" t="str">
        <f>IFERROR(__xludf.DUMMYFUNCTION("FILTER(G17:G52, I17:I52=G8)
"),"#N/A")</f>
        <v>#N/A</v>
      </c>
      <c r="H10" s="26" t="str">
        <f>IFERROR(__xludf.DUMMYFUNCTION("FILTER(G17:G52, I17:I52=H8)
"),"TIMS")</f>
        <v>TIMS</v>
      </c>
      <c r="I10" s="10" t="str">
        <f>IFERROR(__xludf.DUMMYFUNCTION("FILTER(G16:G51, I16:I51=I8)
"),"Candies")</f>
        <v>Candies</v>
      </c>
      <c r="J10" s="26" t="str">
        <f>IFERROR(__xludf.DUMMYFUNCTION("FILTER(G15:G50, I15:I50=J8)
"),"Reitmans")</f>
        <v>Reitmans</v>
      </c>
      <c r="K10" s="26" t="str">
        <f>IFERROR(__xludf.DUMMYFUNCTION("FILTER(G15:G50, I15:I50=K8)
"),"TIMS")</f>
        <v>TIMS</v>
      </c>
      <c r="L10" s="26" t="str">
        <f>IFERROR(__xludf.DUMMYFUNCTION("FILTER(G15:G50, I15:I50=L8)
"),"TIMS")</f>
        <v>TIMS</v>
      </c>
      <c r="M10" s="10" t="str">
        <f>IFERROR(__xludf.DUMMYFUNCTION("FILTER(G15:G50, I15:I50=M8)
"),"TIMS")</f>
        <v>TIMS</v>
      </c>
      <c r="N10" s="26" t="str">
        <f>IFERROR(__xludf.DUMMYFUNCTION("FILTER(G15:G50, I15:I50=N8)
"),"TIMS")</f>
        <v>TIMS</v>
      </c>
    </row>
    <row r="11">
      <c r="A11" s="26" t="str">
        <f>IFERROR(__xludf.DUMMYFUNCTION("""COMPUTED_VALUE"""),"TIMS")</f>
        <v>TIMS</v>
      </c>
      <c r="D11" s="26" t="str">
        <f>IFERROR(__xludf.DUMMYFUNCTION("""COMPUTED_VALUE"""),"Dollarama")</f>
        <v>Dollarama</v>
      </c>
      <c r="E11" s="26" t="str">
        <f>IFERROR(__xludf.DUMMYFUNCTION("""COMPUTED_VALUE"""),"Oven 360")</f>
        <v>Oven 360</v>
      </c>
      <c r="H11" s="26" t="str">
        <f>IFERROR(__xludf.DUMMYFUNCTION("""COMPUTED_VALUE"""),"Shawarma")</f>
        <v>Shawarma</v>
      </c>
      <c r="J11" s="26" t="str">
        <f>IFERROR(__xludf.DUMMYFUNCTION("""COMPUTED_VALUE"""),"Champs")</f>
        <v>Champs</v>
      </c>
      <c r="L11" s="26" t="str">
        <f>IFERROR(__xludf.DUMMYFUNCTION("""COMPUTED_VALUE"""),"Discounted")</f>
        <v>Discounted</v>
      </c>
      <c r="M11" s="26" t="str">
        <f>IFERROR(__xludf.DUMMYFUNCTION("""COMPUTED_VALUE"""),"Petro")</f>
        <v>Petro</v>
      </c>
      <c r="N11" s="26" t="str">
        <f>IFERROR(__xludf.DUMMYFUNCTION("""COMPUTED_VALUE"""),"Gym")</f>
        <v>Gym</v>
      </c>
    </row>
    <row r="12">
      <c r="D12" s="26" t="str">
        <f>IFERROR(__xludf.DUMMYFUNCTION("""COMPUTED_VALUE"""),"5 Guys")</f>
        <v>5 Guys</v>
      </c>
      <c r="H12" s="26" t="str">
        <f>IFERROR(__xludf.DUMMYFUNCTION("""COMPUTED_VALUE"""),"Ray/Kims")</f>
        <v>Ray/Kims</v>
      </c>
      <c r="J12" s="26" t="str">
        <f>IFERROR(__xludf.DUMMYFUNCTION("""COMPUTED_VALUE"""),"Osmows")</f>
        <v>Osmows</v>
      </c>
    </row>
    <row r="13">
      <c r="A13" s="204"/>
      <c r="B13" s="204"/>
      <c r="H13" s="26" t="str">
        <f>IFERROR(__xludf.DUMMYFUNCTION("""COMPUTED_VALUE"""),"Petro")</f>
        <v>Petro</v>
      </c>
    </row>
    <row r="14">
      <c r="A14" s="204"/>
      <c r="B14" s="204"/>
      <c r="H14" s="26" t="str">
        <f>IFERROR(__xludf.DUMMYFUNCTION("""COMPUTED_VALUE"""),"LCBO")</f>
        <v>LCBO</v>
      </c>
      <c r="K14" s="10" t="s">
        <v>122</v>
      </c>
    </row>
    <row r="15">
      <c r="A15" s="204"/>
      <c r="B15" s="204"/>
      <c r="H15" s="26" t="str">
        <f>IFERROR(__xludf.DUMMYFUNCTION("""COMPUTED_VALUE"""),"KONA")</f>
        <v>KONA</v>
      </c>
    </row>
    <row r="16">
      <c r="A16" s="56">
        <f>IFERROR(__xludf.DUMMYFUNCTION("SUM(FILTER(H17:H52, I17:I52=A8))
"),35.85)</f>
        <v>35.85</v>
      </c>
      <c r="B16" s="56">
        <f>IFERROR(__xludf.DUMMYFUNCTION("SUM(FILTER(H17:H52, I17:I52=B8))
"),5.16)</f>
        <v>5.16</v>
      </c>
      <c r="C16" s="56" t="str">
        <f>IFERROR(__xludf.DUMMYFUNCTION("SUM(FILTER(H17:H52, I17:I52=C8))
"),"#N/A")</f>
        <v>#N/A</v>
      </c>
      <c r="D16" s="56">
        <f>IFERROR(__xludf.DUMMYFUNCTION("SUM(FILTER(H17:H52, I17:I52=D8))
"),37.900000000000006)</f>
        <v>37.9</v>
      </c>
      <c r="E16" s="56">
        <f>IFERROR(__xludf.DUMMYFUNCTION("SUM(FILTER(H17:H52, I17:I52=E8))
"),123.34)</f>
        <v>123.34</v>
      </c>
      <c r="F16" s="56">
        <f>IFERROR(__xludf.DUMMYFUNCTION("SUM(FILTER(H17:H52, I17:I52=F8))
"),2.29)</f>
        <v>2.29</v>
      </c>
      <c r="G16" s="56" t="str">
        <f>IFERROR(__xludf.DUMMYFUNCTION("SUM(FILTER(H17:H52, I17:I52=G8))
"),"#N/A")</f>
        <v>#N/A</v>
      </c>
      <c r="H16" s="56">
        <f>IFERROR(__xludf.DUMMYFUNCTION("SUM(FILTER(H17:H52, I17:I52=H8))
"),78.86)</f>
        <v>78.86</v>
      </c>
      <c r="I16" s="56">
        <f>IFERROR(__xludf.DUMMYFUNCTION("SUM(FILTER(H17:H52, I17:I52=I8))
"),10.02)</f>
        <v>10.02</v>
      </c>
      <c r="J16" s="56">
        <f>IFERROR(__xludf.DUMMYFUNCTION("SUM(FILTER(H17:H52, I17:I52=J8))
"),143.44)</f>
        <v>143.44</v>
      </c>
      <c r="K16" s="56">
        <f>IFERROR(__xludf.DUMMYFUNCTION("SUM(FILTER(H17:H52, I17:I52=K8))
"),2.17)</f>
        <v>2.17</v>
      </c>
      <c r="L16" s="56">
        <f>IFERROR(__xludf.DUMMYFUNCTION("SUM(FILTER(H17:H52, I17:I52=L8))
"),53.33)</f>
        <v>53.33</v>
      </c>
      <c r="M16" s="56">
        <f>IFERROR(__xludf.DUMMYFUNCTION("SUM(FILTER(H17:H52, I17:I52=M8))
"),7.99)</f>
        <v>7.99</v>
      </c>
      <c r="N16" s="35">
        <f>IFERROR(__xludf.DUMMYFUNCTION("SUM(FILTER(H17:H52, I17:I52=N8))
"),21.159999999999997)</f>
        <v>21.16</v>
      </c>
    </row>
    <row r="17">
      <c r="E17" s="79" t="s">
        <v>759</v>
      </c>
      <c r="F17" s="80">
        <f>COUNTIF(G18:G1002, "TIMS")
</f>
        <v>9</v>
      </c>
      <c r="G17" s="81" t="s">
        <v>511</v>
      </c>
      <c r="H17" s="81"/>
      <c r="I17" s="225" t="s">
        <v>760</v>
      </c>
    </row>
    <row r="18">
      <c r="A18" s="10" t="s">
        <v>761</v>
      </c>
      <c r="E18" s="205" t="s">
        <v>138</v>
      </c>
      <c r="F18" s="205">
        <v>79.03</v>
      </c>
      <c r="G18" s="19" t="s">
        <v>762</v>
      </c>
      <c r="H18" s="97">
        <v>34.07</v>
      </c>
      <c r="I18" s="184">
        <v>45604.0</v>
      </c>
      <c r="L18" s="10" t="s">
        <v>763</v>
      </c>
    </row>
    <row r="19">
      <c r="A19" s="10" t="s">
        <v>764</v>
      </c>
      <c r="E19" s="92" t="s">
        <v>145</v>
      </c>
      <c r="F19" s="92">
        <v>143.93</v>
      </c>
      <c r="G19" s="19" t="s">
        <v>150</v>
      </c>
      <c r="H19" s="97">
        <v>1.78</v>
      </c>
      <c r="I19" s="184">
        <v>45604.0</v>
      </c>
    </row>
    <row r="20">
      <c r="E20" s="10" t="s">
        <v>27</v>
      </c>
      <c r="F20" s="10">
        <v>74.0</v>
      </c>
      <c r="G20" s="19" t="s">
        <v>150</v>
      </c>
      <c r="H20" s="97">
        <v>5.16</v>
      </c>
      <c r="I20" s="184">
        <v>45605.0</v>
      </c>
    </row>
    <row r="21">
      <c r="A21" s="10" t="s">
        <v>765</v>
      </c>
      <c r="G21" s="19" t="s">
        <v>150</v>
      </c>
      <c r="H21" s="97">
        <v>2.29</v>
      </c>
      <c r="I21" s="109">
        <v>45607.0</v>
      </c>
    </row>
    <row r="22">
      <c r="A22" s="10" t="s">
        <v>766</v>
      </c>
      <c r="E22" s="10" t="s">
        <v>160</v>
      </c>
      <c r="F22" s="10">
        <v>67.8</v>
      </c>
      <c r="G22" s="19" t="s">
        <v>259</v>
      </c>
      <c r="H22" s="97">
        <v>14.51</v>
      </c>
      <c r="I22" s="109">
        <v>45607.0</v>
      </c>
    </row>
    <row r="23">
      <c r="E23" s="10" t="s">
        <v>117</v>
      </c>
      <c r="F23" s="10">
        <v>55.64</v>
      </c>
      <c r="G23" s="10" t="s">
        <v>767</v>
      </c>
      <c r="H23" s="10">
        <v>21.1</v>
      </c>
      <c r="I23" s="62">
        <v>45607.0</v>
      </c>
    </row>
    <row r="24">
      <c r="E24" s="10" t="s">
        <v>170</v>
      </c>
      <c r="F24" s="10">
        <v>31.97</v>
      </c>
      <c r="G24" s="10" t="s">
        <v>27</v>
      </c>
      <c r="H24" s="10">
        <v>74.0</v>
      </c>
      <c r="I24" s="62">
        <v>45608.0</v>
      </c>
    </row>
    <row r="25">
      <c r="A25" s="10"/>
      <c r="E25" s="10" t="s">
        <v>150</v>
      </c>
      <c r="F25" s="10">
        <v>29.8</v>
      </c>
      <c r="G25" s="32" t="s">
        <v>768</v>
      </c>
      <c r="H25" s="32">
        <v>49.34</v>
      </c>
      <c r="I25" s="226">
        <v>45608.0</v>
      </c>
    </row>
    <row r="26">
      <c r="E26" s="10" t="s">
        <v>52</v>
      </c>
      <c r="F26" s="10">
        <f>SUM(F18:F25)
</f>
        <v>482.17</v>
      </c>
      <c r="G26" s="10" t="s">
        <v>150</v>
      </c>
      <c r="H26" s="10">
        <v>2.29</v>
      </c>
      <c r="I26" s="62">
        <v>45609.0</v>
      </c>
    </row>
    <row r="27">
      <c r="G27" s="10" t="s">
        <v>150</v>
      </c>
      <c r="H27" s="10">
        <v>2.25</v>
      </c>
      <c r="I27" s="62">
        <v>45611.0</v>
      </c>
    </row>
    <row r="28">
      <c r="G28" s="10" t="s">
        <v>769</v>
      </c>
      <c r="H28" s="10">
        <v>10.16</v>
      </c>
      <c r="I28" s="62">
        <v>45611.0</v>
      </c>
    </row>
    <row r="29">
      <c r="G29" s="10" t="s">
        <v>770</v>
      </c>
      <c r="H29" s="10">
        <v>2.17</v>
      </c>
      <c r="I29" s="62">
        <v>45611.0</v>
      </c>
    </row>
    <row r="30">
      <c r="G30" s="10" t="s">
        <v>771</v>
      </c>
      <c r="H30" s="10">
        <v>2.17</v>
      </c>
      <c r="I30" s="62">
        <v>45611.0</v>
      </c>
    </row>
    <row r="31">
      <c r="G31" s="10" t="s">
        <v>254</v>
      </c>
      <c r="H31" s="10">
        <v>21.95</v>
      </c>
      <c r="I31" s="62">
        <v>45611.0</v>
      </c>
    </row>
    <row r="32">
      <c r="G32" s="32" t="s">
        <v>772</v>
      </c>
      <c r="H32" s="32">
        <v>40.16</v>
      </c>
      <c r="I32" s="226">
        <v>45611.0</v>
      </c>
    </row>
    <row r="33">
      <c r="G33" s="10" t="s">
        <v>351</v>
      </c>
      <c r="H33" s="10">
        <v>10.02</v>
      </c>
      <c r="I33" s="62">
        <v>45612.0</v>
      </c>
    </row>
    <row r="34">
      <c r="F34" s="63" t="s">
        <v>773</v>
      </c>
      <c r="G34" s="63" t="s">
        <v>774</v>
      </c>
      <c r="H34" s="63">
        <v>55.64</v>
      </c>
      <c r="I34" s="227">
        <v>45613.0</v>
      </c>
    </row>
    <row r="35">
      <c r="F35" s="32" t="s">
        <v>775</v>
      </c>
      <c r="G35" s="32" t="s">
        <v>515</v>
      </c>
      <c r="H35" s="32">
        <v>67.8</v>
      </c>
      <c r="I35" s="226">
        <v>45613.0</v>
      </c>
    </row>
    <row r="36">
      <c r="G36" s="10" t="s">
        <v>776</v>
      </c>
      <c r="H36" s="10">
        <v>20.0</v>
      </c>
      <c r="I36" s="62">
        <v>45613.0</v>
      </c>
    </row>
    <row r="37">
      <c r="G37" s="10" t="s">
        <v>150</v>
      </c>
      <c r="H37" s="10">
        <v>2.17</v>
      </c>
      <c r="I37" s="62">
        <v>45614.0</v>
      </c>
    </row>
    <row r="38">
      <c r="G38" s="10" t="s">
        <v>150</v>
      </c>
      <c r="H38" s="10">
        <v>8.37</v>
      </c>
      <c r="I38" s="62">
        <v>45615.0</v>
      </c>
    </row>
    <row r="39">
      <c r="G39" s="10" t="s">
        <v>777</v>
      </c>
      <c r="H39" s="10">
        <v>44.96</v>
      </c>
      <c r="I39" s="62">
        <v>45615.0</v>
      </c>
    </row>
    <row r="40">
      <c r="G40" s="10" t="s">
        <v>150</v>
      </c>
      <c r="H40" s="10">
        <v>5.49</v>
      </c>
      <c r="I40" s="62">
        <v>45616.0</v>
      </c>
    </row>
    <row r="41">
      <c r="D41" s="10" t="s">
        <v>778</v>
      </c>
      <c r="G41" s="10" t="s">
        <v>771</v>
      </c>
      <c r="H41" s="10">
        <v>2.5</v>
      </c>
      <c r="I41" s="62">
        <v>45616.0</v>
      </c>
    </row>
    <row r="42">
      <c r="G42" s="10" t="s">
        <v>150</v>
      </c>
      <c r="H42" s="10">
        <v>2.17</v>
      </c>
      <c r="I42" s="62">
        <v>45617.0</v>
      </c>
    </row>
    <row r="43">
      <c r="G43" s="10" t="s">
        <v>28</v>
      </c>
      <c r="H43" s="10">
        <v>18.99</v>
      </c>
      <c r="I43" s="62">
        <v>45617.0</v>
      </c>
    </row>
    <row r="44">
      <c r="I44" s="62"/>
    </row>
  </sheetData>
  <conditionalFormatting sqref="I1">
    <cfRule type="notContainsBlanks" dxfId="2" priority="1">
      <formula>LEN(TRIM(I1))&gt;0</formula>
    </cfRule>
  </conditionalFormatting>
  <drawing r:id="rId1"/>
</worksheet>
</file>