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15ad32ce2becc660/Documents/tableau ai project/"/>
    </mc:Choice>
  </mc:AlternateContent>
  <xr:revisionPtr revIDLastSave="0" documentId="8_{BA0E8F62-350F-42BC-B2BF-5BC67CF5CD20}" xr6:coauthVersionLast="47" xr6:coauthVersionMax="47" xr10:uidLastSave="{00000000-0000-0000-0000-000000000000}"/>
  <bookViews>
    <workbookView xWindow="-120" yWindow="-120" windowWidth="20730" windowHeight="11040" firstSheet="1" activeTab="4" xr2:uid="{5B971581-4A12-4AC6-85F3-43FB650D0B79}"/>
  </bookViews>
  <sheets>
    <sheet name="data" sheetId="1" r:id="rId1"/>
    <sheet name="india" sheetId="2" r:id="rId2"/>
    <sheet name="ALL_Staff" sheetId="5" r:id="rId3"/>
    <sheet name="Emploee Trend" sheetId="14" r:id="rId4"/>
    <sheet name="ind vs nz" sheetId="16" r:id="rId5"/>
    <sheet name="Sheet17" sheetId="17" r:id="rId6"/>
    <sheet name="mapping" sheetId="12" r:id="rId7"/>
    <sheet name="Salary vs, Rating" sheetId="11" r:id="rId8"/>
    <sheet name="inf_finder" sheetId="6" r:id="rId9"/>
    <sheet name="Male vs Female" sheetId="7" r:id="rId10"/>
    <sheet name="Salary Spread" sheetId="8" r:id="rId11"/>
    <sheet name="Sheet15" sheetId="15" r:id="rId12"/>
    <sheet name="Sheet10" sheetId="10" r:id="rId13"/>
  </sheets>
  <definedNames>
    <definedName name="_xlchart.v1.0" hidden="1">ALL_Staff!$F$2:$F$184</definedName>
    <definedName name="_xlchart.v1.1" hidden="1">ALL_Staff!$F$2:$F$184</definedName>
    <definedName name="_xlchart.v1.2" hidden="1">ALL_Staff!$F$2:$F$184</definedName>
    <definedName name="_xlcn.WorksheetConnection_Book1staff1" hidden="1">staff[]</definedName>
    <definedName name="ExternalData_1" localSheetId="2" hidden="1">ALL_Staff!$A$1:$H$184</definedName>
    <definedName name="Slicer_country">#N/A</definedName>
  </definedNames>
  <calcPr calcId="191029"/>
  <pivotCaches>
    <pivotCache cacheId="122" r:id="rId14"/>
    <pivotCache cacheId="123" r:id="rId15"/>
    <pivotCache cacheId="148" r:id="rId16"/>
    <pivotCache cacheId="170" r:id="rId17"/>
    <pivotCache cacheId="173" r:id="rId18"/>
  </pivotCaches>
  <extLst>
    <ext xmlns:x14="http://schemas.microsoft.com/office/spreadsheetml/2009/9/main" uri="{876F7934-8845-4945-9796-88D515C7AA90}">
      <x14:pivotCaches>
        <pivotCache cacheId="51"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ook1!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6" l="1"/>
  <c r="J4" i="16"/>
  <c r="L4" i="16" s="1"/>
  <c r="C4" i="16"/>
  <c r="E4" i="16" s="1"/>
  <c r="G4" i="16"/>
  <c r="R5" i="14" a="1"/>
  <c r="R5" i="14" s="1"/>
  <c r="S5" i="14" s="1" a="1"/>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2" i="5"/>
  <c r="I165" i="5"/>
  <c r="J165" i="5" s="1"/>
  <c r="I86" i="5"/>
  <c r="J86" i="5" s="1"/>
  <c r="I36" i="5"/>
  <c r="J36" i="5" s="1"/>
  <c r="I175" i="5"/>
  <c r="J175" i="5" s="1"/>
  <c r="I38" i="5"/>
  <c r="J38" i="5" s="1"/>
  <c r="I160" i="5"/>
  <c r="J160" i="5" s="1"/>
  <c r="I26" i="5"/>
  <c r="J26" i="5" s="1"/>
  <c r="I62" i="5"/>
  <c r="J62" i="5" s="1"/>
  <c r="I42" i="5"/>
  <c r="J42" i="5" s="1"/>
  <c r="I183" i="5"/>
  <c r="J183" i="5" s="1"/>
  <c r="I158" i="5"/>
  <c r="J158" i="5" s="1"/>
  <c r="I68" i="5"/>
  <c r="J68" i="5" s="1"/>
  <c r="I78" i="5"/>
  <c r="J78" i="5" s="1"/>
  <c r="I152" i="5"/>
  <c r="J152" i="5" s="1"/>
  <c r="I18" i="5"/>
  <c r="J18" i="5" s="1"/>
  <c r="I136" i="5"/>
  <c r="J136" i="5" s="1"/>
  <c r="I8" i="5"/>
  <c r="J8" i="5" s="1"/>
  <c r="I48" i="5"/>
  <c r="J48" i="5" s="1"/>
  <c r="I14" i="5"/>
  <c r="J14" i="5" s="1"/>
  <c r="I98" i="5"/>
  <c r="J98" i="5" s="1"/>
  <c r="I52" i="5"/>
  <c r="J52" i="5" s="1"/>
  <c r="I72" i="5"/>
  <c r="J72" i="5" s="1"/>
  <c r="I50" i="5"/>
  <c r="J50" i="5" s="1"/>
  <c r="I30" i="5"/>
  <c r="J30" i="5" s="1"/>
  <c r="I64" i="5"/>
  <c r="J64" i="5" s="1"/>
  <c r="I92" i="5"/>
  <c r="J92" i="5" s="1"/>
  <c r="I118" i="5"/>
  <c r="J118" i="5" s="1"/>
  <c r="I4" i="5"/>
  <c r="J4" i="5" s="1"/>
  <c r="I100" i="5"/>
  <c r="J100" i="5" s="1"/>
  <c r="I58" i="5"/>
  <c r="J58" i="5" s="1"/>
  <c r="I96" i="5"/>
  <c r="J96" i="5" s="1"/>
  <c r="I177" i="5"/>
  <c r="J177" i="5" s="1"/>
  <c r="I106" i="5"/>
  <c r="J106" i="5" s="1"/>
  <c r="I156" i="5"/>
  <c r="J156" i="5" s="1"/>
  <c r="I32" i="5"/>
  <c r="J32" i="5" s="1"/>
  <c r="I138" i="5"/>
  <c r="J138" i="5" s="1"/>
  <c r="I132" i="5"/>
  <c r="J132" i="5" s="1"/>
  <c r="I142" i="5"/>
  <c r="J142" i="5" s="1"/>
  <c r="I28" i="5"/>
  <c r="J28" i="5" s="1"/>
  <c r="I34" i="5"/>
  <c r="J34" i="5" s="1"/>
  <c r="I104" i="5"/>
  <c r="J104" i="5" s="1"/>
  <c r="I116" i="5"/>
  <c r="J116" i="5" s="1"/>
  <c r="I112" i="5"/>
  <c r="J112" i="5" s="1"/>
  <c r="I128" i="5"/>
  <c r="J128" i="5" s="1"/>
  <c r="I162" i="5"/>
  <c r="J162" i="5" s="1"/>
  <c r="I108" i="5"/>
  <c r="J108" i="5" s="1"/>
  <c r="I76" i="5"/>
  <c r="J76" i="5" s="1"/>
  <c r="I110" i="5"/>
  <c r="J110" i="5" s="1"/>
  <c r="I54" i="5"/>
  <c r="J54" i="5" s="1"/>
  <c r="I181" i="5"/>
  <c r="J181" i="5" s="1"/>
  <c r="I24" i="5"/>
  <c r="J24" i="5" s="1"/>
  <c r="I20" i="5"/>
  <c r="J20" i="5" s="1"/>
  <c r="I173" i="5"/>
  <c r="J173" i="5" s="1"/>
  <c r="I82" i="5"/>
  <c r="J82" i="5" s="1"/>
  <c r="I88" i="5"/>
  <c r="J88" i="5" s="1"/>
  <c r="I154" i="5"/>
  <c r="J154" i="5" s="1"/>
  <c r="I167" i="5"/>
  <c r="J167" i="5" s="1"/>
  <c r="I80" i="5"/>
  <c r="J80" i="5" s="1"/>
  <c r="I179" i="5"/>
  <c r="J179" i="5" s="1"/>
  <c r="I102" i="5"/>
  <c r="J102" i="5" s="1"/>
  <c r="I171" i="5"/>
  <c r="J171" i="5" s="1"/>
  <c r="I124" i="5"/>
  <c r="J124" i="5" s="1"/>
  <c r="I148" i="5"/>
  <c r="J148" i="5" s="1"/>
  <c r="I44" i="5"/>
  <c r="J44" i="5" s="1"/>
  <c r="I122" i="5"/>
  <c r="J122" i="5" s="1"/>
  <c r="I46" i="5"/>
  <c r="J46" i="5" s="1"/>
  <c r="I130" i="5"/>
  <c r="J130" i="5" s="1"/>
  <c r="I70" i="5"/>
  <c r="J70" i="5" s="1"/>
  <c r="I22" i="5"/>
  <c r="J22" i="5" s="1"/>
  <c r="I60" i="5"/>
  <c r="J60" i="5" s="1"/>
  <c r="I144" i="5"/>
  <c r="J144" i="5" s="1"/>
  <c r="I120" i="5"/>
  <c r="J120" i="5" s="1"/>
  <c r="I140" i="5"/>
  <c r="J140" i="5" s="1"/>
  <c r="I169" i="5"/>
  <c r="J169" i="5" s="1"/>
  <c r="I2" i="5"/>
  <c r="J2" i="5" s="1"/>
  <c r="I150" i="5"/>
  <c r="J150" i="5" s="1"/>
  <c r="I10" i="5"/>
  <c r="J10" i="5" s="1"/>
  <c r="I126" i="5"/>
  <c r="J126" i="5" s="1"/>
  <c r="I6" i="5"/>
  <c r="J6" i="5" s="1"/>
  <c r="I146" i="5"/>
  <c r="J146" i="5" s="1"/>
  <c r="I134" i="5"/>
  <c r="J134" i="5" s="1"/>
  <c r="I114" i="5"/>
  <c r="J114" i="5" s="1"/>
  <c r="I16" i="5"/>
  <c r="J16" i="5" s="1"/>
  <c r="I56" i="5"/>
  <c r="J56" i="5" s="1"/>
  <c r="I66" i="5"/>
  <c r="J66" i="5" s="1"/>
  <c r="I12" i="5"/>
  <c r="J12" i="5" s="1"/>
  <c r="I94" i="5"/>
  <c r="J94" i="5" s="1"/>
  <c r="I90" i="5"/>
  <c r="J90" i="5" s="1"/>
  <c r="I74" i="5"/>
  <c r="J74" i="5" s="1"/>
  <c r="I84" i="5"/>
  <c r="J84" i="5" s="1"/>
  <c r="I39" i="5"/>
  <c r="J39" i="5" s="1"/>
  <c r="I163" i="5"/>
  <c r="J163" i="5" s="1"/>
  <c r="I19" i="5"/>
  <c r="J19" i="5" s="1"/>
  <c r="I143" i="5"/>
  <c r="J143" i="5" s="1"/>
  <c r="I21" i="5"/>
  <c r="J21" i="5" s="1"/>
  <c r="I176" i="5"/>
  <c r="J176" i="5" s="1"/>
  <c r="I47" i="5"/>
  <c r="J47" i="5" s="1"/>
  <c r="I131" i="5"/>
  <c r="J131" i="5" s="1"/>
  <c r="I125" i="5"/>
  <c r="J125" i="5" s="1"/>
  <c r="I91" i="5"/>
  <c r="J91" i="5" s="1"/>
  <c r="I157" i="5"/>
  <c r="J157" i="5" s="1"/>
  <c r="I147" i="5"/>
  <c r="J147" i="5" s="1"/>
  <c r="I135" i="5"/>
  <c r="J135" i="5" s="1"/>
  <c r="I25" i="5"/>
  <c r="J25" i="5" s="1"/>
  <c r="I9" i="5"/>
  <c r="J9" i="5" s="1"/>
  <c r="I164" i="5"/>
  <c r="J164" i="5" s="1"/>
  <c r="I33" i="5"/>
  <c r="J33" i="5" s="1"/>
  <c r="I182" i="5"/>
  <c r="J182" i="5" s="1"/>
  <c r="I83" i="5"/>
  <c r="J83" i="5" s="1"/>
  <c r="I109" i="5"/>
  <c r="J109" i="5" s="1"/>
  <c r="I103" i="5"/>
  <c r="J103" i="5" s="1"/>
  <c r="I45" i="5"/>
  <c r="J45" i="5" s="1"/>
  <c r="I121" i="5"/>
  <c r="J121" i="5" s="1"/>
  <c r="I7" i="5"/>
  <c r="J7" i="5" s="1"/>
  <c r="I93" i="5"/>
  <c r="J93" i="5" s="1"/>
  <c r="I11" i="5"/>
  <c r="J11" i="5" s="1"/>
  <c r="I141" i="5"/>
  <c r="J141" i="5" s="1"/>
  <c r="I51" i="5"/>
  <c r="J51" i="5" s="1"/>
  <c r="I172" i="5"/>
  <c r="J172" i="5" s="1"/>
  <c r="I13" i="5"/>
  <c r="J13" i="5" s="1"/>
  <c r="I161" i="5"/>
  <c r="J161" i="5" s="1"/>
  <c r="I23" i="5"/>
  <c r="J23" i="5" s="1"/>
  <c r="I71" i="5"/>
  <c r="J71" i="5" s="1"/>
  <c r="I139" i="5"/>
  <c r="J139" i="5" s="1"/>
  <c r="I111" i="5"/>
  <c r="J111" i="5" s="1"/>
  <c r="I35" i="5"/>
  <c r="J35" i="5" s="1"/>
  <c r="I159" i="5"/>
  <c r="J159" i="5" s="1"/>
  <c r="I184" i="5"/>
  <c r="J184" i="5" s="1"/>
  <c r="I166" i="5"/>
  <c r="J166" i="5" s="1"/>
  <c r="I174" i="5"/>
  <c r="J174" i="5" s="1"/>
  <c r="I31" i="5"/>
  <c r="J31" i="5" s="1"/>
  <c r="I99" i="5"/>
  <c r="J99" i="5" s="1"/>
  <c r="I37" i="5"/>
  <c r="J37" i="5" s="1"/>
  <c r="I115" i="5"/>
  <c r="J115" i="5" s="1"/>
  <c r="I3" i="5"/>
  <c r="J3" i="5" s="1"/>
  <c r="I95" i="5"/>
  <c r="J95" i="5" s="1"/>
  <c r="I53" i="5"/>
  <c r="J53" i="5" s="1"/>
  <c r="I149" i="5"/>
  <c r="J149" i="5" s="1"/>
  <c r="I49" i="5"/>
  <c r="J49" i="5" s="1"/>
  <c r="I127" i="5"/>
  <c r="J127" i="5" s="1"/>
  <c r="I85" i="5"/>
  <c r="J85" i="5" s="1"/>
  <c r="I101" i="5"/>
  <c r="J101" i="5" s="1"/>
  <c r="I123" i="5"/>
  <c r="J123" i="5" s="1"/>
  <c r="I61" i="5"/>
  <c r="J61" i="5" s="1"/>
  <c r="I178" i="5"/>
  <c r="J178" i="5" s="1"/>
  <c r="I67" i="5"/>
  <c r="J67" i="5" s="1"/>
  <c r="I65" i="5"/>
  <c r="J65" i="5" s="1"/>
  <c r="I129" i="5"/>
  <c r="J129" i="5" s="1"/>
  <c r="I29" i="5"/>
  <c r="J29" i="5" s="1"/>
  <c r="I113" i="5"/>
  <c r="J113" i="5" s="1"/>
  <c r="I119" i="5"/>
  <c r="J119" i="5" s="1"/>
  <c r="I77" i="5"/>
  <c r="J77" i="5" s="1"/>
  <c r="I40" i="5"/>
  <c r="J40" i="5" s="1"/>
  <c r="I17" i="5"/>
  <c r="J17" i="5" s="1"/>
  <c r="I155" i="5"/>
  <c r="J155" i="5" s="1"/>
  <c r="I137" i="5"/>
  <c r="J137" i="5" s="1"/>
  <c r="I15" i="5"/>
  <c r="J15" i="5" s="1"/>
  <c r="I89" i="5"/>
  <c r="J89" i="5" s="1"/>
  <c r="I168" i="5"/>
  <c r="J168" i="5" s="1"/>
  <c r="I117" i="5"/>
  <c r="J117" i="5" s="1"/>
  <c r="I41" i="5"/>
  <c r="J41" i="5" s="1"/>
  <c r="I79" i="5"/>
  <c r="J79" i="5" s="1"/>
  <c r="I73" i="5"/>
  <c r="J73" i="5" s="1"/>
  <c r="I81" i="5"/>
  <c r="J81" i="5" s="1"/>
  <c r="I59" i="5"/>
  <c r="J59" i="5" s="1"/>
  <c r="I151" i="5"/>
  <c r="J151" i="5" s="1"/>
  <c r="I180" i="5"/>
  <c r="J180" i="5" s="1"/>
  <c r="I105" i="5"/>
  <c r="J105" i="5" s="1"/>
  <c r="I170" i="5"/>
  <c r="J170" i="5" s="1"/>
  <c r="I145" i="5"/>
  <c r="J145" i="5" s="1"/>
  <c r="I75" i="5"/>
  <c r="J75" i="5" s="1"/>
  <c r="I5" i="5"/>
  <c r="J5" i="5" s="1"/>
  <c r="I63" i="5"/>
  <c r="J63" i="5" s="1"/>
  <c r="I153" i="5"/>
  <c r="J153" i="5" s="1"/>
  <c r="I69" i="5"/>
  <c r="J69" i="5" s="1"/>
  <c r="I97" i="5"/>
  <c r="J97" i="5" s="1"/>
  <c r="I43" i="5"/>
  <c r="J43" i="5" s="1"/>
  <c r="I107" i="5"/>
  <c r="J107" i="5" s="1"/>
  <c r="I55" i="5"/>
  <c r="J55" i="5" s="1"/>
  <c r="I87" i="5"/>
  <c r="J87" i="5" s="1"/>
  <c r="I57" i="5"/>
  <c r="J57" i="5" s="1"/>
  <c r="I27" i="5"/>
  <c r="J27" i="5" s="1"/>
  <c r="I133" i="5"/>
  <c r="J133" i="5" s="1"/>
  <c r="C7" i="6"/>
  <c r="M28" i="5"/>
  <c r="N10" i="5"/>
  <c r="N8" i="5"/>
  <c r="O5" i="5"/>
  <c r="O4" i="5"/>
  <c r="N5" i="5"/>
  <c r="N4" i="5"/>
  <c r="N3" i="5"/>
  <c r="D102" i="1"/>
  <c r="F102" i="1"/>
  <c r="G102" i="1"/>
  <c r="S5" i="14" l="1"/>
  <c r="T5" i="14" s="1"/>
  <c r="T10" i="14"/>
  <c r="T18" i="14"/>
  <c r="T26" i="14"/>
  <c r="T34" i="14"/>
  <c r="T11" i="14"/>
  <c r="T19" i="14"/>
  <c r="T27" i="14"/>
  <c r="T35" i="14"/>
  <c r="T12" i="14"/>
  <c r="T20" i="14"/>
  <c r="T28" i="14"/>
  <c r="T36" i="14"/>
  <c r="T25" i="14"/>
  <c r="T13" i="14"/>
  <c r="T21" i="14"/>
  <c r="T29" i="14"/>
  <c r="T37" i="14"/>
  <c r="T6" i="14"/>
  <c r="T14" i="14"/>
  <c r="T22" i="14"/>
  <c r="T30" i="14"/>
  <c r="T38" i="14"/>
  <c r="T7" i="14"/>
  <c r="T15" i="14"/>
  <c r="T23" i="14"/>
  <c r="T31" i="14"/>
  <c r="T39" i="14"/>
  <c r="T9" i="14"/>
  <c r="T33" i="14"/>
  <c r="T8" i="14"/>
  <c r="T16" i="14"/>
  <c r="T24" i="14"/>
  <c r="T32" i="14"/>
  <c r="T40" i="14"/>
  <c r="T17" i="14"/>
  <c r="B9" i="6" a="1"/>
  <c r="B9" i="6" s="1"/>
  <c r="M16" i="5" a="1"/>
  <c r="M16" i="5" s="1"/>
  <c r="N9" i="5"/>
  <c r="N18" i="5" a="1"/>
  <c r="N18" i="5" s="1"/>
  <c r="N6" i="5"/>
  <c r="U6" i="14" l="1"/>
  <c r="U14" i="14"/>
  <c r="U22" i="14"/>
  <c r="U30" i="14"/>
  <c r="U38" i="14"/>
  <c r="U7" i="14"/>
  <c r="U15" i="14"/>
  <c r="U23" i="14"/>
  <c r="U31" i="14"/>
  <c r="U39" i="14"/>
  <c r="U8" i="14"/>
  <c r="U16" i="14"/>
  <c r="U24" i="14"/>
  <c r="U32" i="14"/>
  <c r="U40" i="14"/>
  <c r="U34" i="14"/>
  <c r="U9" i="14"/>
  <c r="U17" i="14"/>
  <c r="U25" i="14"/>
  <c r="U33" i="14"/>
  <c r="U5" i="14"/>
  <c r="U10" i="14"/>
  <c r="U18" i="14"/>
  <c r="U26" i="14"/>
  <c r="U11" i="14"/>
  <c r="U19" i="14"/>
  <c r="U27" i="14"/>
  <c r="U35" i="14"/>
  <c r="U21" i="14"/>
  <c r="U12" i="14"/>
  <c r="U20" i="14"/>
  <c r="U28" i="14"/>
  <c r="U36" i="14"/>
  <c r="U13" i="14"/>
  <c r="U29" i="14"/>
  <c r="U37"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3EF827-FD0A-4FF8-8867-14F22B0D1FA4}" keepAlive="1" name="Query - india_staff (2)" description="Connection to the 'india_staff (2)' query in the workbook." type="5" refreshedVersion="0" background="1">
    <dbPr connection="Provider=Microsoft.Mashup.OleDb.1;Data Source=$Workbook$;Location=&quot;india_staff (2)&quot;;Extended Properties=&quot;&quot;" command="SELECT * FROM [india_staff (2)]"/>
  </connection>
  <connection id="2" xr16:uid="{F6029D01-8332-4FB1-B4C7-528466996D76}"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D00CA97D-32BC-4754-B67E-D288AAE58BE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F106662-E35B-4533-BB04-3763940C87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C0E4046-3F0B-456E-905B-14D9284444F5}" name="WorksheetConnection_Book1!staff" type="102" refreshedVersion="8" minRefreshableVersion="5">
    <extLst>
      <ext xmlns:x15="http://schemas.microsoft.com/office/spreadsheetml/2010/11/main" uri="{DE250136-89BD-433C-8126-D09CA5730AF9}">
        <x15:connection id="staff" autoDelete="1">
          <x15:rangePr sourceName="_xlcn.WorksheetConnection_Book1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IA]}"/>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<sst xmlns="http://schemas.openxmlformats.org/spreadsheetml/2006/main" count="1888" uniqueCount="252">
  <si>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</si>
  <si>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</si>
  <si>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</si>
  <si>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</si>
  <si>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</si>
  <si>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</si>
  <si>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</si>
  <si>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</si>
  <si>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</si>
  <si>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</si>
  <si>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</si>
  <si>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</si>
  <si>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</si>
  <si>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</si>
  <si>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</si>
  <si>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</si>
  <si>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</si>
  <si>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</si>
  <si>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</si>
  <si>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</si>
  <si>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</si>
  <si>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</si>
  <si>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</si>
  <si>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</si>
  <si>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</si>
  <si>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</si>
  <si>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</si>
  <si>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</si>
  <si>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</si>
  <si>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</si>
  <si>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</si>
  <si>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</si>
  <si>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</si>
  <si>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</si>
  <si>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</si>
  <si>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</si>
  <si>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</si>
  <si>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</si>
  <si>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</si>
  <si>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</si>
  <si>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</si>
  <si>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</si>
  <si>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</si>
  <si>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</si>
  <si>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</si>
  <si>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</si>
  <si>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</si>
  <si>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</si>
  <si>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</si>
  <si>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</si>
  <si>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</si>
  <si>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</si>
  <si>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</si>
  <si>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</si>
  <si>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</si>
  <si>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</si>
  <si>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</si>
  <si>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</si>
  <si>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</si>
  <si>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</si>
  <si>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</si>
  <si>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</si>
  <si>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</si>
  <si>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</si>
  <si>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</si>
  <si>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</si>
  <si>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</si>
  <si>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</si>
  <si>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</si>
  <si>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</si>
  <si>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</si>
  <si>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</si>
  <si>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</si>
  <si>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</si>
  <si>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</si>
  <si>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</si>
  <si>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</si>
  <si>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</si>
  <si>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</si>
  <si>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</si>
  <si>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</si>
  <si>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</si>
  <si>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</si>
  <si>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</si>
  <si>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</si>
  <si>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</si>
  <si>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</si>
  <si>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</si>
  <si>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</si>
  <si>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</si>
  <si>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</si>
  <si>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</si>
  <si>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</si>
  <si>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</si>
  <si>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</si>
  <si>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</si>
  <si>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</si>
  <si>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</si>
  <si>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</si>
  <si>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</si>
  <si>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</si>
  <si>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</si>
  <si>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</si>
  <si>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</si>
  <si>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</si>
  <si>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</si>
  <si>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</si>
  <si>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</si>
  <si>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</si>
  <si>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</si>
  <si>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</si>
  <si>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</si>
  <si>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</si>
  <si>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</si>
  <si>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</si>
  <si>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</si>
  <si>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</si>
  <si>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</si>
  <si>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</si>
  <si>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</si>
  <si>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</si>
  <si>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</si>
  <si>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</si>
  <si>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</si>
  <si>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</si>
  <si>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</si>
  <si>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</si>
  <si>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</si>
  <si>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</si>
  <si>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</si>
  <si>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</si>
  <si>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</si>
  <si>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</si>
  <si>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</si>
  <si>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</si>
  <si>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</si>
  <si>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</si>
  <si>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</si>
  <si>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</si>
  <si>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</si>
  <si>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</si>
  <si>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</si>
  <si>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</si>
  <si>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</si>
  <si>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</si>
  <si>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</si>
  <si>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</si>
  <si>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</si>
  <si>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</si>
  <si>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</si>
  <si>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</si>
  <si>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</si>
  <si>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</si>
  <si>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</si>
  <si>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</si>
  <si>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</si>
  <si>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</si>
  <si>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</si>
  <si>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</si>
  <si>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</si>
  <si>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</si>
  <si>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</si>
  <si>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</si>
  <si>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</si>
  <si>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</si>
  <si>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</si>
  <si>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</si>
  <si>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</si>
  <si>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</si>
  <si>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</si>
  <si>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</si>
  <si>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</si>
  <si>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</si>
  <si>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</si>
  <si>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</si>
  <si>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</si>
  <si>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</si>
  <si>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</si>
  <si>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</si>
  <si>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</si>
  <si>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</si>
  <si>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</si>
  <si>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</si>
  <si>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</si>
  <si>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</si>
  <si>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</si>
  <si>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</si>
  <si>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</si>
  <si>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</si>
  <si>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</si>
  <si>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</si>
  <si>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</si>
  <si>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</si>
  <si>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</si>
  <si>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</si>
  <si>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</si>
  <si>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</si>
  <si>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</si>
  <si>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</si>
  <si>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</si>
  <si>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</si>
  <si>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</si>
  <si>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Total</t>
  </si>
  <si>
    <t xml:space="preserve"> </t>
  </si>
  <si>
    <t>country</t>
  </si>
  <si>
    <t>NZ</t>
  </si>
  <si>
    <t>INDIA</t>
  </si>
  <si>
    <t>other</t>
  </si>
  <si>
    <t>Count of employees</t>
  </si>
  <si>
    <t>Average salary</t>
  </si>
  <si>
    <t>Average Age</t>
  </si>
  <si>
    <t>Average Tenure</t>
  </si>
  <si>
    <t>Female Ratio%</t>
  </si>
  <si>
    <t>Tenure</t>
  </si>
  <si>
    <t>Female Count</t>
  </si>
  <si>
    <t>Ratio</t>
  </si>
  <si>
    <t>Ratio of 90,000$&gt;</t>
  </si>
  <si>
    <t>Information Finder</t>
  </si>
  <si>
    <t>Department Name</t>
  </si>
  <si>
    <t>Number of people</t>
  </si>
  <si>
    <t>Male vs. Female</t>
  </si>
  <si>
    <t>Column Labels</t>
  </si>
  <si>
    <t>Grand Total</t>
  </si>
  <si>
    <t>Count of Name</t>
  </si>
  <si>
    <t>Average of Age</t>
  </si>
  <si>
    <t>Values</t>
  </si>
  <si>
    <t>Average of Salary</t>
  </si>
  <si>
    <t>Average of Tenure</t>
  </si>
  <si>
    <t>Bonus</t>
  </si>
  <si>
    <t>Row Labels</t>
  </si>
  <si>
    <t>Rating as number</t>
  </si>
  <si>
    <t>2020</t>
  </si>
  <si>
    <t>2021</t>
  </si>
  <si>
    <t>2022</t>
  </si>
  <si>
    <t>2023</t>
  </si>
  <si>
    <t>May</t>
  </si>
  <si>
    <t>Jun</t>
  </si>
  <si>
    <t>Jul</t>
  </si>
  <si>
    <t>Aug</t>
  </si>
  <si>
    <t>Sep</t>
  </si>
  <si>
    <t>Oct</t>
  </si>
  <si>
    <t>Nov</t>
  </si>
  <si>
    <t>Dec</t>
  </si>
  <si>
    <t>Jan</t>
  </si>
  <si>
    <t>Feb</t>
  </si>
  <si>
    <t>Mar</t>
  </si>
  <si>
    <t>Apr</t>
  </si>
  <si>
    <t>Month</t>
  </si>
  <si>
    <t>Headcount</t>
  </si>
  <si>
    <t>Running total</t>
  </si>
  <si>
    <t>Headcount by Department</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</si>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</sst>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
    <numFmt numFmtId="168" formatCode="&quot;$&quot;#,##0"/>
    <numFmt numFmtId="170" formatCode="_(&quot;$&quot;* #,##0_);_(&quot;$&quot;* \(#,##0\);_(&quot;$&quot;* &quot;-&quot;??_);_(@_)"/>
  </numFmts>
  <fonts count="9" x14ac:knownFonts="1">
    <font>
      <sz val="11"/>
      <color theme="1"/>
      <name val="Aptos Narrow"/>
      <family val="2"/>
      <scheme val="minor"/>
    </font>
    <font>
      <sz val="11"/>
      <color theme="1"/>
      <name val="Aptos Narrow"/>
      <family val="2"/>
      <scheme val="minor"/>
    </font>
    <font>
      <sz val="20"/>
      <color theme="1"/>
      <name val="Aptos Narrow"/>
      <family val="2"/>
      <scheme val="minor"/>
    </font>
    <font>
      <sz val="72"/>
      <color theme="6" tint="0.59999389629810485"/>
      <name val="Segoe UI Black"/>
      <family val="2"/>
    </font>
    <font>
      <sz val="28"/>
      <color theme="6" tint="0.59999389629810485"/>
      <name val="Segoe UI Black"/>
      <family val="2"/>
    </font>
    <font>
      <sz val="20"/>
      <color theme="6" tint="0.59999389629810485"/>
      <name val="Segoe UI Black"/>
      <family val="2"/>
    </font>
    <font>
      <sz val="48"/>
      <color theme="3" tint="0.499984740745262"/>
      <name val="Segoe UI Black"/>
      <family val="2"/>
    </font>
    <font>
      <sz val="28"/>
      <color theme="3" tint="0.499984740745262"/>
      <name val="Segoe UI Black"/>
      <family val="2"/>
    </font>
    <font>
      <sz val="18"/>
      <color theme="3" tint="0.499984740745262"/>
      <name val="Segoe UI Black"/>
      <family val="2"/>
    </font>
  </fonts>
  <fills count="10">
    <fill>
      <patternFill patternType="none"/>
    </fill>
    <fill>
      <patternFill patternType="gray125"/>
    </fill>
    <fill>
      <patternFill patternType="solid">
        <fgColor rgb="FFFFFF00"/>
        <bgColor indexed="64"/>
      </patternFill>
    </fill>
    <fill>
      <patternFill patternType="solid">
        <fgColor theme="5" tint="0.59996337778862885"/>
        <bgColor indexed="64"/>
      </patternFill>
    </fill>
    <fill>
      <patternFill patternType="solid">
        <fgColor theme="5" tint="-0.24994659260841701"/>
        <bgColor indexed="64"/>
      </patternFill>
    </fill>
    <fill>
      <patternFill patternType="solid">
        <fgColor rgb="FFC00000"/>
        <bgColor indexed="64"/>
      </patternFill>
    </fill>
    <fill>
      <patternFill patternType="solid">
        <fgColor theme="3" tint="0.749992370372631"/>
        <bgColor indexed="64"/>
      </patternFill>
    </fill>
    <fill>
      <patternFill patternType="solid">
        <fgColor theme="6" tint="0.79998168889431442"/>
        <bgColor indexed="64"/>
      </patternFill>
    </fill>
    <fill>
      <patternFill patternType="solid">
        <fgColor theme="2"/>
        <bgColor indexed="64"/>
      </patternFill>
    </fill>
    <fill>
      <patternFill patternType="solid">
        <fgColor theme="4" tint="0.79998168889431442"/>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15" fontId="0" fillId="0" borderId="0" xfId="0" applyNumberFormat="1"/>
    <xf numFmtId="8" fontId="0" fillId="0" borderId="0" xfId="0" applyNumberFormat="1"/>
    <xf numFmtId="0" fontId="0" fillId="0" borderId="0" xfId="0" applyNumberFormat="1"/>
    <xf numFmtId="14" fontId="0" fillId="0" borderId="0" xfId="0" applyNumberFormat="1"/>
    <xf numFmtId="44" fontId="0" fillId="0" borderId="0" xfId="1" applyFont="1"/>
    <xf numFmtId="2" fontId="0" fillId="0" borderId="0" xfId="0" applyNumberFormat="1"/>
    <xf numFmtId="9" fontId="0" fillId="0" borderId="0" xfId="0" applyNumberFormat="1"/>
    <xf numFmtId="0" fontId="0" fillId="2" borderId="0" xfId="0" applyFill="1"/>
    <xf numFmtId="0" fontId="0" fillId="3" borderId="0" xfId="0" applyFill="1"/>
    <xf numFmtId="0" fontId="0" fillId="0" borderId="0" xfId="0" applyAlignment="1">
      <alignment horizontal="left"/>
    </xf>
    <xf numFmtId="0" fontId="0" fillId="4" borderId="0" xfId="0" applyFill="1"/>
    <xf numFmtId="0" fontId="0" fillId="0" borderId="0" xfId="0" applyAlignment="1">
      <alignment horizontal="center"/>
    </xf>
    <xf numFmtId="0" fontId="0" fillId="5" borderId="0" xfId="0" applyFill="1" applyAlignment="1">
      <alignment horizontal="center"/>
    </xf>
    <xf numFmtId="0" fontId="0" fillId="0" borderId="0" xfId="0" pivotButton="1"/>
    <xf numFmtId="164" fontId="0" fillId="0" borderId="0" xfId="0" applyNumberFormat="1"/>
    <xf numFmtId="168" fontId="0" fillId="0" borderId="0" xfId="0" applyNumberFormat="1"/>
    <xf numFmtId="170" fontId="0" fillId="0" borderId="0" xfId="1" applyNumberFormat="1" applyFont="1"/>
    <xf numFmtId="0" fontId="0" fillId="0" borderId="0" xfId="0" applyBorder="1"/>
    <xf numFmtId="0" fontId="0" fillId="0" borderId="1" xfId="0" applyBorder="1"/>
    <xf numFmtId="0" fontId="0" fillId="0" borderId="2" xfId="0" applyBorder="1"/>
    <xf numFmtId="0" fontId="0" fillId="0" borderId="2" xfId="0" applyBorder="1" applyAlignment="1">
      <alignment horizontal="left"/>
    </xf>
    <xf numFmtId="15" fontId="0" fillId="0" borderId="2" xfId="0" applyNumberFormat="1" applyBorder="1" applyAlignment="1">
      <alignment horizontal="left"/>
    </xf>
    <xf numFmtId="0" fontId="0" fillId="0" borderId="0" xfId="0" applyAlignment="1">
      <alignment horizontal="left" indent="1"/>
    </xf>
    <xf numFmtId="0" fontId="0" fillId="0" borderId="3" xfId="0" applyBorder="1"/>
    <xf numFmtId="0" fontId="0" fillId="0" borderId="4" xfId="0" applyBorder="1"/>
    <xf numFmtId="0" fontId="0" fillId="0" borderId="5" xfId="0" applyBorder="1"/>
    <xf numFmtId="0" fontId="0" fillId="0" borderId="6" xfId="0" applyBorder="1"/>
    <xf numFmtId="0" fontId="0" fillId="7" borderId="0" xfId="0" applyFill="1" applyAlignment="1">
      <alignment horizontal="center"/>
    </xf>
    <xf numFmtId="0" fontId="2" fillId="8" borderId="0" xfId="0" applyFont="1" applyFill="1" applyBorder="1" applyAlignment="1">
      <alignment horizontal="center" vertical="center"/>
    </xf>
    <xf numFmtId="0" fontId="3" fillId="7" borderId="0" xfId="0" applyFont="1" applyFill="1" applyAlignment="1">
      <alignment horizontal="center" vertical="center"/>
    </xf>
    <xf numFmtId="9" fontId="4" fillId="7" borderId="0" xfId="0" applyNumberFormat="1" applyFont="1" applyFill="1" applyAlignment="1">
      <alignment horizontal="center" vertical="center"/>
    </xf>
    <xf numFmtId="6" fontId="5" fillId="7" borderId="0" xfId="0" applyNumberFormat="1" applyFont="1" applyFill="1" applyAlignment="1">
      <alignment horizontal="center" vertical="center"/>
    </xf>
    <xf numFmtId="0" fontId="6" fillId="6" borderId="0" xfId="0" applyFont="1" applyFill="1" applyAlignment="1">
      <alignment horizontal="center" vertical="center"/>
    </xf>
    <xf numFmtId="9" fontId="7" fillId="6" borderId="0" xfId="0" applyNumberFormat="1" applyFont="1" applyFill="1" applyAlignment="1">
      <alignment horizontal="center" vertical="center"/>
    </xf>
    <xf numFmtId="6" fontId="8" fillId="6" borderId="0" xfId="0" applyNumberFormat="1" applyFont="1" applyFill="1" applyAlignment="1">
      <alignment horizontal="center" vertical="center"/>
    </xf>
    <xf numFmtId="0" fontId="0" fillId="9" borderId="0" xfId="0" applyFill="1" applyAlignment="1">
      <alignment horizontal="center"/>
    </xf>
  </cellXfs>
  <cellStyles count="2">
    <cellStyle name="Currency" xfId="1" builtinId="4"/>
    <cellStyle name="Normal" xfId="0" builtinId="0"/>
  </cellStyles>
  <dxfs count="20">
    <dxf>
      <font>
        <color rgb="FF9C0006"/>
      </font>
      <fill>
        <patternFill>
          <bgColor rgb="FFFFC7CE"/>
        </patternFill>
      </fill>
    </dxf>
    <dxf>
      <numFmt numFmtId="168" formatCode="&quot;$&quot;#,##0"/>
    </dxf>
    <dxf>
      <numFmt numFmtId="170" formatCode="_(&quot;$&quot;* #,##0_);_(&quot;$&quot;* \(#,##0\);_(&quot;$&quot;* &quot;-&quot;??_);_(@_)"/>
    </dxf>
    <dxf>
      <numFmt numFmtId="170" formatCode="_(&quot;$&quot;* #,##0_);_(&quot;$&quot;* \(#,##0\);_(&quot;$&quot;* &quot;-&quot;??_);_(@_)"/>
    </dxf>
    <dxf>
      <numFmt numFmtId="170" formatCode="_(&quot;$&quot;* #,##0_);_(&quot;$&quot;* \(#,##0\);_(&quot;$&quot;* &quot;-&quot;??_);_(@_)"/>
    </dxf>
    <dxf>
      <numFmt numFmtId="19" formatCode="m/d/yyyy"/>
    </dxf>
    <dxf>
      <numFmt numFmtId="168" formatCode="&quot;$&quot;#,##0"/>
    </dxf>
    <dxf>
      <numFmt numFmtId="2" formatCode="0.00"/>
    </dxf>
    <dxf>
      <numFmt numFmtId="0" formatCode="General"/>
    </dxf>
    <dxf>
      <numFmt numFmtId="0" formatCode="General"/>
    </dxf>
    <dxf>
      <numFmt numFmtId="0" formatCode="General"/>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ind vs nz.xlsx]Emploee Trend!PivotTable7</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'Emploee Trend'!$C$2</c:f>
              <c:strCache>
                <c:ptCount val="1"/>
                <c:pt idx="0">
                  <c:v>Total</c:v>
                </c:pt>
              </c:strCache>
            </c:strRef>
          </c:tx>
          <c:spPr>
            <a:ln w="28575" cap="rnd">
              <a:solidFill>
                <a:schemeClr val="accent1"/>
              </a:solidFill>
              <a:round/>
            </a:ln>
            <a:effectLst/>
          </c:spPr>
          <c:marker>
            <c:symbol val="none"/>
          </c:marker>
          <c:cat>
            <c:multiLvlStrRef>
              <c:f>'Emploee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CED4-4217-B051-E15E1F596996}"/>
            </c:ext>
          </c:extLst>
        </c:ser>
        <c:dLbls>
          <c:showLegendKey val="0"/>
          <c:showVal val="0"/>
          <c:showCatName val="0"/>
          <c:showSerName val="0"/>
          <c:showPercent val="0"/>
          <c:showBubbleSize val="0"/>
        </c:dLbls>
        <c:smooth val="0"/>
        <c:axId val="561576240"/>
        <c:axId val="561573360"/>
      </c:lineChart>
      <c:catAx>
        <c:axId val="56157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573360"/>
        <c:crosses val="autoZero"/>
        <c:auto val="1"/>
        <c:lblAlgn val="ctr"/>
        <c:lblOffset val="100"/>
        <c:noMultiLvlLbl val="0"/>
      </c:catAx>
      <c:valAx>
        <c:axId val="56157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57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'Emploee Trend'!$U$2:$U$3</c:f>
              <c:strCache>
                <c:ptCount val="2"/>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'Emploee Trend'!$S$4:$S$164</c:f>
              <c:strCache>
                <c:ptCount val="37"/>
                <c:pt idx="0">
                  <c:v>Month</c:v>
                </c:pt>
                <c:pt idx="1">
                  <c:v>1-May-20</c:v>
                </c:pt>
                <c:pt idx="2">
                  <c:v>1-Jun-20</c:v>
                </c:pt>
                <c:pt idx="3">
                  <c:v>1-Jul-20</c:v>
                </c:pt>
                <c:pt idx="4">
                  <c:v>1-Aug-20</c:v>
                </c:pt>
                <c:pt idx="5">
                  <c:v>1-Sep-20</c:v>
                </c:pt>
                <c:pt idx="6">
                  <c:v>1-Oct-20</c:v>
                </c:pt>
                <c:pt idx="7">
                  <c:v>1-Nov-20</c:v>
                </c:pt>
                <c:pt idx="8">
                  <c:v>1-Dec-20</c:v>
                </c:pt>
                <c:pt idx="9">
                  <c:v>1-Jan-21</c:v>
                </c:pt>
                <c:pt idx="10">
                  <c:v>1-Feb-21</c:v>
                </c:pt>
                <c:pt idx="11">
                  <c:v>1-Mar-21</c:v>
                </c:pt>
                <c:pt idx="12">
                  <c:v>1-Apr-21</c:v>
                </c:pt>
                <c:pt idx="13">
                  <c:v>1-May-21</c:v>
                </c:pt>
                <c:pt idx="14">
                  <c:v>1-Jun-21</c:v>
                </c:pt>
                <c:pt idx="15">
                  <c:v>1-Jul-21</c:v>
                </c:pt>
                <c:pt idx="16">
                  <c:v>1-Aug-21</c:v>
                </c:pt>
                <c:pt idx="17">
                  <c:v>1-Sep-21</c:v>
                </c:pt>
                <c:pt idx="18">
                  <c:v>1-Oct-21</c:v>
                </c:pt>
                <c:pt idx="19">
                  <c:v>1-Nov-21</c:v>
                </c:pt>
                <c:pt idx="20">
                  <c:v>1-Dec-21</c:v>
                </c:pt>
                <c:pt idx="21">
                  <c:v>1-Jan-22</c:v>
                </c:pt>
                <c:pt idx="22">
                  <c:v>1-Feb-22</c:v>
                </c:pt>
                <c:pt idx="23">
                  <c:v>1-Mar-22</c:v>
                </c:pt>
                <c:pt idx="24">
                  <c:v>1-Apr-22</c:v>
                </c:pt>
                <c:pt idx="25">
                  <c:v>1-May-22</c:v>
                </c:pt>
                <c:pt idx="26">
                  <c:v>1-Jun-22</c:v>
                </c:pt>
                <c:pt idx="27">
                  <c:v>1-Jul-22</c:v>
                </c:pt>
                <c:pt idx="28">
                  <c:v>1-Aug-22</c:v>
                </c:pt>
                <c:pt idx="29">
                  <c:v>1-Sep-22</c:v>
                </c:pt>
                <c:pt idx="30">
                  <c:v>1-Oct-22</c:v>
                </c:pt>
                <c:pt idx="31">
                  <c:v>1-Nov-22</c:v>
                </c:pt>
                <c:pt idx="32">
                  <c:v>1-Dec-22</c:v>
                </c:pt>
                <c:pt idx="33">
                  <c:v>1-Jan-23</c:v>
                </c:pt>
                <c:pt idx="34">
                  <c:v>1-Feb-23</c:v>
                </c:pt>
                <c:pt idx="35">
                  <c:v>1-Mar-23</c:v>
                </c:pt>
                <c:pt idx="36">
                  <c:v>1-Apr-23</c:v>
                </c:pt>
              </c:strCache>
            </c:strRef>
          </c:cat>
          <c:val>
            <c:numRef>
              <c:f>'Emploee Trend'!$U$4:$U$164</c:f>
              <c:numCache>
                <c:formatCode>General</c:formatCode>
                <c:ptCount val="161"/>
                <c:pt idx="0">
                  <c:v>0</c:v>
                </c:pt>
                <c:pt idx="1">
                  <c:v>3</c:v>
                </c:pt>
                <c:pt idx="2">
                  <c:v>4</c:v>
                </c:pt>
                <c:pt idx="3">
                  <c:v>9</c:v>
                </c:pt>
                <c:pt idx="4">
                  <c:v>12</c:v>
                </c:pt>
                <c:pt idx="5">
                  <c:v>18</c:v>
                </c:pt>
                <c:pt idx="6">
                  <c:v>24</c:v>
                </c:pt>
                <c:pt idx="7">
                  <c:v>30</c:v>
                </c:pt>
                <c:pt idx="8">
                  <c:v>37</c:v>
                </c:pt>
                <c:pt idx="9">
                  <c:v>43</c:v>
                </c:pt>
                <c:pt idx="10">
                  <c:v>47</c:v>
                </c:pt>
                <c:pt idx="11">
                  <c:v>56</c:v>
                </c:pt>
                <c:pt idx="12">
                  <c:v>61</c:v>
                </c:pt>
                <c:pt idx="13">
                  <c:v>71</c:v>
                </c:pt>
                <c:pt idx="14">
                  <c:v>77</c:v>
                </c:pt>
                <c:pt idx="15">
                  <c:v>90</c:v>
                </c:pt>
                <c:pt idx="16">
                  <c:v>94</c:v>
                </c:pt>
                <c:pt idx="17">
                  <c:v>105</c:v>
                </c:pt>
                <c:pt idx="18">
                  <c:v>108</c:v>
                </c:pt>
                <c:pt idx="19">
                  <c:v>112</c:v>
                </c:pt>
                <c:pt idx="20">
                  <c:v>119</c:v>
                </c:pt>
                <c:pt idx="21">
                  <c:v>122</c:v>
                </c:pt>
                <c:pt idx="22">
                  <c:v>132</c:v>
                </c:pt>
                <c:pt idx="23">
                  <c:v>141</c:v>
                </c:pt>
                <c:pt idx="24">
                  <c:v>150</c:v>
                </c:pt>
                <c:pt idx="25">
                  <c:v>159</c:v>
                </c:pt>
                <c:pt idx="26">
                  <c:v>166</c:v>
                </c:pt>
                <c:pt idx="27">
                  <c:v>171</c:v>
                </c:pt>
                <c:pt idx="28">
                  <c:v>176</c:v>
                </c:pt>
                <c:pt idx="29">
                  <c:v>178</c:v>
                </c:pt>
                <c:pt idx="30">
                  <c:v>181</c:v>
                </c:pt>
                <c:pt idx="31">
                  <c:v>181</c:v>
                </c:pt>
                <c:pt idx="32">
                  <c:v>181</c:v>
                </c:pt>
                <c:pt idx="33">
                  <c:v>181</c:v>
                </c:pt>
                <c:pt idx="34">
                  <c:v>182</c:v>
                </c:pt>
                <c:pt idx="35">
                  <c:v>182</c:v>
                </c:pt>
                <c:pt idx="36">
                  <c:v>183</c:v>
                </c:pt>
              </c:numCache>
            </c:numRef>
          </c:val>
          <c:smooth val="0"/>
          <c:extLst>
            <c:ext xmlns:c16="http://schemas.microsoft.com/office/drawing/2014/chart" uri="{C3380CC4-5D6E-409C-BE32-E72D297353CC}">
              <c16:uniqueId val="{00000000-9C7B-4C64-A317-DED42189D21B}"/>
            </c:ext>
          </c:extLst>
        </c:ser>
        <c:dLbls>
          <c:showLegendKey val="0"/>
          <c:showVal val="0"/>
          <c:showCatName val="0"/>
          <c:showSerName val="0"/>
          <c:showPercent val="0"/>
          <c:showBubbleSize val="0"/>
        </c:dLbls>
        <c:marker val="1"/>
        <c:smooth val="0"/>
        <c:axId val="892582704"/>
        <c:axId val="892582224"/>
      </c:lineChart>
      <c:catAx>
        <c:axId val="89258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82224"/>
        <c:crosses val="autoZero"/>
        <c:auto val="1"/>
        <c:lblAlgn val="ctr"/>
        <c:lblOffset val="100"/>
        <c:noMultiLvlLbl val="0"/>
      </c:catAx>
      <c:valAx>
        <c:axId val="892582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827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0319335083114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'Emploee Trend'!$U$4</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'Emploee Trend'!$S$5:$S$40</c:f>
              <c:numCache>
                <c:formatCode>d\-mmm\-yy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'Emploee Trend'!$U$5:$U$40</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B7B2-4BF6-9B3D-AF95252D5ECE}"/>
            </c:ext>
          </c:extLst>
        </c:ser>
        <c:dLbls>
          <c:showLegendKey val="0"/>
          <c:showVal val="0"/>
          <c:showCatName val="0"/>
          <c:showSerName val="0"/>
          <c:showPercent val="0"/>
          <c:showBubbleSize val="0"/>
        </c:dLbls>
        <c:marker val="1"/>
        <c:smooth val="0"/>
        <c:axId val="549203488"/>
        <c:axId val="549203008"/>
      </c:lineChart>
      <c:dateAx>
        <c:axId val="549203488"/>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03008"/>
        <c:crosses val="autoZero"/>
        <c:auto val="1"/>
        <c:lblOffset val="100"/>
        <c:baseTimeUnit val="months"/>
      </c:dateAx>
      <c:valAx>
        <c:axId val="54920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034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ind vs nz.xlsx]Sheet17!PivotTable8</c:name>
    <c:fmtId val="7"/>
  </c:pivotSource>
  <c:chart>
    <c:autoTitleDeleted val="1"/>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Sheet17!$B$3</c:f>
              <c:strCache>
                <c:ptCount val="1"/>
                <c:pt idx="0">
                  <c:v>Total</c:v>
                </c:pt>
              </c:strCache>
            </c:strRef>
          </c:tx>
          <c:spPr>
            <a:solidFill>
              <a:schemeClr val="accent1">
                <a:lumMod val="60000"/>
                <a:lumOff val="40000"/>
              </a:schemeClr>
            </a:solidFill>
            <a:ln>
              <a:noFill/>
            </a:ln>
            <a:effectLst/>
          </c:spPr>
          <c:invertIfNegative val="0"/>
          <c:cat>
            <c:strRef>
              <c:f>Sheet17!$A$4:$A$9</c:f>
              <c:strCache>
                <c:ptCount val="5"/>
                <c:pt idx="0">
                  <c:v>Procurement</c:v>
                </c:pt>
                <c:pt idx="1">
                  <c:v>Website</c:v>
                </c:pt>
                <c:pt idx="2">
                  <c:v>Finance</c:v>
                </c:pt>
                <c:pt idx="3">
                  <c:v>Sales</c:v>
                </c:pt>
                <c:pt idx="4">
                  <c:v>HR</c:v>
                </c:pt>
              </c:strCache>
            </c:strRef>
          </c:cat>
          <c:val>
            <c:numRef>
              <c:f>Sheet17!$B$4:$B$9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A33-4202-96D6-E79DF4DDD819}"/>
            </c:ext>
          </c:extLst>
        </c:ser>
        <c:dLbls>
          <c:showLegendKey val="0"/>
          <c:showVal val="0"/>
          <c:showCatName val="0"/>
          <c:showSerName val="0"/>
          <c:showPercent val="0"/>
          <c:showBubbleSize val="0"/>
        </c:dLbls>
        <c:gapWidth val="25"/>
        <c:axId val="905303632"/>
        <c:axId val="905299312"/>
      </c:barChart>
      <c:catAx>
        <c:axId val="905303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99312"/>
        <c:crosses val="autoZero"/>
        <c:auto val="1"/>
        <c:lblAlgn val="ctr"/>
        <c:lblOffset val="100"/>
        <c:noMultiLvlLbl val="0"/>
      </c:catAx>
      <c:valAx>
        <c:axId val="90529931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303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ind vs nz.xlsx]Sheet17!PivotTable10</c:name>
    <c:fmtId val="7"/>
  </c:pivotSource>
  <c:chart>
    <c:autoTitleDeleted val="1"/>
    <c:pivotFmts>
      <c:pivotFmt>
        <c:idx val="0"/>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Sheet17!$E$3</c:f>
              <c:strCache>
                <c:ptCount val="1"/>
                <c:pt idx="0">
                  <c:v>Total</c:v>
                </c:pt>
              </c:strCache>
            </c:strRef>
          </c:tx>
          <c:spPr>
            <a:solidFill>
              <a:schemeClr val="accent3">
                <a:lumMod val="40000"/>
                <a:lumOff val="60000"/>
              </a:schemeClr>
            </a:solidFill>
            <a:ln>
              <a:noFill/>
            </a:ln>
            <a:effectLst/>
          </c:spPr>
          <c:invertIfNegative val="0"/>
          <c:cat>
            <c:strRef>
              <c:f>Sheet17!$D$4:$D$9</c:f>
              <c:strCache>
                <c:ptCount val="5"/>
                <c:pt idx="0">
                  <c:v>Website</c:v>
                </c:pt>
                <c:pt idx="1">
                  <c:v>Procurement</c:v>
                </c:pt>
                <c:pt idx="2">
                  <c:v>Finance</c:v>
                </c:pt>
                <c:pt idx="3">
                  <c:v>Sales</c:v>
                </c:pt>
                <c:pt idx="4">
                  <c:v>HR</c:v>
                </c:pt>
              </c:strCache>
            </c:strRef>
          </c:cat>
          <c:val>
            <c:numRef>
              <c:f>Sheet17!$E$4:$E$9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B862-4974-8F09-41E04308AC15}"/>
            </c:ext>
          </c:extLst>
        </c:ser>
        <c:dLbls>
          <c:showLegendKey val="0"/>
          <c:showVal val="0"/>
          <c:showCatName val="0"/>
          <c:showSerName val="0"/>
          <c:showPercent val="0"/>
          <c:showBubbleSize val="0"/>
        </c:dLbls>
        <c:gapWidth val="25"/>
        <c:axId val="864727184"/>
        <c:axId val="864727664"/>
      </c:barChart>
      <c:catAx>
        <c:axId val="8647271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727664"/>
        <c:crosses val="autoZero"/>
        <c:auto val="1"/>
        <c:lblAlgn val="ctr"/>
        <c:lblOffset val="100"/>
        <c:noMultiLvlLbl val="0"/>
      </c:catAx>
      <c:valAx>
        <c:axId val="86472766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727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ALL_Staff!$K$1</c:f>
              <c:strCache>
                <c:ptCount val="1"/>
                <c:pt idx="0">
                  <c:v>Rating as number</c:v>
                </c:pt>
              </c:strCache>
            </c:strRef>
          </c:tx>
          <c:spPr>
            <a:ln w="38100" cap="rnd">
              <a:noFill/>
              <a:round/>
            </a:ln>
            <a:effectLst/>
          </c:spPr>
          <c:marker>
            <c:symbol val="circle"/>
            <c:size val="5"/>
            <c:spPr>
              <a:solidFill>
                <a:schemeClr val="accent1"/>
              </a:solidFill>
              <a:ln w="9525">
                <a:solidFill>
                  <a:schemeClr val="accent1"/>
                </a:solidFill>
              </a:ln>
              <a:effectLst/>
            </c:spPr>
          </c:marker>
          <c:xVal>
            <c:numRef>
              <c:f>ALL_Staff!$F$2:$F$185</c:f>
              <c:numCache>
                <c:formatCode>_("$"* #,##0_);_("$"* \(#,##0\);_("$"* "-"??_);_(@_)</c:formatCode>
                <c:ptCount val="184"/>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ALL_Staff!$K$2:$K$185</c:f>
              <c:numCache>
                <c:formatCode>General</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52B1-4C5B-B35B-AFCDF57B626A}"/>
            </c:ext>
          </c:extLst>
        </c:ser>
        <c:dLbls>
          <c:showLegendKey val="0"/>
          <c:showVal val="0"/>
          <c:showCatName val="0"/>
          <c:showSerName val="0"/>
          <c:showPercent val="0"/>
          <c:showBubbleSize val="0"/>
        </c:dLbls>
        <c:axId val="339515840"/>
        <c:axId val="339514400"/>
      </c:scatterChart>
      <c:valAx>
        <c:axId val="33951584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14400"/>
        <c:crosses val="autoZero"/>
        <c:crossBetween val="midCat"/>
      </c:valAx>
      <c:valAx>
        <c:axId val="33951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15840"/>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Salary Spread - by $10k</a:t>
          </a:r>
        </a:p>
      </cx:txPr>
    </cx:title>
    <cx:plotArea>
      <cx:plotAreaRegion>
        <cx:series layoutId="clusteredColumn" uniqueId="{6D594636-C5C1-48E9-954D-A2697AD79CF0}">
          <cx:dataLabels>
            <cx:visibility seriesName="0" categoryName="0" value="1"/>
          </cx:dataLabels>
          <cx:dataId val="0"/>
          <cx:layoutPr>
            <cx:binning intervalClosed="r" underflow="40000">
              <cx:binSize val="10000"/>
            </cx:binning>
          </cx:layoutPr>
        </cx:series>
      </cx:plotAreaRegion>
      <cx:axis id="0">
        <cx:catScaling gapWidth="0"/>
        <cx:tickLabels/>
        <cx:spPr>
          <a:ln w="19050">
            <a:solidFill>
              <a:schemeClr val="accent1"/>
            </a:solidFill>
          </a:ln>
        </cx:spPr>
        <cx:txPr>
          <a:bodyPr spcFirstLastPara="1" vertOverflow="ellipsis" horzOverflow="overflow" wrap="square" lIns="0" tIns="0" rIns="0" bIns="0" anchor="ctr" anchorCtr="1"/>
          <a:lstStyle/>
          <a:p>
            <a:pPr algn="ctr" rtl="0">
              <a:defRPr>
                <a:ln>
                  <a:noFill/>
                </a:ln>
                <a:solidFill>
                  <a:sysClr val="windowText" lastClr="000000">
                    <a:lumMod val="65000"/>
                    <a:lumOff val="35000"/>
                  </a:sysClr>
                </a:solidFill>
                <a:effectLst>
                  <a:outerShdw blurRad="50800" dist="50800" algn="ctr" rotWithShape="0">
                    <a:srgbClr val="000000">
                      <a:alpha val="43137"/>
                    </a:srgbClr>
                  </a:outerShdw>
                </a:effectLst>
              </a:defRPr>
            </a:pPr>
            <a:endParaRPr lang="en-US" sz="900" b="0" i="0" u="none" strike="noStrike" baseline="0">
              <a:ln>
                <a:noFill/>
              </a:ln>
              <a:solidFill>
                <a:sysClr val="windowText" lastClr="000000">
                  <a:lumMod val="65000"/>
                  <a:lumOff val="35000"/>
                </a:sysClr>
              </a:solidFill>
              <a:effectLst>
                <a:outerShdw blurRad="50800" dist="50800" algn="ctr" rotWithShape="0">
                  <a:srgbClr val="000000">
                    <a:alpha val="43137"/>
                  </a:srgbClr>
                </a:outerShdw>
              </a:effectLst>
              <a:latin typeface="Aptos Narrow" panose="02110004020202020204"/>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Salary Spread - Box Plot</a:t>
          </a:r>
        </a:p>
      </cx:txPr>
    </cx:title>
    <cx:plotArea>
      <cx:plotAreaRegion>
        <cx:series layoutId="boxWhisker" uniqueId="{AEA72B0E-0632-4912-A93E-3F1E1171F62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19049</xdr:colOff>
      <xdr:row>3</xdr:row>
      <xdr:rowOff>4762</xdr:rowOff>
    </xdr:from>
    <xdr:to>
      <xdr:col>14</xdr:col>
      <xdr:colOff>466724</xdr:colOff>
      <xdr:row>13</xdr:row>
      <xdr:rowOff>171450</xdr:rowOff>
    </xdr:to>
    <xdr:graphicFrame macro="">
      <xdr:nvGraphicFramePr>
        <xdr:cNvPr id="2" name="Chart 1">
          <a:extLst>
            <a:ext uri="{FF2B5EF4-FFF2-40B4-BE49-F238E27FC236}">
              <a16:creationId xmlns:a16="http://schemas.microsoft.com/office/drawing/2014/main" id="{EE6136E6-E4BD-8703-05EA-FD4CF91DB8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200025</xdr:colOff>
      <xdr:row>25</xdr:row>
      <xdr:rowOff>23812</xdr:rowOff>
    </xdr:from>
    <xdr:to>
      <xdr:col>29</xdr:col>
      <xdr:colOff>504825</xdr:colOff>
      <xdr:row>39</xdr:row>
      <xdr:rowOff>100012</xdr:rowOff>
    </xdr:to>
    <xdr:graphicFrame macro="">
      <xdr:nvGraphicFramePr>
        <xdr:cNvPr id="3" name="Chart 2">
          <a:extLst>
            <a:ext uri="{FF2B5EF4-FFF2-40B4-BE49-F238E27FC236}">
              <a16:creationId xmlns:a16="http://schemas.microsoft.com/office/drawing/2014/main" id="{D4282FF2-4921-1D8C-4EB4-631F16E97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19050</xdr:colOff>
      <xdr:row>2</xdr:row>
      <xdr:rowOff>166687</xdr:rowOff>
    </xdr:from>
    <xdr:to>
      <xdr:col>29</xdr:col>
      <xdr:colOff>323850</xdr:colOff>
      <xdr:row>17</xdr:row>
      <xdr:rowOff>52387</xdr:rowOff>
    </xdr:to>
    <xdr:graphicFrame macro="">
      <xdr:nvGraphicFramePr>
        <xdr:cNvPr id="4" name="Chart 3">
          <a:extLst>
            <a:ext uri="{FF2B5EF4-FFF2-40B4-BE49-F238E27FC236}">
              <a16:creationId xmlns:a16="http://schemas.microsoft.com/office/drawing/2014/main" id="{9FFAC2FF-C73C-91CC-A8A1-803943A8D5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11760</xdr:rowOff>
    </xdr:from>
    <xdr:to>
      <xdr:col>14</xdr:col>
      <xdr:colOff>3410</xdr:colOff>
      <xdr:row>25</xdr:row>
      <xdr:rowOff>35278</xdr:rowOff>
    </xdr:to>
    <xdr:graphicFrame macro="">
      <xdr:nvGraphicFramePr>
        <xdr:cNvPr id="4" name="Chart 3">
          <a:extLst>
            <a:ext uri="{FF2B5EF4-FFF2-40B4-BE49-F238E27FC236}">
              <a16:creationId xmlns:a16="http://schemas.microsoft.com/office/drawing/2014/main" id="{A61D6717-CCD2-46A8-A887-5F459C97F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611481</xdr:colOff>
      <xdr:row>7</xdr:row>
      <xdr:rowOff>176389</xdr:rowOff>
    </xdr:from>
    <xdr:to>
      <xdr:col>7</xdr:col>
      <xdr:colOff>0</xdr:colOff>
      <xdr:row>24</xdr:row>
      <xdr:rowOff>152870</xdr:rowOff>
    </xdr:to>
    <xdr:graphicFrame macro="">
      <xdr:nvGraphicFramePr>
        <xdr:cNvPr id="5" name="Chart 4">
          <a:extLst>
            <a:ext uri="{FF2B5EF4-FFF2-40B4-BE49-F238E27FC236}">
              <a16:creationId xmlns:a16="http://schemas.microsoft.com/office/drawing/2014/main" id="{6E90080F-4491-47AF-AB7A-CA9198855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0</xdr:row>
      <xdr:rowOff>11759</xdr:rowOff>
    </xdr:from>
    <xdr:to>
      <xdr:col>8</xdr:col>
      <xdr:colOff>0</xdr:colOff>
      <xdr:row>25</xdr:row>
      <xdr:rowOff>11760</xdr:rowOff>
    </xdr:to>
    <xdr:cxnSp macro="">
      <xdr:nvCxnSpPr>
        <xdr:cNvPr id="7" name="Straight Connector 6">
          <a:extLst>
            <a:ext uri="{FF2B5EF4-FFF2-40B4-BE49-F238E27FC236}">
              <a16:creationId xmlns:a16="http://schemas.microsoft.com/office/drawing/2014/main" id="{F58134FB-D1EC-57F8-7571-E3215F4E8CAF}"/>
            </a:ext>
          </a:extLst>
        </xdr:cNvPr>
        <xdr:cNvCxnSpPr/>
      </xdr:nvCxnSpPr>
      <xdr:spPr>
        <a:xfrm>
          <a:off x="6161852" y="11759"/>
          <a:ext cx="0" cy="6044260"/>
        </a:xfrm>
        <a:prstGeom prst="line">
          <a:avLst/>
        </a:prstGeom>
        <a:ln>
          <a:solidFill>
            <a:schemeClr val="bg1">
              <a:lumMod val="85000"/>
            </a:schemeClr>
          </a:solidFill>
          <a:prstDash val="sysDot"/>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304800</xdr:colOff>
      <xdr:row>15</xdr:row>
      <xdr:rowOff>76200</xdr:rowOff>
    </xdr:to>
    <xdr:graphicFrame macro="">
      <xdr:nvGraphicFramePr>
        <xdr:cNvPr id="2" name="Chart 1">
          <a:extLst>
            <a:ext uri="{FF2B5EF4-FFF2-40B4-BE49-F238E27FC236}">
              <a16:creationId xmlns:a16="http://schemas.microsoft.com/office/drawing/2014/main" id="{7BA20451-5312-4AB3-9DCE-286CBD2CA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476250</xdr:colOff>
      <xdr:row>4</xdr:row>
      <xdr:rowOff>47625</xdr:rowOff>
    </xdr:from>
    <xdr:to>
      <xdr:col>6</xdr:col>
      <xdr:colOff>1047750</xdr:colOff>
      <xdr:row>9</xdr:row>
      <xdr:rowOff>152400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9C4370F9-15C0-65FF-6CC6-E02239EB447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819525" y="809625"/>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9524</xdr:colOff>
      <xdr:row>2</xdr:row>
      <xdr:rowOff>9525</xdr:rowOff>
    </xdr:from>
    <xdr:to>
      <xdr:col>12</xdr:col>
      <xdr:colOff>485775</xdr:colOff>
      <xdr:row>15</xdr:row>
      <xdr:rowOff>76201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86A4BBB-F81E-4988-A11F-E9A0ECB14E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9124" y="390525"/>
              <a:ext cx="7181851" cy="25431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1</xdr:row>
      <xdr:rowOff>188147</xdr:rowOff>
    </xdr:from>
    <xdr:to>
      <xdr:col>19</xdr:col>
      <xdr:colOff>376296</xdr:colOff>
      <xdr:row>17</xdr:row>
      <xdr:rowOff>23517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06A16B5-E2E9-4A0C-9B85-5DD9C22357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60741" y="376295"/>
              <a:ext cx="3433703" cy="28457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ndu Chalasani" refreshedDate="45912.724549652776" backgroundQuery="1" createdVersion="8" refreshedVersion="8" minRefreshableVersion="3" recordCount="0" supportSubquery="1" supportAdvancedDrill="1" xr:uid="{FD49FB80-70AA-4203-8D74-0DF06CC97FDC}">
  <cacheSource type="external" connectionId="4"/>
  <cacheFields count="3">
    <cacheField name="[staff].[Rating].[Rating]" caption="Rating" numFmtId="0" hierarchy="6" level="1">
      <sharedItems count="5">
        <s v="Above average"/>
        <s v="Average"/>
        <s v="Exceptional"/>
        <s v="Poor"/>
        <s v="Very poor"/>
      </sharedItems>
    </cacheField>
    <cacheField name="[Measures].[Count of Name]" caption="Count of Name" numFmtId="0" hierarchy="11" level="32767"/>
    <cacheField name="[Measures].[Average of Salary]" caption="Average of Salary" numFmtId="0" hierarchy="15"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ndu Chalasani" refreshedDate="45912.702996064814" backgroundQuery="1" createdVersion="8" refreshedVersion="8" minRefreshableVersion="3" recordCount="0" supportSubquery="1" supportAdvancedDrill="1" xr:uid="{05216099-4617-42C1-BCC7-F49005FEF0B9}">
  <cacheSource type="external" connectionId="4"/>
  <cacheFields count="6">
    <cacheField name="[staff].[Gender].[Gender]" caption="Gender" numFmtId="0" hierarchy="1" level="1">
      <sharedItems count="2">
        <s v="Female"/>
        <s v="Male"/>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ndu Chalasani" refreshedDate="45912.739739004632" createdVersion="8" refreshedVersion="8" minRefreshableVersion="3" recordCount="185" xr:uid="{488D2EC3-66A1-483D-A8EE-A6A42C1C6B25}">
  <cacheSource type="worksheet">
    <worksheetSource ref="A1:K1048576" sheet="ALL_Staff"/>
  </cacheSource>
  <cacheFields count="14">
    <cacheField name="Name" numFmtId="0">
      <sharedItems containsBlank="1"/>
    </cacheField>
    <cacheField name="Gender" numFmtId="0">
      <sharedItems containsBlank="1"/>
    </cacheField>
    <cacheField name="Department" numFmtId="0">
      <sharedItems containsBlank="1"/>
    </cacheField>
    <cacheField name="Age" numFmtId="0">
      <sharedItems containsString="0" containsBlank="1" containsNumber="1" containsInteger="1" minValue="19" maxValue="46"/>
    </cacheField>
    <cacheField name="Date Joined" numFmtId="0">
      <sharedItems containsNonDate="0" containsDate="1" containsString="0" containsBlank="1" minDate="2020-05-07T00:00:00" maxDate="2023-04-30T00:00:00" count="161">
        <d v="2022-04-27T00:00:00"/>
        <d v="2022-02-27T00:00:00"/>
        <d v="2020-07-11T00:00:00"/>
        <d v="2020-05-11T00:00:00"/>
        <d v="2022-02-28T00:00:00"/>
        <d v="2021-12-28T00:00:00"/>
        <d v="2020-09-30T00:00:00"/>
        <d v="2020-07-30T00:00:00"/>
        <d v="2022-06-15T00:00:00"/>
        <d v="2022-04-15T00:00:00"/>
        <d v="2022-02-19T00:00:00"/>
        <d v="2021-12-19T00:00:00"/>
        <d v="2020-11-10T00:00:00"/>
        <d v="2020-09-10T00:00:00"/>
        <d v="2022-09-16T00:00:00"/>
        <d v="2022-07-16T00:00:00"/>
        <d v="2021-06-07T00:00:00"/>
        <d v="2021-04-07T00:00:00"/>
        <d v="2021-07-23T00:00:00"/>
        <d v="2021-05-23T00:00:00"/>
        <d v="2021-01-29T00:00:00"/>
        <d v="2020-11-29T00:00:00"/>
        <d v="2020-07-29T00:00:00"/>
        <d v="2020-05-29T00:00:00"/>
        <d v="2022-05-20T00:00:00"/>
        <d v="2022-03-20T00:00:00"/>
        <d v="2021-11-11T00:00:00"/>
        <d v="2021-09-11T00:00:00"/>
        <d v="2022-01-06T00:00:00"/>
        <d v="2021-11-06T00:00:00"/>
        <d v="2022-06-09T00:00:00"/>
        <d v="2022-04-09T00:00:00"/>
        <d v="2021-08-28T00:00:00"/>
        <d v="2021-06-28T00:00:00"/>
        <d v="2021-06-10T00:00:00"/>
        <d v="2021-04-10T00:00:00"/>
        <d v="2021-09-26T00:00:00"/>
        <d v="2021-08-03T00:00:00"/>
        <d v="2021-07-26T00:00:00"/>
        <d v="2021-06-03T00:00:00"/>
        <d v="2021-11-09T00:00:00"/>
        <d v="2021-09-09T00:00:00"/>
        <d v="2020-10-30T00:00:00"/>
        <d v="2020-08-30T00:00:00"/>
        <d v="2021-05-13T00:00:00"/>
        <d v="2021-03-13T00:00:00"/>
        <d v="2022-07-20T00:00:00"/>
        <d v="2022-04-12T00:00:00"/>
        <d v="2022-02-12T00:00:00"/>
        <d v="2022-04-02T00:00:00"/>
        <d v="2022-02-02T00:00:00"/>
        <d v="2021-03-22T00:00:00"/>
        <d v="2021-01-22T00:00:00"/>
        <d v="2021-02-16T00:00:00"/>
        <d v="2020-12-16T00:00:00"/>
        <d v="2022-02-20T00:00:00"/>
        <d v="2021-12-20T00:00:00"/>
        <d v="2022-02-15T00:00:00"/>
        <d v="2020-11-13T00:00:00"/>
        <d v="2020-09-13T00:00:00"/>
        <d v="2022-02-05T00:00:00"/>
        <d v="2021-12-05T00:00:00"/>
        <d v="2020-08-24T00:00:00"/>
        <d v="2020-06-24T00:00:00"/>
        <d v="2021-07-06T00:00:00"/>
        <d v="2021-05-06T00:00:00"/>
        <d v="2021-05-01T00:00:00"/>
        <d v="2021-03-01T00:00:00"/>
        <d v="2021-07-12T00:00:00"/>
        <d v="2021-05-12T00:00:00"/>
        <d v="2021-12-07T00:00:00"/>
        <d v="2021-10-07T00:00:00"/>
        <d v="2021-03-18T00:00:00"/>
        <d v="2021-01-18T00:00:00"/>
        <d v="2022-10-16T00:00:00"/>
        <d v="2022-08-16T00:00:00"/>
        <d v="2022-06-19T00:00:00"/>
        <d v="2022-04-19T00:00:00"/>
        <d v="2022-05-16T00:00:00"/>
        <d v="2021-05-17T00:00:00"/>
        <d v="2021-03-17T00:00:00"/>
        <d v="2021-07-08T00:00:00"/>
        <d v="2021-05-08T00:00:00"/>
        <d v="2022-08-06T00:00:00"/>
        <d v="2022-06-06T00:00:00"/>
        <d v="2021-04-26T00:00:00"/>
        <d v="2021-02-26T00:00:00"/>
        <d v="2021-06-27T00:00:00"/>
        <d v="2021-04-27T00:00:00"/>
        <d v="2021-02-15T00:00:00"/>
        <d v="2020-12-15T00:00:00"/>
        <d v="2020-12-20T00:00:00"/>
        <d v="2020-10-20T00:00:00"/>
        <d v="2021-07-11T00:00:00"/>
        <d v="2021-11-29T00:00:00"/>
        <d v="2021-09-29T00:00:00"/>
        <d v="2021-10-25T00:00:00"/>
        <d v="2021-08-25T00:00:00"/>
        <d v="2022-07-02T00:00:00"/>
        <d v="2022-05-02T00:00:00"/>
        <d v="2022-05-13T00:00:00"/>
        <d v="2022-03-13T00:00:00"/>
        <d v="2022-05-05T00:00:00"/>
        <d v="2022-03-05T00:00:00"/>
        <d v="2021-09-20T00:00:00"/>
        <d v="2021-07-20T00:00:00"/>
        <d v="2022-09-05T00:00:00"/>
        <d v="2022-07-05T00:00:00"/>
        <d v="2021-05-21T00:00:00"/>
        <d v="2021-03-21T00:00:00"/>
        <d v="2021-05-22T00:00:00"/>
        <d v="2021-03-16T00:00:00"/>
        <d v="2021-01-16T00:00:00"/>
        <d v="2022-08-01T00:00:00"/>
        <d v="2022-06-01T00:00:00"/>
        <d v="2021-02-09T00:00:00"/>
        <d v="2020-12-09T00:00:00"/>
        <d v="2021-09-06T00:00:00"/>
        <d v="2021-01-09T00:00:00"/>
        <d v="2020-11-09T00:00:00"/>
        <d v="2020-12-25T00:00:00"/>
        <d v="2020-10-25T00:00:00"/>
        <d v="2022-02-14T00:00:00"/>
        <d v="2021-12-14T00:00:00"/>
        <d v="2021-03-08T00:00:00"/>
        <d v="2021-01-08T00:00:00"/>
        <d v="2022-03-10T00:00:00"/>
        <d v="2022-01-10T00:00:00"/>
        <d v="2022-06-12T00:00:00"/>
        <d v="2022-03-29T00:00:00"/>
        <d v="2022-01-29T00:00:00"/>
        <d v="2021-07-04T00:00:00"/>
        <d v="2021-05-04T00:00:00"/>
        <d v="2021-10-17T00:00:00"/>
        <d v="2021-08-17T00:00:00"/>
        <d v="2021-09-01T00:00:00"/>
        <d v="2021-07-01T00:00:00"/>
        <d v="2021-06-30T00:00:00"/>
        <d v="2021-04-30T00:00:00"/>
        <d v="2022-06-14T00:00:00"/>
        <d v="2022-04-14T00:00:00"/>
        <d v="2020-10-15T00:00:00"/>
        <d v="2022-10-27T00:00:00"/>
        <d v="2022-08-27T00:00:00"/>
        <d v="2020-12-18T00:00:00"/>
        <d v="2020-10-18T00:00:00"/>
        <d v="2022-03-22T00:00:00"/>
        <d v="2021-09-07T00:00:00"/>
        <d v="2021-07-07T00:00:00"/>
        <d v="2022-02-17T00:00:00"/>
        <d v="2021-12-17T00:00:00"/>
        <d v="2023-04-29T00:00:00"/>
        <d v="2023-02-28T00:00:00"/>
        <d v="2020-09-11T00:00:00"/>
        <d v="2020-11-11T00:00:00"/>
        <d v="2020-09-29T00:00:00"/>
        <d v="2021-09-12T00:00:00"/>
        <d v="2020-07-07T00:00:00"/>
        <d v="2020-05-07T00:00:00"/>
        <d v="2020-08-18T00:00:00"/>
        <m/>
      </sharedItems>
      <fieldGroup par="13"/>
    </cacheField>
    <cacheField name="Salary" numFmtId="170">
      <sharedItems containsString="0" containsBlank="1" containsNumber="1" containsInteger="1" minValue="33920" maxValue="119110"/>
    </cacheField>
    <cacheField name="Rating" numFmtId="0">
      <sharedItems containsBlank="1"/>
    </cacheField>
    <cacheField name="country" numFmtId="0">
      <sharedItems containsBlank="1"/>
    </cacheField>
    <cacheField name="Tenure" numFmtId="2">
      <sharedItems containsString="0" containsBlank="1" containsNumber="1" minValue="2.3753424657534246" maxValue="5.353424657534247"/>
    </cacheField>
    <cacheField name="Bonus" numFmtId="168">
      <sharedItems containsString="0" containsBlank="1" containsNumber="1" containsInteger="1" minValue="1018" maxValue="3574"/>
    </cacheField>
    <cacheField name="Rating as number" numFmtId="0">
      <sharedItems containsString="0" containsBlank="1" containsNumber="1" containsInteger="1" minValue="1" maxValue="5"/>
    </cacheField>
    <cacheField name="Months (Date Joined)" numFmtId="0" databaseField="0">
      <fieldGroup base="4">
        <rangePr groupBy="months" startDate="2020-05-07T00:00:00" endDate="2023-04-30T00:00:00"/>
        <groupItems count="14">
          <s v="&lt;5/7/2020"/>
          <s v="Jan"/>
          <s v="Feb"/>
          <s v="Mar"/>
          <s v="Apr"/>
          <s v="May"/>
          <s v="Jun"/>
          <s v="Jul"/>
          <s v="Aug"/>
          <s v="Sep"/>
          <s v="Oct"/>
          <s v="Nov"/>
          <s v="Dec"/>
          <s v="&gt;4/30/2023"/>
        </groupItems>
      </fieldGroup>
    </cacheField>
    <cacheField name="Quarters (Date Joined)" numFmtId="0" databaseField="0">
      <fieldGroup base="4">
        <rangePr groupBy="quarters" startDate="2020-05-07T00:00:00" endDate="2023-04-30T00:00:00"/>
        <groupItems count="6">
          <s v="&lt;5/7/2020"/>
          <s v="Qtr1"/>
          <s v="Qtr2"/>
          <s v="Qtr3"/>
          <s v="Qtr4"/>
          <s v="&gt;4/30/2023"/>
        </groupItems>
      </fieldGroup>
    </cacheField>
    <cacheField name="Years (Date Joined)"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ndu Chalasani" refreshedDate="45912.76817314815" backgroundQuery="1" createdVersion="8" refreshedVersion="8" minRefreshableVersion="3" recordCount="0" supportSubquery="1" supportAdvancedDrill="1" xr:uid="{014B9D0F-B199-47AD-B939-D5DCD5803139}">
  <cacheSource type="external" connectionId="4"/>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1"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ndu Chalasani" refreshedDate="45912.768228703702" backgroundQuery="1" createdVersion="8" refreshedVersion="8" minRefreshableVersion="3" recordCount="0" supportSubquery="1" supportAdvancedDrill="1" xr:uid="{13C73CC9-BF4D-4331-A10B-B0BA619F6DE3}">
  <cacheSource type="external" connectionId="4"/>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1"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ndu Chalasani" refreshedDate="45912.702731481484" backgroundQuery="1" createdVersion="3" refreshedVersion="8" minRefreshableVersion="3" recordCount="0" supportSubquery="1" supportAdvancedDrill="1" xr:uid="{81FD5511-D4EA-4A39-9BBE-345259A8B853}">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4581170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Gretchen Callow"/>
    <s v="Female"/>
    <s v="Website"/>
    <n v="21"/>
    <x v="0"/>
    <n v="33920"/>
    <s v="Average"/>
    <s v="NZ"/>
    <n v="3.3808219178082193"/>
    <n v="1018"/>
    <n v="3"/>
  </r>
  <r>
    <s v="Shubhra Potla"/>
    <s v="Female"/>
    <s v="Website"/>
    <n v="21"/>
    <x v="1"/>
    <n v="33920"/>
    <s v="Average"/>
    <s v="INDIA"/>
    <n v="3.5424657534246577"/>
    <n v="1018"/>
    <n v="3"/>
  </r>
  <r>
    <s v="Niall Selesnick"/>
    <s v="Female"/>
    <s v="Website"/>
    <n v="29"/>
    <x v="2"/>
    <n v="34980"/>
    <s v="Average"/>
    <s v="NZ"/>
    <n v="5.1753424657534248"/>
    <n v="1050"/>
    <n v="3"/>
  </r>
  <r>
    <s v="Suchira Bhanupriya Tapti"/>
    <s v="Female"/>
    <s v="Website"/>
    <n v="29"/>
    <x v="3"/>
    <n v="34980"/>
    <s v="Average"/>
    <s v="INDIA"/>
    <n v="5.3424657534246576"/>
    <n v="1050"/>
    <n v="3"/>
  </r>
  <r>
    <s v="Bili Sizey"/>
    <s v="Male"/>
    <s v="Sales"/>
    <n v="43"/>
    <x v="4"/>
    <n v="36040"/>
    <s v="Average"/>
    <s v="NZ"/>
    <n v="3.5397260273972604"/>
    <n v="1082"/>
    <n v="3"/>
  </r>
  <r>
    <s v="Waheeda Vasuman"/>
    <s v="Male"/>
    <s v="Sales"/>
    <n v="43"/>
    <x v="5"/>
    <n v="36040"/>
    <s v="Average"/>
    <s v="INDIA"/>
    <n v="3.7095890410958905"/>
    <n v="1082"/>
    <n v="3"/>
  </r>
  <r>
    <s v="Orton Livick"/>
    <s v="Male"/>
    <s v="Procurement"/>
    <n v="21"/>
    <x v="6"/>
    <n v="37920"/>
    <s v="Average"/>
    <s v="NZ"/>
    <n v="4.9534246575342467"/>
    <n v="1138"/>
    <n v="3"/>
  </r>
  <r>
    <s v="Akbar Sorabhjee"/>
    <s v="Male"/>
    <s v="Procurement"/>
    <n v="21"/>
    <x v="7"/>
    <n v="37920"/>
    <s v="Average"/>
    <s v="INDIA"/>
    <n v="5.1232876712328768"/>
    <n v="1138"/>
    <n v="3"/>
  </r>
  <r>
    <s v="Archibald Filliskirk"/>
    <s v="Male"/>
    <s v="Procurement"/>
    <n v="35"/>
    <x v="8"/>
    <n v="40400"/>
    <s v="Average"/>
    <s v="NZ"/>
    <n v="3.2465753424657535"/>
    <n v="1212"/>
    <n v="3"/>
  </r>
  <r>
    <s v="Shobhana Samuel"/>
    <s v="Male"/>
    <s v="Procurement"/>
    <n v="35"/>
    <x v="9"/>
    <n v="40400"/>
    <s v="Average"/>
    <s v="INDIA"/>
    <n v="3.4136986301369863"/>
    <n v="1212"/>
    <n v="3"/>
  </r>
  <r>
    <s v="Crissie Cordel"/>
    <s v="Female"/>
    <s v="Procurement"/>
    <n v="32"/>
    <x v="10"/>
    <n v="41570"/>
    <s v="Average"/>
    <s v="NZ"/>
    <n v="3.5643835616438357"/>
    <n v="1248"/>
    <n v="3"/>
  </r>
  <r>
    <s v="Prerana Nishita"/>
    <s v="Female"/>
    <s v="Procurement"/>
    <n v="32"/>
    <x v="11"/>
    <n v="41570"/>
    <s v="Average"/>
    <s v="INDIA"/>
    <n v="3.7342465753424658"/>
    <n v="1248"/>
    <n v="3"/>
  </r>
  <r>
    <s v="Dotty Strutley"/>
    <s v="Female"/>
    <s v="Website"/>
    <n v="31"/>
    <x v="12"/>
    <n v="41980"/>
    <s v="Average"/>
    <s v="NZ"/>
    <n v="4.8410958904109593"/>
    <n v="1260"/>
    <n v="3"/>
  </r>
  <r>
    <s v="Jagajeet Viraj"/>
    <s v="Female"/>
    <s v="Website"/>
    <n v="31"/>
    <x v="13"/>
    <n v="41980"/>
    <s v="Average"/>
    <s v="INDIA"/>
    <n v="5.0082191780821921"/>
    <n v="1260"/>
    <n v="3"/>
  </r>
  <r>
    <s v="Drusy MacCombe"/>
    <s v="Male"/>
    <s v="Sales"/>
    <n v="28"/>
    <x v="14"/>
    <n v="43510"/>
    <s v="Very poor"/>
    <s v="NZ"/>
    <n v="2.9917808219178084"/>
    <n v="1306"/>
    <n v="1"/>
  </r>
  <r>
    <s v="Rupak Mehra"/>
    <s v="Male"/>
    <s v="Sales"/>
    <n v="28"/>
    <x v="15"/>
    <n v="43510"/>
    <s v="Very poor"/>
    <s v="INDIA"/>
    <n v="3.1616438356164385"/>
    <n v="1306"/>
    <n v="1"/>
  </r>
  <r>
    <s v="Kassi Jonson"/>
    <s v="Female"/>
    <s v="Website"/>
    <n v="32"/>
    <x v="16"/>
    <n v="43840"/>
    <s v="Above average"/>
    <s v="NZ"/>
    <n v="4.2684931506849315"/>
    <n v="1316"/>
    <n v="4"/>
  </r>
  <r>
    <s v="Yagna Sujeev"/>
    <s v="Female"/>
    <s v="Website"/>
    <n v="32"/>
    <x v="17"/>
    <n v="43840"/>
    <s v="Above average"/>
    <s v="INDIA"/>
    <n v="4.4356164383561643"/>
    <n v="1316"/>
    <n v="4"/>
  </r>
  <r>
    <s v="Florinda Crace"/>
    <s v="Female"/>
    <s v="HR"/>
    <n v="32"/>
    <x v="18"/>
    <n v="45510"/>
    <s v="Average"/>
    <s v="NZ"/>
    <n v="4.1424657534246574"/>
    <n v="1366"/>
    <n v="3"/>
  </r>
  <r>
    <s v="Madhavdas Buhpathi"/>
    <s v="Female"/>
    <s v="HR"/>
    <n v="32"/>
    <x v="19"/>
    <n v="45510"/>
    <s v="Average"/>
    <s v="INDIA"/>
    <n v="4.3095890410958901"/>
    <n v="1366"/>
    <n v="3"/>
  </r>
  <r>
    <s v="Dell Molloy"/>
    <s v="Male"/>
    <s v="Procurement"/>
    <n v="26"/>
    <x v="20"/>
    <n v="47360"/>
    <s v="Average"/>
    <s v="NZ"/>
    <n v="4.6219178082191785"/>
    <n v="1421"/>
    <n v="3"/>
  </r>
  <r>
    <s v="Shiuli Sapna"/>
    <s v="Male"/>
    <s v="Procurement"/>
    <n v="26"/>
    <x v="21"/>
    <n v="47360"/>
    <s v="Average"/>
    <s v="INDIA"/>
    <n v="4.7890410958904113"/>
    <n v="1421"/>
    <n v="3"/>
  </r>
  <r>
    <s v="Jan Morforth"/>
    <s v="Male"/>
    <s v="Finance"/>
    <n v="28"/>
    <x v="22"/>
    <n v="48170"/>
    <s v="Above average"/>
    <s v="NZ"/>
    <n v="5.1260273972602741"/>
    <n v="1446"/>
    <n v="4"/>
  </r>
  <r>
    <s v="Ardhendu Abhichandra Jayakar"/>
    <s v="Male"/>
    <s v="Finance"/>
    <n v="28"/>
    <x v="23"/>
    <n v="48170"/>
    <s v="Above average"/>
    <s v="INDIA"/>
    <n v="5.2931506849315069"/>
    <n v="1446"/>
    <n v="4"/>
  </r>
  <r>
    <s v="Erin Androsik"/>
    <s v="Male"/>
    <s v="Procurement"/>
    <n v="33"/>
    <x v="24"/>
    <n v="48530"/>
    <s v="Above average"/>
    <s v="NZ"/>
    <n v="3.3178082191780822"/>
    <n v="1456"/>
    <n v="4"/>
  </r>
  <r>
    <s v="Piyali Mahanthapa"/>
    <s v="Male"/>
    <s v="Procurement"/>
    <n v="33"/>
    <x v="25"/>
    <n v="48530"/>
    <s v="Above average"/>
    <s v="INDIA"/>
    <n v="3.484931506849315"/>
    <n v="1456"/>
    <n v="4"/>
  </r>
  <r>
    <s v="Gunar Cockshoot"/>
    <s v="Male"/>
    <s v="Website"/>
    <n v="31"/>
    <x v="26"/>
    <n v="48950"/>
    <s v="Average"/>
    <s v="NZ"/>
    <n v="3.8383561643835615"/>
    <n v="1469"/>
    <n v="3"/>
  </r>
  <r>
    <s v="Amal Nimesh"/>
    <s v="Male"/>
    <s v="Website"/>
    <n v="31"/>
    <x v="27"/>
    <n v="48950"/>
    <s v="Average"/>
    <s v="INDIA"/>
    <n v="4.0054794520547947"/>
    <n v="1469"/>
    <n v="3"/>
  </r>
  <r>
    <s v="Esmaria Denecamp"/>
    <s v="Male"/>
    <s v="Finance"/>
    <n v="27"/>
    <x v="28"/>
    <n v="48980"/>
    <s v="Average"/>
    <s v="NZ"/>
    <n v="3.6849315068493151"/>
    <n v="1470"/>
    <n v="3"/>
  </r>
  <r>
    <s v="Vanmala Shriharsha"/>
    <s v="Male"/>
    <s v="Finance"/>
    <n v="27"/>
    <x v="29"/>
    <n v="48980"/>
    <s v="Average"/>
    <s v="INDIA"/>
    <n v="3.8520547945205479"/>
    <n v="1470"/>
    <n v="3"/>
  </r>
  <r>
    <s v="Violante Courtonne"/>
    <s v="Female"/>
    <s v="Sales"/>
    <n v="34"/>
    <x v="30"/>
    <n v="49630"/>
    <s v="Poor"/>
    <s v="NZ"/>
    <n v="3.2630136986301368"/>
    <n v="1489"/>
    <n v="2"/>
  </r>
  <r>
    <s v="Daruka Ghazali"/>
    <s v="Female"/>
    <s v="Sales"/>
    <n v="34"/>
    <x v="31"/>
    <n v="49630"/>
    <s v="Poor"/>
    <s v="INDIA"/>
    <n v="3.43013698630137"/>
    <n v="1489"/>
    <n v="2"/>
  </r>
  <r>
    <s v="Kaye Crocroft"/>
    <s v="Male"/>
    <s v="Finance"/>
    <n v="24"/>
    <x v="32"/>
    <n v="52610"/>
    <s v="Poor"/>
    <s v="NZ"/>
    <n v="4.043835616438356"/>
    <n v="1579"/>
    <n v="2"/>
  </r>
  <r>
    <s v="Gumwant Veera"/>
    <s v="Male"/>
    <s v="Finance"/>
    <n v="24"/>
    <x v="33"/>
    <n v="52610"/>
    <s v="Poor"/>
    <s v="INDIA"/>
    <n v="4.2109589041095887"/>
    <n v="1579"/>
    <n v="2"/>
  </r>
  <r>
    <s v="Tatum Hush"/>
    <s v="Female"/>
    <s v="Sales"/>
    <n v="28"/>
    <x v="34"/>
    <n v="53240"/>
    <s v="Average"/>
    <s v="NZ"/>
    <n v="4.2602739726027394"/>
    <n v="1598"/>
    <n v="3"/>
  </r>
  <r>
    <s v="Anumati Shyamari Meherhomji"/>
    <s v="Female"/>
    <s v="Sales"/>
    <n v="28"/>
    <x v="35"/>
    <n v="53240"/>
    <s v="Average"/>
    <s v="INDIA"/>
    <n v="4.4273972602739722"/>
    <n v="1598"/>
    <n v="3"/>
  </r>
  <r>
    <s v="Hoyt D'Alesco"/>
    <s v="Male"/>
    <s v="Sales"/>
    <n v="32"/>
    <x v="36"/>
    <n v="53540"/>
    <s v="Average"/>
    <s v="NZ"/>
    <n v="3.9643835616438357"/>
    <n v="1607"/>
    <n v="3"/>
  </r>
  <r>
    <s v="Zach Polon"/>
    <s v="Male"/>
    <s v="Procurement"/>
    <n v="26"/>
    <x v="37"/>
    <n v="53540"/>
    <s v="Average"/>
    <s v="NZ"/>
    <n v="4.1123287671232873"/>
    <n v="1607"/>
    <n v="3"/>
  </r>
  <r>
    <s v="Geena Raghavanpillai"/>
    <s v="Male"/>
    <s v="Sales"/>
    <n v="32"/>
    <x v="38"/>
    <n v="53540"/>
    <s v="Average"/>
    <s v="INDIA"/>
    <n v="4.1342465753424653"/>
    <n v="1607"/>
    <n v="3"/>
  </r>
  <r>
    <s v="Chitrasen Laul"/>
    <s v="Male"/>
    <s v="Procurement"/>
    <n v="26"/>
    <x v="39"/>
    <n v="53540"/>
    <s v="Average"/>
    <s v="INDIA"/>
    <n v="4.279452054794521"/>
    <n v="1607"/>
    <n v="3"/>
  </r>
  <r>
    <s v="William Reeveley"/>
    <s v="Male"/>
    <s v="Website"/>
    <n v="33"/>
    <x v="40"/>
    <n v="53870"/>
    <s v="Average"/>
    <s v="NZ"/>
    <n v="3.8438356164383563"/>
    <n v="1617"/>
    <n v="3"/>
  </r>
  <r>
    <s v="Pragya Nilufar"/>
    <s v="Male"/>
    <s v="Website"/>
    <n v="33"/>
    <x v="41"/>
    <n v="53870"/>
    <s v="Average"/>
    <s v="INDIA"/>
    <n v="4.0109589041095894"/>
    <n v="1617"/>
    <n v="3"/>
  </r>
  <r>
    <s v="Alta Kaszper"/>
    <s v="Male"/>
    <s v="Sales"/>
    <n v="27"/>
    <x v="42"/>
    <n v="54970"/>
    <s v="Average"/>
    <s v="NZ"/>
    <n v="4.8712328767123285"/>
    <n v="1650"/>
    <n v="3"/>
  </r>
  <r>
    <s v="Sanchali Shirish"/>
    <s v="Male"/>
    <s v="Sales"/>
    <n v="27"/>
    <x v="43"/>
    <n v="54970"/>
    <s v="Average"/>
    <s v="INDIA"/>
    <n v="5.0383561643835613"/>
    <n v="1650"/>
    <n v="3"/>
  </r>
  <r>
    <s v="Oran Buxcy"/>
    <s v="Female"/>
    <s v="Sales"/>
    <n v="38"/>
    <x v="44"/>
    <n v="56870"/>
    <s v="Above average"/>
    <s v="NZ"/>
    <n v="4.3369863013698629"/>
    <n v="1707"/>
    <n v="4"/>
  </r>
  <r>
    <s v="Mirium Seemantini Shivakumar"/>
    <s v="Female"/>
    <s v="Sales"/>
    <n v="38"/>
    <x v="45"/>
    <n v="56870"/>
    <s v="Above average"/>
    <s v="INDIA"/>
    <n v="4.5041095890410956"/>
    <n v="1707"/>
    <n v="4"/>
  </r>
  <r>
    <s v="Kelci Walkden"/>
    <s v="Male"/>
    <s v="Procurement"/>
    <n v="21"/>
    <x v="46"/>
    <n v="57090"/>
    <s v="Average"/>
    <s v="NZ"/>
    <n v="3.1506849315068495"/>
    <n v="1713"/>
    <n v="3"/>
  </r>
  <r>
    <s v="Shattesh Utpat"/>
    <s v="Male"/>
    <s v="Procurement"/>
    <n v="21"/>
    <x v="24"/>
    <n v="57090"/>
    <s v="Average"/>
    <s v="INDIA"/>
    <n v="3.3178082191780822"/>
    <n v="1713"/>
    <n v="3"/>
  </r>
  <r>
    <s v="Brien Boise"/>
    <s v="Female"/>
    <s v="Website"/>
    <n v="31"/>
    <x v="47"/>
    <n v="58100"/>
    <s v="Average"/>
    <s v="NZ"/>
    <n v="3.4219178082191779"/>
    <n v="1743"/>
    <n v="3"/>
  </r>
  <r>
    <s v="Pratigya Rema"/>
    <s v="Female"/>
    <s v="Website"/>
    <n v="31"/>
    <x v="48"/>
    <n v="58100"/>
    <s v="Average"/>
    <s v="INDIA"/>
    <n v="3.5835616438356164"/>
    <n v="1743"/>
    <n v="3"/>
  </r>
  <r>
    <s v="Oby Sorrel"/>
    <s v="Female"/>
    <s v="Finance"/>
    <n v="34"/>
    <x v="49"/>
    <n v="58940"/>
    <s v="Average"/>
    <s v="NZ"/>
    <n v="3.4493150684931506"/>
    <n v="1769"/>
    <n v="3"/>
  </r>
  <r>
    <s v="Krittika Gaekwad"/>
    <s v="Female"/>
    <s v="Finance"/>
    <n v="34"/>
    <x v="50"/>
    <n v="58940"/>
    <s v="Average"/>
    <s v="INDIA"/>
    <n v="3.6109589041095891"/>
    <n v="1769"/>
    <n v="3"/>
  </r>
  <r>
    <s v="Lilyan Klimpt"/>
    <s v="Male"/>
    <s v="Procurement"/>
    <n v="19"/>
    <x v="51"/>
    <n v="58960"/>
    <s v="Average"/>
    <s v="NZ"/>
    <n v="4.4794520547945202"/>
    <n v="1769"/>
    <n v="3"/>
  </r>
  <r>
    <s v="Vinanti Choudhari"/>
    <s v="Male"/>
    <s v="Procurement"/>
    <n v="19"/>
    <x v="52"/>
    <n v="58960"/>
    <s v="Average"/>
    <s v="INDIA"/>
    <n v="4.6410958904109592"/>
    <n v="1769"/>
    <n v="3"/>
  </r>
  <r>
    <s v="My Hanscome"/>
    <s v="Male"/>
    <s v="Finance"/>
    <n v="33"/>
    <x v="53"/>
    <n v="59430"/>
    <s v="Average"/>
    <s v="NZ"/>
    <n v="4.5726027397260278"/>
    <n v="1783"/>
    <n v="3"/>
  </r>
  <r>
    <s v="Asija Pothireddy"/>
    <s v="Male"/>
    <s v="Finance"/>
    <n v="33"/>
    <x v="54"/>
    <n v="59430"/>
    <s v="Average"/>
    <s v="INDIA"/>
    <n v="4.7424657534246579"/>
    <n v="1783"/>
    <n v="3"/>
  </r>
  <r>
    <s v="Jehu Rudeforth"/>
    <s v="Female"/>
    <s v="Finance"/>
    <n v="34"/>
    <x v="55"/>
    <n v="60130"/>
    <s v="Average"/>
    <s v="NZ"/>
    <n v="3.5616438356164384"/>
    <n v="1804"/>
    <n v="3"/>
  </r>
  <r>
    <s v="Lalit Kothari"/>
    <s v="Female"/>
    <s v="Finance"/>
    <n v="34"/>
    <x v="56"/>
    <n v="60130"/>
    <s v="Average"/>
    <s v="INDIA"/>
    <n v="3.7315068493150685"/>
    <n v="1804"/>
    <n v="3"/>
  </r>
  <r>
    <s v="Mallorie Waber"/>
    <s v="Male"/>
    <s v="Procurement"/>
    <n v="30"/>
    <x v="9"/>
    <n v="60570"/>
    <s v="Average"/>
    <s v="NZ"/>
    <n v="3.4136986301369863"/>
    <n v="1818"/>
    <n v="3"/>
  </r>
  <r>
    <s v="Mardav Ramaswami"/>
    <s v="Male"/>
    <s v="Procurement"/>
    <n v="30"/>
    <x v="57"/>
    <n v="60570"/>
    <s v="Average"/>
    <s v="INDIA"/>
    <n v="3.5753424657534247"/>
    <n v="1818"/>
    <n v="3"/>
  </r>
  <r>
    <s v="Vic Radolf"/>
    <s v="Female"/>
    <s v="Website"/>
    <n v="24"/>
    <x v="58"/>
    <n v="62780"/>
    <s v="Average"/>
    <s v="NZ"/>
    <n v="4.8328767123287673"/>
    <n v="1884"/>
    <n v="3"/>
  </r>
  <r>
    <s v="Fullara Sushanti Mokate"/>
    <s v="Female"/>
    <s v="Website"/>
    <n v="24"/>
    <x v="59"/>
    <n v="62780"/>
    <s v="Average"/>
    <s v="INDIA"/>
    <n v="5"/>
    <n v="1884"/>
    <n v="3"/>
  </r>
  <r>
    <s v="Curtice Advani"/>
    <s v="other"/>
    <s v="Finance"/>
    <n v="30"/>
    <x v="60"/>
    <n v="64000"/>
    <s v="Average"/>
    <s v="NZ"/>
    <n v="3.6027397260273974"/>
    <n v="1920"/>
    <n v="3"/>
  </r>
  <r>
    <s v="Upendra Swati"/>
    <s v="other"/>
    <s v="Finance"/>
    <n v="30"/>
    <x v="61"/>
    <n v="64000"/>
    <s v="Average"/>
    <s v="INDIA"/>
    <n v="3.7726027397260276"/>
    <n v="1920"/>
    <n v="3"/>
  </r>
  <r>
    <s v="Teressa Udden"/>
    <s v="Female"/>
    <s v="Finance"/>
    <n v="33"/>
    <x v="62"/>
    <n v="65360"/>
    <s v="Average"/>
    <s v="NZ"/>
    <n v="5.0547945205479454"/>
    <n v="1961"/>
    <n v="3"/>
  </r>
  <r>
    <s v="Kevalkumar Solanki"/>
    <s v="Female"/>
    <s v="Finance"/>
    <n v="33"/>
    <x v="63"/>
    <n v="65360"/>
    <s v="Average"/>
    <s v="INDIA"/>
    <n v="5.2219178082191782"/>
    <n v="1961"/>
    <n v="3"/>
  </r>
  <r>
    <s v="Kath Bletsoe"/>
    <s v="Male"/>
    <s v="Sales"/>
    <n v="25"/>
    <x v="64"/>
    <n v="65700"/>
    <s v="Average"/>
    <s v="NZ"/>
    <n v="4.1890410958904107"/>
    <n v="1971"/>
    <n v="3"/>
  </r>
  <r>
    <s v="Abhaya Priyavardhan"/>
    <s v="Male"/>
    <s v="Sales"/>
    <n v="25"/>
    <x v="65"/>
    <n v="65700"/>
    <s v="Average"/>
    <s v="INDIA"/>
    <n v="4.3561643835616435"/>
    <n v="1971"/>
    <n v="3"/>
  </r>
  <r>
    <s v="Marney O'Breen"/>
    <s v="Female"/>
    <s v="Finance"/>
    <n v="21"/>
    <x v="66"/>
    <n v="65920"/>
    <s v="Average"/>
    <s v="NZ"/>
    <n v="4.3698630136986303"/>
    <n v="1978"/>
    <n v="3"/>
  </r>
  <r>
    <s v="Agrata Rajarama"/>
    <s v="Female"/>
    <s v="Finance"/>
    <n v="21"/>
    <x v="67"/>
    <n v="65920"/>
    <s v="Average"/>
    <s v="INDIA"/>
    <n v="4.536986301369863"/>
    <n v="1978"/>
    <n v="3"/>
  </r>
  <r>
    <s v="Husein Augar"/>
    <s v="Female"/>
    <s v="Finance"/>
    <n v="30"/>
    <x v="68"/>
    <n v="67910"/>
    <s v="Poor"/>
    <s v="NZ"/>
    <n v="4.1726027397260275"/>
    <n v="2038"/>
    <n v="2"/>
  </r>
  <r>
    <s v="Kantimoy Pritish"/>
    <s v="Female"/>
    <s v="Finance"/>
    <n v="30"/>
    <x v="69"/>
    <n v="67910"/>
    <s v="Poor"/>
    <s v="INDIA"/>
    <n v="4.3397260273972602"/>
    <n v="2038"/>
    <n v="2"/>
  </r>
  <r>
    <s v="Ebonee Roxburgh"/>
    <s v="Male"/>
    <s v="Procurement"/>
    <n v="30"/>
    <x v="24"/>
    <n v="67950"/>
    <s v="Average"/>
    <s v="NZ"/>
    <n v="3.3178082191780822"/>
    <n v="2039"/>
    <n v="3"/>
  </r>
  <r>
    <s v="Mahindra Sreedharan"/>
    <s v="Male"/>
    <s v="Procurement"/>
    <n v="30"/>
    <x v="25"/>
    <n v="67950"/>
    <s v="Average"/>
    <s v="INDIA"/>
    <n v="3.484931506849315"/>
    <n v="2039"/>
    <n v="3"/>
  </r>
  <r>
    <s v="Hyacinthie Braybrooke"/>
    <s v="Female"/>
    <s v="Sales"/>
    <n v="20"/>
    <x v="70"/>
    <n v="68900"/>
    <s v="Poor"/>
    <s v="NZ"/>
    <n v="3.7671232876712328"/>
    <n v="2067"/>
    <n v="2"/>
  </r>
  <r>
    <s v="Devasree Fullara Saurin"/>
    <s v="Female"/>
    <s v="Sales"/>
    <n v="20"/>
    <x v="71"/>
    <n v="68900"/>
    <s v="Poor"/>
    <s v="INDIA"/>
    <n v="3.9342465753424656"/>
    <n v="2067"/>
    <n v="2"/>
  </r>
  <r>
    <s v="Murry Dryburgh"/>
    <s v="Male"/>
    <s v="Website"/>
    <n v="37"/>
    <x v="24"/>
    <n v="69070"/>
    <s v="Average"/>
    <s v="NZ"/>
    <n v="3.3178082191780822"/>
    <n v="2073"/>
    <n v="3"/>
  </r>
  <r>
    <s v="Jaishree Atasi Yavatkar"/>
    <s v="Male"/>
    <s v="Website"/>
    <n v="37"/>
    <x v="25"/>
    <n v="69070"/>
    <s v="Average"/>
    <s v="INDIA"/>
    <n v="3.484931506849315"/>
    <n v="2073"/>
    <n v="3"/>
  </r>
  <r>
    <s v="Andria Kimpton"/>
    <s v="Male"/>
    <s v="Website"/>
    <n v="30"/>
    <x v="72"/>
    <n v="69120"/>
    <s v="Average"/>
    <s v="NZ"/>
    <n v="4.4904109589041097"/>
    <n v="2074"/>
    <n v="3"/>
  </r>
  <r>
    <s v="Rameshwari Chikodi"/>
    <s v="Male"/>
    <s v="Website"/>
    <n v="30"/>
    <x v="73"/>
    <n v="69120"/>
    <s v="Average"/>
    <s v="INDIA"/>
    <n v="4.6520547945205477"/>
    <n v="2074"/>
    <n v="3"/>
  </r>
  <r>
    <s v="Myer McCory"/>
    <s v="Male"/>
    <s v="Website"/>
    <n v="30"/>
    <x v="74"/>
    <n v="69710"/>
    <s v="Average"/>
    <s v="NZ"/>
    <n v="2.9095890410958902"/>
    <n v="2092"/>
    <n v="3"/>
  </r>
  <r>
    <s v="Shekhar Eswara"/>
    <s v="Male"/>
    <s v="Website"/>
    <n v="30"/>
    <x v="75"/>
    <n v="69710"/>
    <s v="Average"/>
    <s v="INDIA"/>
    <n v="3.0767123287671234"/>
    <n v="2092"/>
    <n v="3"/>
  </r>
  <r>
    <s v="Shayne Stegel"/>
    <s v="Male"/>
    <s v="Finance"/>
    <n v="42"/>
    <x v="76"/>
    <n v="70270"/>
    <s v="Poor"/>
    <s v="NZ"/>
    <n v="3.2356164383561645"/>
    <n v="2109"/>
    <n v="2"/>
  </r>
  <r>
    <s v="Chandana Sannidhi Surnilla"/>
    <s v="Male"/>
    <s v="Finance"/>
    <n v="42"/>
    <x v="77"/>
    <n v="70270"/>
    <s v="Poor"/>
    <s v="INDIA"/>
    <n v="3.4027397260273973"/>
    <n v="2109"/>
    <n v="2"/>
  </r>
  <r>
    <s v="Ambros Murthwaite"/>
    <s v="Male"/>
    <s v="Procurement"/>
    <n v="46"/>
    <x v="15"/>
    <n v="70610"/>
    <s v="Average"/>
    <s v="NZ"/>
    <n v="3.1616438356164385"/>
    <n v="2119"/>
    <n v="3"/>
  </r>
  <r>
    <s v="Ranajay Kailashnath Richa"/>
    <s v="Male"/>
    <s v="Procurement"/>
    <n v="46"/>
    <x v="78"/>
    <n v="70610"/>
    <s v="Average"/>
    <s v="INDIA"/>
    <n v="3.3287671232876712"/>
    <n v="2119"/>
    <n v="3"/>
  </r>
  <r>
    <s v="Bennie Pepis"/>
    <s v="Male"/>
    <s v="Finance"/>
    <n v="36"/>
    <x v="79"/>
    <n v="71380"/>
    <s v="Average"/>
    <s v="NZ"/>
    <n v="4.3260273972602743"/>
    <n v="2142"/>
    <n v="3"/>
  </r>
  <r>
    <s v="Kulbhushan Moorthy"/>
    <s v="Male"/>
    <s v="Finance"/>
    <n v="36"/>
    <x v="80"/>
    <n v="71380"/>
    <s v="Average"/>
    <s v="INDIA"/>
    <n v="4.493150684931507"/>
    <n v="2142"/>
    <n v="3"/>
  </r>
  <r>
    <s v="Gigi Bohling"/>
    <s v="Male"/>
    <s v="Sales"/>
    <n v="33"/>
    <x v="81"/>
    <n v="74550"/>
    <s v="Average"/>
    <s v="NZ"/>
    <n v="4.183561643835616"/>
    <n v="2237"/>
    <n v="3"/>
  </r>
  <r>
    <s v="Yauvani Tarpa"/>
    <s v="Male"/>
    <s v="Sales"/>
    <n v="33"/>
    <x v="82"/>
    <n v="74550"/>
    <s v="Average"/>
    <s v="INDIA"/>
    <n v="4.3506849315068497"/>
    <n v="2237"/>
    <n v="3"/>
  </r>
  <r>
    <s v="Barr Faughny"/>
    <s v="Female"/>
    <s v="Procurement"/>
    <n v="42"/>
    <x v="83"/>
    <n v="75000"/>
    <s v="Exceptional"/>
    <s v="NZ"/>
    <n v="3.1041095890410957"/>
    <n v="2250"/>
    <n v="5"/>
  </r>
  <r>
    <s v="Nanak Sapna"/>
    <s v="Female"/>
    <s v="Procurement"/>
    <n v="42"/>
    <x v="84"/>
    <n v="75000"/>
    <s v="Exceptional"/>
    <s v="INDIA"/>
    <n v="3.2712328767123289"/>
    <n v="2250"/>
    <n v="5"/>
  </r>
  <r>
    <s v="Elia Cockton"/>
    <s v="Female"/>
    <s v="Website"/>
    <n v="33"/>
    <x v="85"/>
    <n v="75280"/>
    <s v="Average"/>
    <s v="NZ"/>
    <n v="4.3835616438356162"/>
    <n v="2259"/>
    <n v="3"/>
  </r>
  <r>
    <s v="Hemavati Muthiah"/>
    <s v="Female"/>
    <s v="Website"/>
    <n v="33"/>
    <x v="86"/>
    <n v="75280"/>
    <s v="Average"/>
    <s v="INDIA"/>
    <n v="4.5452054794520551"/>
    <n v="2259"/>
    <n v="3"/>
  </r>
  <r>
    <s v="Camilla Castle"/>
    <s v="Female"/>
    <s v="Website"/>
    <n v="33"/>
    <x v="87"/>
    <n v="75480"/>
    <s v="Very poor"/>
    <s v="NZ"/>
    <n v="4.2136986301369861"/>
    <n v="2265"/>
    <n v="1"/>
  </r>
  <r>
    <s v="Ayog Chakrabarti"/>
    <s v="Female"/>
    <s v="Website"/>
    <n v="33"/>
    <x v="88"/>
    <n v="75480"/>
    <s v="Very poor"/>
    <s v="INDIA"/>
    <n v="4.3808219178082188"/>
    <n v="2265"/>
    <n v="1"/>
  </r>
  <r>
    <s v="Shari McNee"/>
    <s v="Male"/>
    <s v="HR"/>
    <n v="21"/>
    <x v="89"/>
    <n v="75880"/>
    <s v="Average"/>
    <s v="NZ"/>
    <n v="4.5753424657534243"/>
    <n v="2277"/>
    <n v="3"/>
  </r>
  <r>
    <s v="Sameer Shashank Sapra"/>
    <s v="Male"/>
    <s v="HR"/>
    <n v="21"/>
    <x v="90"/>
    <n v="75880"/>
    <s v="Average"/>
    <s v="INDIA"/>
    <n v="4.7452054794520544"/>
    <n v="2277"/>
    <n v="3"/>
  </r>
  <r>
    <s v="Beverie Moffet"/>
    <s v="Female"/>
    <s v="Finance"/>
    <n v="28"/>
    <x v="91"/>
    <n v="75970"/>
    <s v="Average"/>
    <s v="NZ"/>
    <n v="4.7315068493150685"/>
    <n v="2280"/>
    <n v="3"/>
  </r>
  <r>
    <s v="Indu Varada Sumedh"/>
    <s v="Female"/>
    <s v="Finance"/>
    <n v="28"/>
    <x v="92"/>
    <n v="75970"/>
    <s v="Average"/>
    <s v="INDIA"/>
    <n v="4.8986301369863012"/>
    <n v="2280"/>
    <n v="3"/>
  </r>
  <r>
    <s v="Virginia McConville"/>
    <s v="Female"/>
    <s v="Procurement"/>
    <n v="22"/>
    <x v="27"/>
    <n v="76900"/>
    <s v="Above average"/>
    <s v="NZ"/>
    <n v="4.0054794520547947"/>
    <n v="2307"/>
    <n v="4"/>
  </r>
  <r>
    <s v="Shreela Ramasubraman"/>
    <s v="Female"/>
    <s v="Procurement"/>
    <n v="22"/>
    <x v="93"/>
    <n v="76900"/>
    <s v="Above average"/>
    <s v="INDIA"/>
    <n v="4.1753424657534248"/>
    <n v="2307"/>
    <n v="4"/>
  </r>
  <r>
    <s v="Allene Gobbet"/>
    <s v="Female"/>
    <s v="Procurement"/>
    <n v="36"/>
    <x v="94"/>
    <n v="78390"/>
    <s v="Average"/>
    <s v="NZ"/>
    <n v="3.7890410958904108"/>
    <n v="2352"/>
    <n v="3"/>
  </r>
  <r>
    <s v="Rushil Kripa"/>
    <s v="Female"/>
    <s v="Procurement"/>
    <n v="36"/>
    <x v="95"/>
    <n v="78390"/>
    <s v="Average"/>
    <s v="INDIA"/>
    <n v="3.956164383561644"/>
    <n v="2352"/>
    <n v="3"/>
  </r>
  <r>
    <s v="Gray Seamon"/>
    <s v="Female"/>
    <s v="Sales"/>
    <n v="36"/>
    <x v="96"/>
    <n v="78540"/>
    <s v="Average"/>
    <s v="NZ"/>
    <n v="3.8849315068493149"/>
    <n v="2357"/>
    <n v="3"/>
  </r>
  <r>
    <s v="Shulabh Qutub Sundaramoorthy"/>
    <s v="Female"/>
    <s v="Sales"/>
    <n v="36"/>
    <x v="97"/>
    <n v="78540"/>
    <s v="Average"/>
    <s v="INDIA"/>
    <n v="4.0520547945205481"/>
    <n v="2357"/>
    <n v="3"/>
  </r>
  <r>
    <s v="Kellsie Waby"/>
    <s v="Male"/>
    <s v="Procurement"/>
    <n v="20"/>
    <x v="98"/>
    <n v="79570"/>
    <s v="Average"/>
    <s v="NZ"/>
    <n v="3.2"/>
    <n v="2388"/>
    <n v="3"/>
  </r>
  <r>
    <s v="Udyan Lanka"/>
    <s v="Male"/>
    <s v="Procurement"/>
    <n v="20"/>
    <x v="99"/>
    <n v="79570"/>
    <s v="Average"/>
    <s v="INDIA"/>
    <n v="3.3671232876712329"/>
    <n v="2388"/>
    <n v="3"/>
  </r>
  <r>
    <s v="Van Tuxwell"/>
    <s v="Female"/>
    <s v="Website"/>
    <n v="25"/>
    <x v="100"/>
    <n v="80700"/>
    <s v="Above average"/>
    <s v="NZ"/>
    <n v="3.3369863013698629"/>
    <n v="2421"/>
    <n v="4"/>
  </r>
  <r>
    <s v="Bhuvan Pals"/>
    <s v="Female"/>
    <s v="Website"/>
    <n v="25"/>
    <x v="101"/>
    <n v="80700"/>
    <s v="Above average"/>
    <s v="INDIA"/>
    <n v="3.504109589041096"/>
    <n v="2421"/>
    <n v="4"/>
  </r>
  <r>
    <s v="Agnes Collicott"/>
    <s v="Female"/>
    <s v="Website"/>
    <n v="27"/>
    <x v="102"/>
    <n v="83750"/>
    <s v="Average"/>
    <s v="NZ"/>
    <n v="3.3589041095890413"/>
    <n v="2513"/>
    <n v="3"/>
  </r>
  <r>
    <s v="Kunja Prashanta Vibha"/>
    <s v="Female"/>
    <s v="Website"/>
    <n v="27"/>
    <x v="103"/>
    <n v="83750"/>
    <s v="Average"/>
    <s v="INDIA"/>
    <n v="3.526027397260274"/>
    <n v="2513"/>
    <n v="3"/>
  </r>
  <r>
    <s v="Karlen McCaffrey"/>
    <s v="Female"/>
    <s v="Finance"/>
    <n v="34"/>
    <x v="104"/>
    <n v="85000"/>
    <s v="Average"/>
    <s v="NZ"/>
    <n v="3.9808219178082194"/>
    <n v="2550"/>
    <n v="3"/>
  </r>
  <r>
    <s v="Tarala Vishaal"/>
    <s v="Female"/>
    <s v="Finance"/>
    <n v="34"/>
    <x v="105"/>
    <n v="85000"/>
    <s v="Average"/>
    <s v="INDIA"/>
    <n v="4.1506849315068495"/>
    <n v="2550"/>
    <n v="3"/>
  </r>
  <r>
    <s v="Sibyl Dunkirk"/>
    <s v="Female"/>
    <s v="Finance"/>
    <n v="33"/>
    <x v="106"/>
    <n v="86570"/>
    <s v="Average"/>
    <s v="NZ"/>
    <n v="3.021917808219178"/>
    <n v="2598"/>
    <n v="3"/>
  </r>
  <r>
    <s v="Madhumati Gazala Soumitra"/>
    <s v="Female"/>
    <s v="Finance"/>
    <n v="33"/>
    <x v="107"/>
    <n v="86570"/>
    <s v="Average"/>
    <s v="INDIA"/>
    <n v="3.1917808219178081"/>
    <n v="2598"/>
    <n v="3"/>
  </r>
  <r>
    <s v="Merrilee Plenty"/>
    <s v="Female"/>
    <s v="Website"/>
    <n v="40"/>
    <x v="108"/>
    <n v="87620"/>
    <s v="Average"/>
    <s v="NZ"/>
    <n v="4.3150684931506849"/>
    <n v="2629"/>
    <n v="3"/>
  </r>
  <r>
    <s v="Godavari Veena"/>
    <s v="Female"/>
    <s v="Website"/>
    <n v="40"/>
    <x v="109"/>
    <n v="87620"/>
    <s v="Average"/>
    <s v="INDIA"/>
    <n v="4.4821917808219176"/>
    <n v="2629"/>
    <n v="3"/>
  </r>
  <r>
    <s v="Ches Bonnell"/>
    <s v="Male"/>
    <s v="Website"/>
    <n v="37"/>
    <x v="110"/>
    <n v="88050"/>
    <s v="Poor"/>
    <s v="NZ"/>
    <n v="4.3123287671232875"/>
    <n v="2642"/>
    <n v="2"/>
  </r>
  <r>
    <s v="Gangadutt Ragha"/>
    <s v="Male"/>
    <s v="Website"/>
    <n v="37"/>
    <x v="51"/>
    <n v="88050"/>
    <s v="Poor"/>
    <s v="INDIA"/>
    <n v="4.4794520547945202"/>
    <n v="2642"/>
    <n v="2"/>
  </r>
  <r>
    <s v="Dennison Crosswaite"/>
    <s v="other"/>
    <s v="Website"/>
    <n v="26"/>
    <x v="111"/>
    <n v="90700"/>
    <s v="Above average"/>
    <s v="NZ"/>
    <n v="4.4958904109589044"/>
    <n v="2721"/>
    <n v="4"/>
  </r>
  <r>
    <s v="Karuna Pashupathy"/>
    <s v="other"/>
    <s v="Website"/>
    <n v="27"/>
    <x v="112"/>
    <n v="90700"/>
    <s v="Above average"/>
    <s v="INDIA"/>
    <n v="4.6575342465753424"/>
    <n v="2721"/>
    <n v="4"/>
  </r>
  <r>
    <s v="Madge McCloughen"/>
    <s v="other"/>
    <s v="Website"/>
    <n v="32"/>
    <x v="113"/>
    <n v="91310"/>
    <s v="Average"/>
    <s v="NZ"/>
    <n v="3.117808219178082"/>
    <n v="2740"/>
    <n v="3"/>
  </r>
  <r>
    <s v="Rukma Vinita"/>
    <s v="other"/>
    <s v="Website"/>
    <n v="32"/>
    <x v="114"/>
    <n v="91310"/>
    <s v="Average"/>
    <s v="INDIA"/>
    <n v="3.2849315068493152"/>
    <n v="2740"/>
    <n v="3"/>
  </r>
  <r>
    <s v="Enoch Dowrey"/>
    <s v="Male"/>
    <s v="Finance"/>
    <n v="27"/>
    <x v="115"/>
    <n v="91650"/>
    <s v="Above average"/>
    <s v="NZ"/>
    <n v="4.5917808219178085"/>
    <n v="2750"/>
    <n v="4"/>
  </r>
  <r>
    <s v="Kamalakshi Mukundan"/>
    <s v="Male"/>
    <s v="Finance"/>
    <n v="27"/>
    <x v="116"/>
    <n v="91650"/>
    <s v="Above average"/>
    <s v="INDIA"/>
    <n v="4.7616438356164386"/>
    <n v="2750"/>
    <n v="4"/>
  </r>
  <r>
    <s v="Leilah Yesinin"/>
    <s v="Female"/>
    <s v="Finance"/>
    <n v="34"/>
    <x v="117"/>
    <n v="92450"/>
    <s v="Average"/>
    <s v="NZ"/>
    <n v="4.0191780821917806"/>
    <n v="2774"/>
    <n v="3"/>
  </r>
  <r>
    <s v="Deepit Ranjana"/>
    <s v="Female"/>
    <s v="Finance"/>
    <n v="34"/>
    <x v="64"/>
    <n v="92450"/>
    <s v="Average"/>
    <s v="INDIA"/>
    <n v="4.1890410958904107"/>
    <n v="2774"/>
    <n v="3"/>
  </r>
  <r>
    <s v="Hinda Label"/>
    <s v="Female"/>
    <s v="Sales"/>
    <n v="25"/>
    <x v="118"/>
    <n v="92700"/>
    <s v="Average"/>
    <s v="NZ"/>
    <n v="4.6767123287671231"/>
    <n v="2781"/>
    <n v="3"/>
  </r>
  <r>
    <s v="Purnendu Vijayarangan"/>
    <s v="Female"/>
    <s v="Sales"/>
    <n v="25"/>
    <x v="119"/>
    <n v="92700"/>
    <s v="Average"/>
    <s v="INDIA"/>
    <n v="4.8438356164383558"/>
    <n v="2781"/>
    <n v="3"/>
  </r>
  <r>
    <s v="Torrance Collier"/>
    <s v="Female"/>
    <s v="Website"/>
    <n v="33"/>
    <x v="120"/>
    <n v="96140"/>
    <s v="Average"/>
    <s v="NZ"/>
    <n v="4.7178082191780826"/>
    <n v="2885"/>
    <n v="3"/>
  </r>
  <r>
    <s v="Sukhdev Nageshwar"/>
    <s v="Female"/>
    <s v="Website"/>
    <n v="33"/>
    <x v="121"/>
    <n v="96140"/>
    <s v="Average"/>
    <s v="INDIA"/>
    <n v="4.8849315068493153"/>
    <n v="2885"/>
    <n v="3"/>
  </r>
  <r>
    <s v="Constantino Espley"/>
    <s v="Male"/>
    <s v="Finance"/>
    <n v="30"/>
    <x v="122"/>
    <n v="96800"/>
    <s v="Average"/>
    <s v="NZ"/>
    <n v="3.5780821917808221"/>
    <n v="2904"/>
    <n v="3"/>
  </r>
  <r>
    <s v="Mithil Nadkarni"/>
    <s v="Male"/>
    <s v="Finance"/>
    <n v="30"/>
    <x v="123"/>
    <n v="96800"/>
    <s v="Average"/>
    <s v="INDIA"/>
    <n v="3.7479452054794522"/>
    <n v="2904"/>
    <n v="3"/>
  </r>
  <r>
    <s v="Simon Kembery"/>
    <s v="Male"/>
    <s v="Procurement"/>
    <n v="40"/>
    <x v="124"/>
    <n v="99750"/>
    <s v="Average"/>
    <s v="NZ"/>
    <n v="4.5178082191780824"/>
    <n v="2993"/>
    <n v="3"/>
  </r>
  <r>
    <s v="Baruna Ogale"/>
    <s v="Male"/>
    <s v="Procurement"/>
    <n v="40"/>
    <x v="125"/>
    <n v="99750"/>
    <s v="Average"/>
    <s v="INDIA"/>
    <n v="4.6794520547945204"/>
    <n v="2993"/>
    <n v="3"/>
  </r>
  <r>
    <s v="Bernie Gorges"/>
    <s v="Female"/>
    <s v="Procurement"/>
    <n v="28"/>
    <x v="126"/>
    <n v="99970"/>
    <s v="Average"/>
    <s v="NZ"/>
    <n v="3.5123287671232877"/>
    <n v="3000"/>
    <n v="3"/>
  </r>
  <r>
    <s v="Vasu Nandin"/>
    <s v="Female"/>
    <s v="Procurement"/>
    <n v="28"/>
    <x v="127"/>
    <n v="99970"/>
    <s v="Average"/>
    <s v="INDIA"/>
    <n v="3.6739726027397261"/>
    <n v="3000"/>
    <n v="3"/>
  </r>
  <r>
    <s v="Collin Jagson"/>
    <s v="Male"/>
    <s v="Website"/>
    <n v="24"/>
    <x v="102"/>
    <n v="100420"/>
    <s v="Average"/>
    <s v="NZ"/>
    <n v="3.3589041095890413"/>
    <n v="3013"/>
    <n v="3"/>
  </r>
  <r>
    <s v="Amlankusum Rajabhushan"/>
    <s v="Male"/>
    <s v="Website"/>
    <n v="24"/>
    <x v="103"/>
    <n v="100420"/>
    <s v="Average"/>
    <s v="INDIA"/>
    <n v="3.526027397260274"/>
    <n v="3013"/>
    <n v="3"/>
  </r>
  <r>
    <s v="Dyna Doucette"/>
    <s v="Male"/>
    <s v="Procurement"/>
    <n v="31"/>
    <x v="128"/>
    <n v="103550"/>
    <s v="Average"/>
    <s v="NZ"/>
    <n v="3.2547945205479452"/>
    <n v="3107"/>
    <n v="3"/>
  </r>
  <r>
    <s v="Satyendra Venkatadri"/>
    <s v="Male"/>
    <s v="Procurement"/>
    <n v="31"/>
    <x v="47"/>
    <n v="103550"/>
    <s v="Average"/>
    <s v="INDIA"/>
    <n v="3.4219178082191779"/>
    <n v="3107"/>
    <n v="3"/>
  </r>
  <r>
    <s v="Cherlyn Barter"/>
    <s v="Female"/>
    <s v="Procurement"/>
    <n v="28"/>
    <x v="129"/>
    <n v="104120"/>
    <s v="Average"/>
    <s v="NZ"/>
    <n v="3.4602739726027396"/>
    <n v="3124"/>
    <n v="3"/>
  </r>
  <r>
    <s v="Sartaj Probal"/>
    <s v="Female"/>
    <s v="Procurement"/>
    <n v="28"/>
    <x v="130"/>
    <n v="104120"/>
    <s v="Average"/>
    <s v="INDIA"/>
    <n v="3.6219178082191781"/>
    <n v="3124"/>
    <n v="3"/>
  </r>
  <r>
    <s v="Caro Chappel"/>
    <s v="Female"/>
    <s v="Website"/>
    <n v="40"/>
    <x v="131"/>
    <n v="104410"/>
    <s v="Average"/>
    <s v="NZ"/>
    <n v="4.1945205479452055"/>
    <n v="3133"/>
    <n v="3"/>
  </r>
  <r>
    <s v="Manjusri Ruchi"/>
    <s v="Female"/>
    <s v="Website"/>
    <n v="40"/>
    <x v="132"/>
    <n v="104410"/>
    <s v="Average"/>
    <s v="INDIA"/>
    <n v="4.3616438356164382"/>
    <n v="3133"/>
    <n v="3"/>
  </r>
  <r>
    <s v="Janene Hairsine"/>
    <s v="Female"/>
    <s v="Procurement"/>
    <n v="28"/>
    <x v="133"/>
    <n v="104770"/>
    <s v="Average"/>
    <s v="NZ"/>
    <n v="3.9068493150684933"/>
    <n v="3144"/>
    <n v="3"/>
  </r>
  <r>
    <s v="Shevantilal Muppala"/>
    <s v="Female"/>
    <s v="Procurement"/>
    <n v="28"/>
    <x v="134"/>
    <n v="104770"/>
    <s v="Average"/>
    <s v="INDIA"/>
    <n v="4.0739726027397261"/>
    <n v="3144"/>
    <n v="3"/>
  </r>
  <r>
    <s v="Kissiah Maydway"/>
    <s v="Male"/>
    <s v="Procurement"/>
    <n v="23"/>
    <x v="135"/>
    <n v="106460"/>
    <s v="Average"/>
    <s v="NZ"/>
    <n v="4.0328767123287674"/>
    <n v="3194"/>
    <n v="3"/>
  </r>
  <r>
    <s v="Sahas Sanabhi Shrikant"/>
    <s v="Male"/>
    <s v="Procurement"/>
    <n v="23"/>
    <x v="136"/>
    <n v="106460"/>
    <s v="Average"/>
    <s v="INDIA"/>
    <n v="4.2027397260273975"/>
    <n v="3194"/>
    <n v="3"/>
  </r>
  <r>
    <s v="Kaine Padly"/>
    <s v="Male"/>
    <s v="Website"/>
    <n v="20"/>
    <x v="104"/>
    <n v="107700"/>
    <s v="Average"/>
    <s v="NZ"/>
    <n v="3.9808219178082194"/>
    <n v="3231"/>
    <n v="3"/>
  </r>
  <r>
    <s v="Hridaynath Tendulkar"/>
    <s v="Male"/>
    <s v="Website"/>
    <n v="20"/>
    <x v="105"/>
    <n v="107700"/>
    <s v="Average"/>
    <s v="INDIA"/>
    <n v="4.1506849315068495"/>
    <n v="3231"/>
    <n v="3"/>
  </r>
  <r>
    <s v="Rafaelita Blaksland"/>
    <s v="Female"/>
    <s v="Sales"/>
    <n v="38"/>
    <x v="137"/>
    <n v="109160"/>
    <s v="Exceptional"/>
    <s v="NZ"/>
    <n v="4.2054794520547949"/>
    <n v="3275"/>
    <n v="5"/>
  </r>
  <r>
    <s v="Sawini Chandan"/>
    <s v="Female"/>
    <s v="Sales"/>
    <n v="38"/>
    <x v="138"/>
    <n v="109160"/>
    <s v="Exceptional"/>
    <s v="INDIA"/>
    <n v="4.3726027397260276"/>
    <n v="3275"/>
    <n v="5"/>
  </r>
  <r>
    <s v="Madelene Upcott"/>
    <s v="Male"/>
    <s v="Procurement"/>
    <n v="25"/>
    <x v="139"/>
    <n v="109190"/>
    <s v="Above average"/>
    <s v="NZ"/>
    <n v="3.2493150684931509"/>
    <n v="3276"/>
    <n v="4"/>
  </r>
  <r>
    <s v="Damayanti Thangavadivelu"/>
    <s v="Male"/>
    <s v="Procurement"/>
    <n v="25"/>
    <x v="140"/>
    <n v="109190"/>
    <s v="Above average"/>
    <s v="INDIA"/>
    <n v="3.4164383561643836"/>
    <n v="3276"/>
    <n v="4"/>
  </r>
  <r>
    <s v="Bev Lashley"/>
    <s v="Male"/>
    <s v="Website"/>
    <n v="29"/>
    <x v="90"/>
    <n v="112110"/>
    <s v="Poor"/>
    <s v="NZ"/>
    <n v="4.7452054794520544"/>
    <n v="3364"/>
    <n v="2"/>
  </r>
  <r>
    <s v="Narois Motiwala"/>
    <s v="Male"/>
    <s v="Website"/>
    <n v="29"/>
    <x v="141"/>
    <n v="112110"/>
    <s v="Poor"/>
    <s v="INDIA"/>
    <n v="4.912328767123288"/>
    <n v="3364"/>
    <n v="2"/>
  </r>
  <r>
    <s v="Halimeda Kuscha"/>
    <s v="Female"/>
    <s v="Procurement"/>
    <n v="30"/>
    <x v="142"/>
    <n v="112570"/>
    <s v="Average"/>
    <s v="NZ"/>
    <n v="2.8794520547945206"/>
    <n v="3378"/>
    <n v="3"/>
  </r>
  <r>
    <s v="Makshi Vinutha"/>
    <s v="Female"/>
    <s v="Procurement"/>
    <n v="30"/>
    <x v="143"/>
    <n v="112570"/>
    <s v="Average"/>
    <s v="INDIA"/>
    <n v="3.0465753424657533"/>
    <n v="3378"/>
    <n v="3"/>
  </r>
  <r>
    <s v="Mollie Hanway"/>
    <s v="Male"/>
    <s v="Website"/>
    <n v="20"/>
    <x v="144"/>
    <n v="112650"/>
    <s v="Average"/>
    <s v="NZ"/>
    <n v="4.7369863013698632"/>
    <n v="3380"/>
    <n v="3"/>
  </r>
  <r>
    <s v="Deepali Charan"/>
    <s v="Male"/>
    <s v="Website"/>
    <n v="20"/>
    <x v="145"/>
    <n v="112650"/>
    <s v="Average"/>
    <s v="INDIA"/>
    <n v="4.904109589041096"/>
    <n v="3380"/>
    <n v="3"/>
  </r>
  <r>
    <s v="Bandhula Sathyanna"/>
    <s v="Male"/>
    <s v="Procurement"/>
    <n v="34"/>
    <x v="146"/>
    <n v="112650"/>
    <s v="Average"/>
    <s v="INDIA"/>
    <n v="3.4794520547945207"/>
    <n v="3380"/>
    <n v="3"/>
  </r>
  <r>
    <s v="Lindy Guillet"/>
    <s v="Male"/>
    <s v="Sales"/>
    <n v="22"/>
    <x v="147"/>
    <n v="112780"/>
    <s v="Above average"/>
    <s v="NZ"/>
    <n v="4.0164383561643833"/>
    <n v="3384"/>
    <n v="4"/>
  </r>
  <r>
    <s v="Krishnakanta Vellanki"/>
    <s v="Male"/>
    <s v="Sales"/>
    <n v="22"/>
    <x v="148"/>
    <n v="112780"/>
    <s v="Above average"/>
    <s v="INDIA"/>
    <n v="4.1863013698630134"/>
    <n v="3384"/>
    <n v="4"/>
  </r>
  <r>
    <s v="Mahalia Larcher"/>
    <s v="Male"/>
    <s v="Procurement"/>
    <n v="27"/>
    <x v="149"/>
    <n v="113280"/>
    <s v="Very poor"/>
    <s v="NZ"/>
    <n v="3.56986301369863"/>
    <n v="3399"/>
    <n v="1"/>
  </r>
  <r>
    <s v="Ilesh Dasgupta"/>
    <s v="Male"/>
    <s v="Procurement"/>
    <n v="27"/>
    <x v="150"/>
    <n v="113280"/>
    <s v="Very poor"/>
    <s v="INDIA"/>
    <n v="3.7397260273972601"/>
    <n v="3399"/>
    <n v="1"/>
  </r>
  <r>
    <s v="Hogan Iles"/>
    <s v="Female"/>
    <s v="Procurement"/>
    <n v="30"/>
    <x v="74"/>
    <n v="114180"/>
    <s v="Average"/>
    <s v="NZ"/>
    <n v="2.9095890410958902"/>
    <n v="3426"/>
    <n v="3"/>
  </r>
  <r>
    <s v="Sarojini Naueshwara"/>
    <s v="Female"/>
    <s v="Procurement"/>
    <n v="30"/>
    <x v="75"/>
    <n v="114180"/>
    <s v="Average"/>
    <s v="INDIA"/>
    <n v="3.0767123287671234"/>
    <n v="3426"/>
    <n v="3"/>
  </r>
  <r>
    <s v="Wilone O'Kielt"/>
    <s v="Female"/>
    <s v="Website"/>
    <n v="43"/>
    <x v="151"/>
    <n v="114870"/>
    <s v="Average"/>
    <s v="NZ"/>
    <n v="2.3753424657534246"/>
    <n v="3447"/>
    <n v="3"/>
  </r>
  <r>
    <s v="Ramnath Ravuri"/>
    <s v="Female"/>
    <s v="Website"/>
    <n v="44"/>
    <x v="152"/>
    <n v="114870"/>
    <s v="Average"/>
    <s v="INDIA"/>
    <n v="2.5397260273972604"/>
    <n v="3447"/>
    <n v="3"/>
  </r>
  <r>
    <s v="Tracy Renad"/>
    <s v="Female"/>
    <s v="Procurement"/>
    <n v="36"/>
    <x v="153"/>
    <n v="114890"/>
    <s v="Average"/>
    <s v="NZ"/>
    <n v="5.0054794520547947"/>
    <n v="3447"/>
    <n v="3"/>
  </r>
  <r>
    <s v="Dhruv Manjunath"/>
    <s v="Female"/>
    <s v="Procurement"/>
    <n v="36"/>
    <x v="2"/>
    <n v="114890"/>
    <s v="Average"/>
    <s v="INDIA"/>
    <n v="5.1753424657534248"/>
    <n v="3447"/>
    <n v="3"/>
  </r>
  <r>
    <s v="Benny Karolovsky"/>
    <s v="other"/>
    <s v="Finance"/>
    <n v="37"/>
    <x v="154"/>
    <n v="115440"/>
    <s v="Poor"/>
    <s v="NZ"/>
    <n v="4.838356164383562"/>
    <n v="3464"/>
    <n v="2"/>
  </r>
  <r>
    <s v="Sahila Chandrasekhar"/>
    <s v="other"/>
    <s v="Finance"/>
    <n v="37"/>
    <x v="153"/>
    <n v="115440"/>
    <s v="Poor"/>
    <s v="INDIA"/>
    <n v="5.0054794520547947"/>
    <n v="3464"/>
    <n v="2"/>
  </r>
  <r>
    <s v="Roddy Speechley"/>
    <s v="Male"/>
    <s v="Procurement"/>
    <n v="33"/>
    <x v="21"/>
    <n v="115920"/>
    <s v="Average"/>
    <s v="NZ"/>
    <n v="4.7890410958904113"/>
    <n v="3478"/>
    <n v="3"/>
  </r>
  <r>
    <s v="Sarayu Ragunathan"/>
    <s v="Male"/>
    <s v="Procurement"/>
    <n v="33"/>
    <x v="155"/>
    <n v="115920"/>
    <s v="Average"/>
    <s v="INDIA"/>
    <n v="4.956164383561644"/>
    <n v="3478"/>
    <n v="3"/>
  </r>
  <r>
    <s v="Valentia Etteridge"/>
    <s v="Female"/>
    <s v="HR"/>
    <n v="37"/>
    <x v="156"/>
    <n v="118100"/>
    <s v="Average"/>
    <s v="NZ"/>
    <n v="4.0027397260273974"/>
    <n v="3543"/>
    <n v="3"/>
  </r>
  <r>
    <s v="Kaishori Harathi Kateel"/>
    <s v="Female"/>
    <s v="HR"/>
    <n v="37"/>
    <x v="68"/>
    <n v="118100"/>
    <s v="Average"/>
    <s v="INDIA"/>
    <n v="4.1726027397260275"/>
    <n v="3543"/>
    <n v="3"/>
  </r>
  <r>
    <s v="Tawnya Tickel"/>
    <s v="Male"/>
    <s v="Website"/>
    <n v="36"/>
    <x v="157"/>
    <n v="118840"/>
    <s v="Average"/>
    <s v="NZ"/>
    <n v="5.1863013698630134"/>
    <n v="3566"/>
    <n v="3"/>
  </r>
  <r>
    <s v="Heer Pennathur"/>
    <s v="Male"/>
    <s v="Website"/>
    <n v="36"/>
    <x v="158"/>
    <n v="118840"/>
    <s v="Average"/>
    <s v="INDIA"/>
    <n v="5.353424657534247"/>
    <n v="3566"/>
    <n v="3"/>
  </r>
  <r>
    <s v="Ewart Laphorn"/>
    <s v="Female"/>
    <s v="HR"/>
    <n v="27"/>
    <x v="145"/>
    <n v="119110"/>
    <s v="Average"/>
    <s v="NZ"/>
    <n v="4.904109589041096"/>
    <n v="3574"/>
    <n v="3"/>
  </r>
  <r>
    <s v="Anjushri Chandiramani"/>
    <s v="Female"/>
    <s v="HR"/>
    <n v="27"/>
    <x v="159"/>
    <n v="119110"/>
    <s v="Average"/>
    <s v="INDIA"/>
    <n v="5.0712328767123287"/>
    <n v="3574"/>
    <n v="3"/>
  </r>
  <r>
    <m/>
    <m/>
    <m/>
    <m/>
    <x v="160"/>
    <m/>
    <m/>
    <m/>
    <m/>
    <m/>
    <m/>
  </r>
  <r>
    <m/>
    <m/>
    <m/>
    <m/>
    <x v="16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068077-6D90-4320-B3B0-2001656F52D0}" name="PivotTable7" cacheId="1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C39" firstHeaderRow="1" firstDataRow="1" firstDataCol="1"/>
  <pivotFields count="14">
    <pivotField dataField="1" showAll="0"/>
    <pivotField showAll="0"/>
    <pivotField showAll="0"/>
    <pivotField showAll="0"/>
    <pivotField showAll="0">
      <items count="162">
        <item x="158"/>
        <item x="3"/>
        <item x="23"/>
        <item x="63"/>
        <item x="157"/>
        <item x="2"/>
        <item x="22"/>
        <item x="7"/>
        <item x="159"/>
        <item x="62"/>
        <item x="43"/>
        <item x="13"/>
        <item x="153"/>
        <item x="59"/>
        <item x="155"/>
        <item x="6"/>
        <item x="141"/>
        <item x="145"/>
        <item x="92"/>
        <item x="121"/>
        <item x="42"/>
        <item x="119"/>
        <item x="12"/>
        <item x="154"/>
        <item x="58"/>
        <item x="21"/>
        <item x="116"/>
        <item x="90"/>
        <item x="54"/>
        <item x="144"/>
        <item x="91"/>
        <item x="120"/>
        <item x="125"/>
        <item x="118"/>
        <item x="112"/>
        <item x="73"/>
        <item x="52"/>
        <item x="20"/>
        <item x="115"/>
        <item x="89"/>
        <item x="53"/>
        <item x="86"/>
        <item x="67"/>
        <item x="124"/>
        <item x="45"/>
        <item x="111"/>
        <item x="80"/>
        <item x="72"/>
        <item x="109"/>
        <item x="51"/>
        <item x="17"/>
        <item x="35"/>
        <item x="85"/>
        <item x="88"/>
        <item x="138"/>
        <item x="66"/>
        <item x="132"/>
        <item x="65"/>
        <item x="82"/>
        <item x="69"/>
        <item x="44"/>
        <item x="79"/>
        <item x="108"/>
        <item x="110"/>
        <item x="19"/>
        <item x="39"/>
        <item x="16"/>
        <item x="34"/>
        <item x="87"/>
        <item x="33"/>
        <item x="137"/>
        <item x="136"/>
        <item x="131"/>
        <item x="64"/>
        <item x="148"/>
        <item x="81"/>
        <item x="93"/>
        <item x="68"/>
        <item x="105"/>
        <item x="18"/>
        <item x="38"/>
        <item x="37"/>
        <item x="134"/>
        <item x="97"/>
        <item x="32"/>
        <item x="135"/>
        <item x="117"/>
        <item x="147"/>
        <item x="41"/>
        <item x="27"/>
        <item x="156"/>
        <item x="104"/>
        <item x="36"/>
        <item x="95"/>
        <item x="71"/>
        <item x="133"/>
        <item x="96"/>
        <item x="29"/>
        <item x="40"/>
        <item x="26"/>
        <item x="94"/>
        <item x="61"/>
        <item x="70"/>
        <item x="123"/>
        <item x="150"/>
        <item x="11"/>
        <item x="56"/>
        <item x="5"/>
        <item x="28"/>
        <item x="127"/>
        <item x="130"/>
        <item x="50"/>
        <item x="60"/>
        <item x="48"/>
        <item x="122"/>
        <item x="57"/>
        <item x="149"/>
        <item x="10"/>
        <item x="55"/>
        <item x="1"/>
        <item x="4"/>
        <item x="103"/>
        <item x="126"/>
        <item x="101"/>
        <item x="25"/>
        <item x="146"/>
        <item x="129"/>
        <item x="49"/>
        <item x="31"/>
        <item x="47"/>
        <item x="140"/>
        <item x="9"/>
        <item x="77"/>
        <item x="0"/>
        <item x="99"/>
        <item x="102"/>
        <item x="100"/>
        <item x="78"/>
        <item x="24"/>
        <item x="114"/>
        <item x="84"/>
        <item x="30"/>
        <item x="128"/>
        <item x="139"/>
        <item x="8"/>
        <item x="76"/>
        <item x="98"/>
        <item x="107"/>
        <item x="15"/>
        <item x="46"/>
        <item x="113"/>
        <item x="83"/>
        <item x="75"/>
        <item x="143"/>
        <item x="106"/>
        <item x="14"/>
        <item x="74"/>
        <item x="142"/>
        <item x="152"/>
        <item x="151"/>
        <item x="160"/>
        <item t="default"/>
      </items>
    </pivotField>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h="1" sd="0" x="0"/>
        <item x="1"/>
        <item x="2"/>
        <item x="3"/>
        <item x="4"/>
        <item sd="0" x="5"/>
        <item t="default"/>
      </items>
    </pivotField>
  </pivotFields>
  <rowFields count="2">
    <field x="13"/>
    <field x="11"/>
  </rowFields>
  <rowItems count="37">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i t="grand">
      <x/>
    </i>
  </rowItems>
  <colItems count="1">
    <i/>
  </colItems>
  <dataFields count="1">
    <dataField name="Count of Name" fld="0" subtotal="count" showDataAs="runTotal" baseField="11"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A87919-3429-4D83-A891-EBB9454F99E8}" name="PivotTable10" cacheId="1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E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1D1DA1-DECD-4243-8A07-FD8DDD44B292}" name="PivotTable8" cacheId="1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IA]" cap="INDIA"/>
  </pageFields>
  <dataFields count="1">
    <dataField name="Count of Name" fld="2" subtotal="count"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134A32-87C8-4B83-B195-2A75ED02F343}" name="PivotTable3"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70"/>
  </dataFields>
  <formats count="2">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A9F480-4C09-49CD-8759-7C066C33446B}" name="PivotTable2" cacheId="12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4"/>
    <dataField name="Average of Tenure" fld="4" subtotal="average" baseField="0" baseItem="0" numFmtId="164"/>
  </dataFields>
  <pivotHierarchies count="19">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IA]"/>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97997F5-8A2D-4062-B0B4-A77DB18ECBD6}"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10" dataBound="0" tableColumnId="10"/>
      <queryTableField id="11" dataBound="0" tableColumnId="11"/>
      <queryTableField id="12"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30DC065-4738-4E5E-93C8-D803270A6011}" sourceName="[staff].[country]">
  <pivotTables>
    <pivotTable tabId="7" name="PivotTable2"/>
  </pivotTables>
  <data>
    <olap pivotCacheId="45811703">
      <levels count="2">
        <level uniqueName="[staff].[country].[(All)]" sourceCaption="(All)" count="0"/>
        <level uniqueName="[staff].[country].[country]" sourceCaption="country" count="2">
          <ranges>
            <range startItem="0">
              <i n="[staff].[country].&amp;[INDIA]" c="INDIA"/>
              <i n="[staff].[country].&amp;[NZ]" c="NZ"/>
            </range>
          </ranges>
        </level>
      </levels>
      <selections count="1">
        <selection n="[staff].[country].&amp;[IND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69C3686-C19B-48D6-8080-B05AFAF06D63}" cache="Slicer_country" caption="country" level="1" rowHeight="257175"/>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1B0AE6-0FEB-45E2-A68D-36B37553A530}" name="nz_staff" displayName="nz_staff" ref="A1:G102" totalsRowCount="1" totalsRowDxfId="18">
  <autoFilter ref="A1:G101" xr:uid="{741B0AE6-0FEB-45E2-A68D-36B37553A530}"/>
  <tableColumns count="7">
    <tableColumn id="1" xr3:uid="{24FEF05D-5143-4947-913F-ACD5E0FEFBED}" name="Name" totalsRowLabel="Total" totalsRowDxfId="17"/>
    <tableColumn id="2" xr3:uid="{CBA3ED3C-0036-4404-AD19-D43D89226E45}" name="Gender" totalsRowDxfId="16"/>
    <tableColumn id="3" xr3:uid="{4A046B18-651E-4E0C-8ACD-F57A72B5A446}" name="Department" totalsRowDxfId="15"/>
    <tableColumn id="4" xr3:uid="{001C2EAD-7694-404A-B17A-24947299277F}" name="Age" totalsRowFunction="average" totalsRowDxfId="14"/>
    <tableColumn id="5" xr3:uid="{E5609C10-7CC6-43A9-B0BB-4C2D8BEB6455}" name="Date Joined" totalsRowDxfId="13"/>
    <tableColumn id="6" xr3:uid="{B7FCB824-B71C-4221-8DAF-60947815D573}" name="Salary" totalsRowFunction="average" totalsRowDxfId="12"/>
    <tableColumn id="7" xr3:uid="{10C3E8FF-B0B0-43A2-BD34-6852594C5663}" name="Rating" totalsRowFunction="count" totalsRow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A25646-B1A5-4C1B-9ADE-929DA7904889}" name="india_staff" displayName="india_staff" ref="A1:G113" totalsRowShown="0">
  <autoFilter ref="A1:G113" xr:uid="{DFA25646-B1A5-4C1B-9ADE-929DA7904889}"/>
  <tableColumns count="7">
    <tableColumn id="1" xr3:uid="{073D07EB-EDCB-4B3C-AEF5-6769D85EF098}" name="Name"/>
    <tableColumn id="2" xr3:uid="{1CCFCAF3-B5C2-4175-B6AD-9C9C94EEF3E7}" name="Gender"/>
    <tableColumn id="3" xr3:uid="{8F26C4F0-2E63-42B8-BCE1-E6574DEEAF08}" name="Age"/>
    <tableColumn id="4" xr3:uid="{DFD55AC9-2398-46D8-8679-78BA89ED50D6}" name="Rating"/>
    <tableColumn id="5" xr3:uid="{36D2CFEA-5A1B-495D-88C7-BE7638E1C6E9}" name="Date Joined" dataDxfId="19"/>
    <tableColumn id="6" xr3:uid="{2A927A34-D527-4FD4-AD66-520E99E00970}" name="Department"/>
    <tableColumn id="7" xr3:uid="{731FEDA7-0684-4BCD-8D13-AF57D276D381}" name="Sala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35C564F-87F5-41CC-BBCD-B5276CAE2780}" name="staff" displayName="staff" ref="A1:K184" tableType="queryTable" totalsRowShown="0">
  <autoFilter ref="A1:K184" xr:uid="{235C564F-87F5-41CC-BBCD-B5276CAE2780}"/>
  <sortState xmlns:xlrd2="http://schemas.microsoft.com/office/spreadsheetml/2017/richdata2" ref="A2:J184">
    <sortCondition ref="F1:F184"/>
  </sortState>
  <tableColumns count="11">
    <tableColumn id="1" xr3:uid="{C1684955-563B-4E5A-89E0-4CE2A7D05D98}" uniqueName="1" name="Name" queryTableFieldId="1" dataDxfId="10"/>
    <tableColumn id="2" xr3:uid="{23F08F20-FBEB-4887-94DD-631E80B8DB5D}" uniqueName="2" name="Gender" queryTableFieldId="2" dataDxfId="9"/>
    <tableColumn id="3" xr3:uid="{56AFC64B-FD8C-4C49-93BF-D79C5F76EE86}" uniqueName="3" name="Department" queryTableFieldId="3" dataDxfId="8"/>
    <tableColumn id="4" xr3:uid="{DB7CE1E7-4B0F-4122-B785-087896F74441}" uniqueName="4" name="Age" queryTableFieldId="4"/>
    <tableColumn id="5" xr3:uid="{A3777B0A-7DFB-45DA-BE52-D5219792ADC2}" uniqueName="5" name="Date Joined" queryTableFieldId="5" dataDxfId="5"/>
    <tableColumn id="6" xr3:uid="{F0EDE293-2B40-4A75-A7AB-E0FEF689D333}" uniqueName="6" name="Salary" queryTableFieldId="6" dataDxfId="4" dataCellStyle="Currency"/>
    <tableColumn id="7" xr3:uid="{3169677A-1612-4E31-B4A7-E5646DF59C38}" uniqueName="7" name="Rating" queryTableFieldId="7"/>
    <tableColumn id="8" xr3:uid="{AC33011A-7ED4-4F6D-8295-9AB26D42E46D}" uniqueName="8" name="country" queryTableFieldId="8"/>
    <tableColumn id="10" xr3:uid="{D18B01FD-EFDA-4A30-8728-D1F310FADDFF}" uniqueName="10" name="Tenure" queryTableFieldId="10" dataDxfId="7">
      <calculatedColumnFormula>(TODAY()-staff[[#This Row],[Date Joined]])/365</calculatedColumnFormula>
    </tableColumn>
    <tableColumn id="11" xr3:uid="{A087B24B-0688-4A96-B3D6-E9CFEDBCFDA3}" uniqueName="11" name="Bonus" queryTableFieldId="11" dataDxfId="6">
      <calculatedColumnFormula>ROUNDUP(IF(staff[[#This Row],[Tenure]]&gt;2,3%,2%)*staff[[#This Row],[Salary]],0)</calculatedColumnFormula>
    </tableColumn>
    <tableColumn id="13" xr3:uid="{A4D3E517-EDB7-416F-B770-A7BF23DC82E6}" uniqueName="13" name="Rating as number" queryTableFieldId="12"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CDAA3-96AA-413C-9FEB-A23F69B2BF2A}">
  <dimension ref="A1:G102"/>
  <sheetViews>
    <sheetView workbookViewId="0">
      <selection activeCell="C3" sqref="C3"/>
    </sheetView>
  </sheetViews>
  <sheetFormatPr defaultRowHeight="15" x14ac:dyDescent="0.25"/>
  <cols>
    <col min="1" max="1" width="21" bestFit="1" customWidth="1"/>
    <col min="2" max="2" width="9.85546875" customWidth="1"/>
    <col min="3" max="3" width="14" customWidth="1"/>
    <col min="4" max="4" width="9" customWidth="1"/>
    <col min="5" max="5" width="13.7109375" customWidth="1"/>
    <col min="6" max="6" width="10.85546875" bestFit="1" customWidth="1"/>
    <col min="7" max="7" width="13.85546875" bestFit="1" customWidth="1"/>
  </cols>
  <sheetData>
    <row r="1" spans="1:7" x14ac:dyDescent="0.25">
      <c r="A1" t="s">
        <v>0</v>
      </c>
      <c r="B1" t="s">
        <v>1</v>
      </c>
      <c r="C1" t="s">
        <v>2</v>
      </c>
      <c r="D1" t="s">
        <v>3</v>
      </c>
      <c r="E1" s="1" t="s">
        <v>4</v>
      </c>
      <c r="F1" t="s">
        <v>5</v>
      </c>
      <c r="G1" t="s">
        <v>6</v>
      </c>
    </row>
    <row r="2" spans="1:7" x14ac:dyDescent="0.25">
      <c r="A2" t="s">
        <v>7</v>
      </c>
      <c r="B2" t="s">
        <v>8</v>
      </c>
      <c r="C2" t="s">
        <v>9</v>
      </c>
      <c r="D2">
        <v>22</v>
      </c>
      <c r="E2" s="1">
        <v>44446</v>
      </c>
      <c r="F2">
        <v>112780</v>
      </c>
      <c r="G2" t="s">
        <v>10</v>
      </c>
    </row>
    <row r="3" spans="1:7" x14ac:dyDescent="0.25">
      <c r="A3" t="s">
        <v>11</v>
      </c>
      <c r="B3" t="s">
        <v>8</v>
      </c>
      <c r="C3" t="s">
        <v>12</v>
      </c>
      <c r="D3">
        <v>46</v>
      </c>
      <c r="E3" s="1">
        <v>44758</v>
      </c>
      <c r="F3">
        <v>70610</v>
      </c>
      <c r="G3" t="s">
        <v>13</v>
      </c>
    </row>
    <row r="4" spans="1:7" x14ac:dyDescent="0.25">
      <c r="A4" t="s">
        <v>14</v>
      </c>
      <c r="B4" t="s">
        <v>15</v>
      </c>
      <c r="C4" t="s">
        <v>9</v>
      </c>
      <c r="D4">
        <v>28</v>
      </c>
      <c r="E4" s="1">
        <v>44357</v>
      </c>
      <c r="F4">
        <v>53240</v>
      </c>
      <c r="G4" t="s">
        <v>13</v>
      </c>
    </row>
    <row r="5" spans="1:7" x14ac:dyDescent="0.25">
      <c r="A5" t="s">
        <v>16</v>
      </c>
      <c r="C5" t="s">
        <v>17</v>
      </c>
      <c r="D5">
        <v>37</v>
      </c>
      <c r="E5" s="1">
        <v>44146</v>
      </c>
      <c r="F5">
        <v>115440</v>
      </c>
      <c r="G5" t="s">
        <v>18</v>
      </c>
    </row>
    <row r="6" spans="1:7" x14ac:dyDescent="0.25">
      <c r="A6" t="s">
        <v>19</v>
      </c>
      <c r="B6" t="s">
        <v>8</v>
      </c>
      <c r="C6" t="s">
        <v>9</v>
      </c>
      <c r="D6">
        <v>32</v>
      </c>
      <c r="E6" s="1">
        <v>44465</v>
      </c>
      <c r="F6">
        <v>53540</v>
      </c>
      <c r="G6" t="s">
        <v>13</v>
      </c>
    </row>
    <row r="7" spans="1:7" x14ac:dyDescent="0.25">
      <c r="A7" t="s">
        <v>20</v>
      </c>
      <c r="B7" t="s">
        <v>15</v>
      </c>
      <c r="C7" t="s">
        <v>12</v>
      </c>
      <c r="D7">
        <v>30</v>
      </c>
      <c r="E7" s="1">
        <v>44861</v>
      </c>
      <c r="F7">
        <v>112570</v>
      </c>
      <c r="G7" t="s">
        <v>13</v>
      </c>
    </row>
    <row r="8" spans="1:7" x14ac:dyDescent="0.25">
      <c r="A8" t="s">
        <v>21</v>
      </c>
      <c r="B8" t="s">
        <v>8</v>
      </c>
      <c r="C8" t="s">
        <v>12</v>
      </c>
      <c r="D8">
        <v>33</v>
      </c>
      <c r="E8" s="1">
        <v>44701</v>
      </c>
      <c r="F8">
        <v>48530</v>
      </c>
      <c r="G8" t="s">
        <v>10</v>
      </c>
    </row>
    <row r="9" spans="1:7" x14ac:dyDescent="0.25">
      <c r="A9" t="s">
        <v>22</v>
      </c>
      <c r="B9" t="s">
        <v>15</v>
      </c>
      <c r="C9" t="s">
        <v>23</v>
      </c>
      <c r="D9">
        <v>24</v>
      </c>
      <c r="E9" s="1">
        <v>44148</v>
      </c>
      <c r="F9">
        <v>62780</v>
      </c>
      <c r="G9" t="s">
        <v>13</v>
      </c>
    </row>
    <row r="10" spans="1:7" x14ac:dyDescent="0.25">
      <c r="A10" t="s">
        <v>24</v>
      </c>
      <c r="B10" t="s">
        <v>8</v>
      </c>
      <c r="C10" t="s">
        <v>23</v>
      </c>
      <c r="D10">
        <v>33</v>
      </c>
      <c r="E10" s="1">
        <v>44509</v>
      </c>
      <c r="F10">
        <v>53870</v>
      </c>
      <c r="G10" t="s">
        <v>13</v>
      </c>
    </row>
    <row r="11" spans="1:7" x14ac:dyDescent="0.25">
      <c r="A11" t="s">
        <v>25</v>
      </c>
      <c r="B11" t="s">
        <v>15</v>
      </c>
      <c r="C11" t="s">
        <v>26</v>
      </c>
      <c r="D11">
        <v>27</v>
      </c>
      <c r="E11" s="1">
        <v>44122</v>
      </c>
      <c r="F11">
        <v>119110</v>
      </c>
      <c r="G11" t="s">
        <v>13</v>
      </c>
    </row>
    <row r="12" spans="1:7" x14ac:dyDescent="0.25">
      <c r="A12" t="s">
        <v>27</v>
      </c>
      <c r="B12" t="s">
        <v>8</v>
      </c>
      <c r="C12" t="s">
        <v>23</v>
      </c>
      <c r="D12">
        <v>29</v>
      </c>
      <c r="E12" s="1">
        <v>44180</v>
      </c>
      <c r="F12">
        <v>112110</v>
      </c>
      <c r="G12" t="s">
        <v>18</v>
      </c>
    </row>
    <row r="13" spans="1:7" x14ac:dyDescent="0.25">
      <c r="A13" t="s">
        <v>28</v>
      </c>
      <c r="B13" t="s">
        <v>8</v>
      </c>
      <c r="C13" t="s">
        <v>9</v>
      </c>
      <c r="D13">
        <v>25</v>
      </c>
      <c r="E13" s="1">
        <v>44383</v>
      </c>
      <c r="F13">
        <v>65700</v>
      </c>
      <c r="G13" t="s">
        <v>13</v>
      </c>
    </row>
    <row r="14" spans="1:7" x14ac:dyDescent="0.25">
      <c r="A14" t="s">
        <v>29</v>
      </c>
      <c r="B14" t="s">
        <v>8</v>
      </c>
      <c r="C14" t="s">
        <v>23</v>
      </c>
      <c r="D14">
        <v>37</v>
      </c>
      <c r="E14" s="1">
        <v>44701</v>
      </c>
      <c r="F14">
        <v>69070</v>
      </c>
      <c r="G14" t="s">
        <v>13</v>
      </c>
    </row>
    <row r="15" spans="1:7" x14ac:dyDescent="0.25">
      <c r="A15" t="s">
        <v>30</v>
      </c>
      <c r="B15" t="s">
        <v>8</v>
      </c>
      <c r="C15" t="s">
        <v>23</v>
      </c>
      <c r="D15">
        <v>20</v>
      </c>
      <c r="E15" s="1">
        <v>44459</v>
      </c>
      <c r="F15">
        <v>107700</v>
      </c>
      <c r="G15" t="s">
        <v>13</v>
      </c>
    </row>
    <row r="16" spans="1:7" x14ac:dyDescent="0.25">
      <c r="A16" t="s">
        <v>31</v>
      </c>
      <c r="B16" t="s">
        <v>15</v>
      </c>
      <c r="C16" t="s">
        <v>23</v>
      </c>
      <c r="D16">
        <v>32</v>
      </c>
      <c r="E16" s="1">
        <v>44354</v>
      </c>
      <c r="F16">
        <v>43840</v>
      </c>
      <c r="G16" t="s">
        <v>10</v>
      </c>
    </row>
    <row r="17" spans="1:7" x14ac:dyDescent="0.25">
      <c r="A17" t="s">
        <v>32</v>
      </c>
      <c r="B17" t="s">
        <v>8</v>
      </c>
      <c r="C17" t="s">
        <v>12</v>
      </c>
      <c r="D17">
        <v>40</v>
      </c>
      <c r="E17" s="1">
        <v>44263</v>
      </c>
      <c r="F17">
        <v>99750</v>
      </c>
      <c r="G17" t="s">
        <v>13</v>
      </c>
    </row>
    <row r="18" spans="1:7" x14ac:dyDescent="0.25">
      <c r="A18" t="s">
        <v>33</v>
      </c>
      <c r="B18" t="s">
        <v>8</v>
      </c>
      <c r="C18" t="s">
        <v>12</v>
      </c>
      <c r="D18">
        <v>21</v>
      </c>
      <c r="E18" s="1">
        <v>44104</v>
      </c>
      <c r="F18">
        <v>37920</v>
      </c>
      <c r="G18" t="s">
        <v>13</v>
      </c>
    </row>
    <row r="19" spans="1:7" x14ac:dyDescent="0.25">
      <c r="A19" t="s">
        <v>34</v>
      </c>
      <c r="B19" t="s">
        <v>8</v>
      </c>
      <c r="C19" t="s">
        <v>12</v>
      </c>
      <c r="D19">
        <v>21</v>
      </c>
      <c r="E19" s="1">
        <v>44762</v>
      </c>
      <c r="F19">
        <v>57090</v>
      </c>
      <c r="G19" t="s">
        <v>13</v>
      </c>
    </row>
    <row r="20" spans="1:7" x14ac:dyDescent="0.25">
      <c r="A20" t="s">
        <v>35</v>
      </c>
      <c r="B20" t="s">
        <v>15</v>
      </c>
      <c r="C20" t="s">
        <v>23</v>
      </c>
      <c r="D20">
        <v>31</v>
      </c>
      <c r="E20" s="1">
        <v>44145</v>
      </c>
      <c r="F20">
        <v>41980</v>
      </c>
      <c r="G20" t="s">
        <v>13</v>
      </c>
    </row>
    <row r="21" spans="1:7" x14ac:dyDescent="0.25">
      <c r="A21" t="s">
        <v>36</v>
      </c>
      <c r="B21" t="s">
        <v>8</v>
      </c>
      <c r="C21" t="s">
        <v>26</v>
      </c>
      <c r="D21">
        <v>21</v>
      </c>
      <c r="E21" s="1">
        <v>44242</v>
      </c>
      <c r="F21">
        <v>75880</v>
      </c>
      <c r="G21" t="s">
        <v>13</v>
      </c>
    </row>
    <row r="22" spans="1:7" x14ac:dyDescent="0.25">
      <c r="A22" t="s">
        <v>37</v>
      </c>
      <c r="B22" t="s">
        <v>15</v>
      </c>
      <c r="C22" t="s">
        <v>17</v>
      </c>
      <c r="D22">
        <v>34</v>
      </c>
      <c r="E22" s="1">
        <v>44653</v>
      </c>
      <c r="F22">
        <v>58940</v>
      </c>
      <c r="G22" t="s">
        <v>13</v>
      </c>
    </row>
    <row r="23" spans="1:7" x14ac:dyDescent="0.25">
      <c r="A23" t="s">
        <v>38</v>
      </c>
      <c r="B23" t="s">
        <v>15</v>
      </c>
      <c r="C23" t="s">
        <v>17</v>
      </c>
      <c r="D23">
        <v>30</v>
      </c>
      <c r="E23" s="1">
        <v>44389</v>
      </c>
      <c r="F23">
        <v>67910</v>
      </c>
      <c r="G23" t="s">
        <v>18</v>
      </c>
    </row>
    <row r="24" spans="1:7" x14ac:dyDescent="0.25">
      <c r="A24" t="s">
        <v>39</v>
      </c>
      <c r="B24" t="s">
        <v>15</v>
      </c>
      <c r="C24" t="s">
        <v>23</v>
      </c>
      <c r="D24">
        <v>31</v>
      </c>
      <c r="E24" s="1">
        <v>44663</v>
      </c>
      <c r="F24">
        <v>58100</v>
      </c>
      <c r="G24" t="s">
        <v>13</v>
      </c>
    </row>
    <row r="25" spans="1:7" x14ac:dyDescent="0.25">
      <c r="A25" t="s">
        <v>40</v>
      </c>
      <c r="B25" t="s">
        <v>8</v>
      </c>
      <c r="C25" t="s">
        <v>17</v>
      </c>
      <c r="D25">
        <v>27</v>
      </c>
      <c r="E25" s="1">
        <v>44567</v>
      </c>
      <c r="F25">
        <v>48980</v>
      </c>
      <c r="G25" t="s">
        <v>13</v>
      </c>
    </row>
    <row r="26" spans="1:7" x14ac:dyDescent="0.25">
      <c r="A26" t="s">
        <v>41</v>
      </c>
      <c r="C26" t="s">
        <v>17</v>
      </c>
      <c r="D26">
        <v>30</v>
      </c>
      <c r="E26" s="1">
        <v>44597</v>
      </c>
      <c r="F26">
        <v>64000</v>
      </c>
      <c r="G26" t="s">
        <v>13</v>
      </c>
    </row>
    <row r="27" spans="1:7" x14ac:dyDescent="0.25">
      <c r="A27" t="s">
        <v>42</v>
      </c>
      <c r="B27" t="s">
        <v>15</v>
      </c>
      <c r="C27" t="s">
        <v>12</v>
      </c>
      <c r="D27">
        <v>42</v>
      </c>
      <c r="E27" s="1">
        <v>44779</v>
      </c>
      <c r="F27">
        <v>75000</v>
      </c>
      <c r="G27" t="s">
        <v>43</v>
      </c>
    </row>
    <row r="28" spans="1:7" x14ac:dyDescent="0.25">
      <c r="A28" t="s">
        <v>44</v>
      </c>
      <c r="B28" t="s">
        <v>15</v>
      </c>
      <c r="C28" t="s">
        <v>23</v>
      </c>
      <c r="D28">
        <v>40</v>
      </c>
      <c r="E28" s="1">
        <v>44337</v>
      </c>
      <c r="F28">
        <v>87620</v>
      </c>
      <c r="G28" t="s">
        <v>13</v>
      </c>
    </row>
    <row r="29" spans="1:7" x14ac:dyDescent="0.25">
      <c r="A29" t="s">
        <v>45</v>
      </c>
      <c r="B29" t="s">
        <v>15</v>
      </c>
      <c r="C29" t="s">
        <v>23</v>
      </c>
      <c r="D29">
        <v>29</v>
      </c>
      <c r="E29" s="1">
        <v>44023</v>
      </c>
      <c r="F29">
        <v>34980</v>
      </c>
      <c r="G29" t="s">
        <v>13</v>
      </c>
    </row>
    <row r="30" spans="1:7" x14ac:dyDescent="0.25">
      <c r="A30" t="s">
        <v>46</v>
      </c>
      <c r="B30" t="s">
        <v>15</v>
      </c>
      <c r="C30" t="s">
        <v>17</v>
      </c>
      <c r="D30">
        <v>28</v>
      </c>
      <c r="E30" s="1">
        <v>44185</v>
      </c>
      <c r="F30">
        <v>75970</v>
      </c>
      <c r="G30" t="s">
        <v>13</v>
      </c>
    </row>
    <row r="31" spans="1:7" x14ac:dyDescent="0.25">
      <c r="A31" t="s">
        <v>47</v>
      </c>
      <c r="B31" t="s">
        <v>15</v>
      </c>
      <c r="C31" t="s">
        <v>17</v>
      </c>
      <c r="D31">
        <v>34</v>
      </c>
      <c r="E31" s="1">
        <v>44612</v>
      </c>
      <c r="F31">
        <v>60130</v>
      </c>
      <c r="G31" t="s">
        <v>13</v>
      </c>
    </row>
    <row r="32" spans="1:7" x14ac:dyDescent="0.25">
      <c r="A32" t="s">
        <v>48</v>
      </c>
      <c r="B32" t="s">
        <v>15</v>
      </c>
      <c r="C32" t="s">
        <v>23</v>
      </c>
      <c r="D32">
        <v>33</v>
      </c>
      <c r="E32" s="1">
        <v>44374</v>
      </c>
      <c r="F32">
        <v>75480</v>
      </c>
      <c r="G32" t="s">
        <v>49</v>
      </c>
    </row>
    <row r="33" spans="1:7" x14ac:dyDescent="0.25">
      <c r="A33" t="s">
        <v>50</v>
      </c>
      <c r="B33" t="s">
        <v>8</v>
      </c>
      <c r="C33" t="s">
        <v>12</v>
      </c>
      <c r="D33">
        <v>33</v>
      </c>
      <c r="E33" s="1">
        <v>44164</v>
      </c>
      <c r="F33">
        <v>115920</v>
      </c>
      <c r="G33" t="s">
        <v>13</v>
      </c>
    </row>
    <row r="34" spans="1:7" x14ac:dyDescent="0.25">
      <c r="A34" t="s">
        <v>51</v>
      </c>
      <c r="B34" t="s">
        <v>15</v>
      </c>
      <c r="C34" t="s">
        <v>9</v>
      </c>
      <c r="D34">
        <v>36</v>
      </c>
      <c r="E34" s="1">
        <v>44494</v>
      </c>
      <c r="F34">
        <v>78540</v>
      </c>
      <c r="G34" t="s">
        <v>13</v>
      </c>
    </row>
    <row r="35" spans="1:7" x14ac:dyDescent="0.25">
      <c r="A35" t="s">
        <v>52</v>
      </c>
      <c r="B35" t="s">
        <v>8</v>
      </c>
      <c r="C35" t="s">
        <v>12</v>
      </c>
      <c r="D35">
        <v>25</v>
      </c>
      <c r="E35" s="1">
        <v>44726</v>
      </c>
      <c r="F35">
        <v>109190</v>
      </c>
      <c r="G35" t="s">
        <v>10</v>
      </c>
    </row>
    <row r="36" spans="1:7" x14ac:dyDescent="0.25">
      <c r="A36" t="s">
        <v>53</v>
      </c>
      <c r="B36" t="s">
        <v>15</v>
      </c>
      <c r="C36" t="s">
        <v>9</v>
      </c>
      <c r="D36">
        <v>34</v>
      </c>
      <c r="E36" s="1">
        <v>44721</v>
      </c>
      <c r="F36">
        <v>49630</v>
      </c>
      <c r="G36" t="s">
        <v>18</v>
      </c>
    </row>
    <row r="37" spans="1:7" x14ac:dyDescent="0.25">
      <c r="A37" t="s">
        <v>54</v>
      </c>
      <c r="B37" t="s">
        <v>15</v>
      </c>
      <c r="C37" t="s">
        <v>12</v>
      </c>
      <c r="D37">
        <v>28</v>
      </c>
      <c r="E37" s="1">
        <v>44630</v>
      </c>
      <c r="F37">
        <v>99970</v>
      </c>
      <c r="G37" t="s">
        <v>13</v>
      </c>
    </row>
    <row r="38" spans="1:7" x14ac:dyDescent="0.25">
      <c r="A38" t="s">
        <v>55</v>
      </c>
      <c r="B38" t="s">
        <v>15</v>
      </c>
      <c r="C38" t="s">
        <v>23</v>
      </c>
      <c r="D38">
        <v>33</v>
      </c>
      <c r="E38" s="1">
        <v>44190</v>
      </c>
      <c r="F38">
        <v>96140</v>
      </c>
      <c r="G38" t="s">
        <v>13</v>
      </c>
    </row>
    <row r="39" spans="1:7" x14ac:dyDescent="0.25">
      <c r="A39" t="s">
        <v>56</v>
      </c>
      <c r="B39" t="s">
        <v>8</v>
      </c>
      <c r="C39" t="s">
        <v>12</v>
      </c>
      <c r="D39">
        <v>31</v>
      </c>
      <c r="E39" s="1">
        <v>44724</v>
      </c>
      <c r="F39">
        <v>103550</v>
      </c>
      <c r="G39" t="s">
        <v>13</v>
      </c>
    </row>
    <row r="40" spans="1:7" x14ac:dyDescent="0.25">
      <c r="A40" t="s">
        <v>57</v>
      </c>
      <c r="B40" t="s">
        <v>8</v>
      </c>
      <c r="C40" t="s">
        <v>23</v>
      </c>
      <c r="D40">
        <v>31</v>
      </c>
      <c r="E40" s="1">
        <v>44511</v>
      </c>
      <c r="F40">
        <v>48950</v>
      </c>
      <c r="G40" t="s">
        <v>13</v>
      </c>
    </row>
    <row r="41" spans="1:7" x14ac:dyDescent="0.25">
      <c r="A41" t="s">
        <v>58</v>
      </c>
      <c r="B41" t="s">
        <v>8</v>
      </c>
      <c r="C41" t="s">
        <v>17</v>
      </c>
      <c r="D41">
        <v>24</v>
      </c>
      <c r="E41" s="1">
        <v>44436</v>
      </c>
      <c r="F41">
        <v>52610</v>
      </c>
      <c r="G41" t="s">
        <v>18</v>
      </c>
    </row>
    <row r="42" spans="1:7" x14ac:dyDescent="0.25">
      <c r="A42" t="s">
        <v>59</v>
      </c>
      <c r="B42" t="s">
        <v>15</v>
      </c>
      <c r="C42" t="s">
        <v>12</v>
      </c>
      <c r="D42">
        <v>36</v>
      </c>
      <c r="E42" s="1">
        <v>44529</v>
      </c>
      <c r="F42">
        <v>78390</v>
      </c>
      <c r="G42" t="s">
        <v>13</v>
      </c>
    </row>
    <row r="43" spans="1:7" x14ac:dyDescent="0.25">
      <c r="A43" t="s">
        <v>60</v>
      </c>
      <c r="B43" t="s">
        <v>15</v>
      </c>
      <c r="C43" t="s">
        <v>17</v>
      </c>
      <c r="D43">
        <v>33</v>
      </c>
      <c r="E43" s="1">
        <v>44809</v>
      </c>
      <c r="F43">
        <v>86570</v>
      </c>
      <c r="G43" t="s">
        <v>13</v>
      </c>
    </row>
    <row r="44" spans="1:7" x14ac:dyDescent="0.25">
      <c r="A44" t="s">
        <v>61</v>
      </c>
      <c r="B44" t="s">
        <v>15</v>
      </c>
      <c r="C44" t="s">
        <v>23</v>
      </c>
      <c r="D44">
        <v>27</v>
      </c>
      <c r="E44" s="1">
        <v>44686</v>
      </c>
      <c r="F44">
        <v>83750</v>
      </c>
      <c r="G44" t="s">
        <v>13</v>
      </c>
    </row>
    <row r="45" spans="1:7" x14ac:dyDescent="0.25">
      <c r="A45" t="s">
        <v>62</v>
      </c>
      <c r="B45" t="s">
        <v>15</v>
      </c>
      <c r="C45" t="s">
        <v>17</v>
      </c>
      <c r="D45">
        <v>34</v>
      </c>
      <c r="E45" s="1">
        <v>44445</v>
      </c>
      <c r="F45">
        <v>92450</v>
      </c>
      <c r="G45" t="s">
        <v>13</v>
      </c>
    </row>
    <row r="46" spans="1:7" x14ac:dyDescent="0.25">
      <c r="A46" t="s">
        <v>63</v>
      </c>
      <c r="B46" t="s">
        <v>8</v>
      </c>
      <c r="C46" t="s">
        <v>23</v>
      </c>
      <c r="D46">
        <v>20</v>
      </c>
      <c r="E46" s="1">
        <v>44183</v>
      </c>
      <c r="F46">
        <v>112650</v>
      </c>
      <c r="G46" t="s">
        <v>13</v>
      </c>
    </row>
    <row r="47" spans="1:7" x14ac:dyDescent="0.25">
      <c r="A47" t="s">
        <v>64</v>
      </c>
      <c r="B47" t="s">
        <v>8</v>
      </c>
      <c r="C47" t="s">
        <v>12</v>
      </c>
      <c r="D47">
        <v>20</v>
      </c>
      <c r="E47" s="1">
        <v>44744</v>
      </c>
      <c r="F47">
        <v>79570</v>
      </c>
      <c r="G47" t="s">
        <v>13</v>
      </c>
    </row>
    <row r="48" spans="1:7" x14ac:dyDescent="0.25">
      <c r="A48" t="s">
        <v>65</v>
      </c>
      <c r="B48" t="s">
        <v>15</v>
      </c>
      <c r="C48" t="s">
        <v>9</v>
      </c>
      <c r="D48">
        <v>20</v>
      </c>
      <c r="E48" s="1">
        <v>44537</v>
      </c>
      <c r="F48">
        <v>68900</v>
      </c>
      <c r="G48" t="s">
        <v>18</v>
      </c>
    </row>
    <row r="49" spans="1:7" x14ac:dyDescent="0.25">
      <c r="A49" t="s">
        <v>66</v>
      </c>
      <c r="B49" t="s">
        <v>15</v>
      </c>
      <c r="C49" t="s">
        <v>23</v>
      </c>
      <c r="D49">
        <v>25</v>
      </c>
      <c r="E49" s="1">
        <v>44694</v>
      </c>
      <c r="F49">
        <v>80700</v>
      </c>
      <c r="G49" t="s">
        <v>10</v>
      </c>
    </row>
    <row r="50" spans="1:7" x14ac:dyDescent="0.25">
      <c r="A50" t="s">
        <v>67</v>
      </c>
      <c r="B50" t="s">
        <v>8</v>
      </c>
      <c r="C50" t="s">
        <v>12</v>
      </c>
      <c r="D50">
        <v>19</v>
      </c>
      <c r="E50" s="1">
        <v>44277</v>
      </c>
      <c r="F50">
        <v>58960</v>
      </c>
      <c r="G50" t="s">
        <v>13</v>
      </c>
    </row>
    <row r="51" spans="1:7" x14ac:dyDescent="0.25">
      <c r="A51" t="s">
        <v>68</v>
      </c>
      <c r="B51" t="s">
        <v>8</v>
      </c>
      <c r="C51" t="s">
        <v>23</v>
      </c>
      <c r="D51">
        <v>36</v>
      </c>
      <c r="E51" s="1">
        <v>44019</v>
      </c>
      <c r="F51">
        <v>118840</v>
      </c>
      <c r="G51" t="s">
        <v>13</v>
      </c>
    </row>
    <row r="52" spans="1:7" x14ac:dyDescent="0.25">
      <c r="A52" t="s">
        <v>69</v>
      </c>
      <c r="B52" t="s">
        <v>8</v>
      </c>
      <c r="C52" t="s">
        <v>17</v>
      </c>
      <c r="D52">
        <v>28</v>
      </c>
      <c r="E52" s="1">
        <v>44041</v>
      </c>
      <c r="F52">
        <v>48170</v>
      </c>
      <c r="G52" t="s">
        <v>10</v>
      </c>
    </row>
    <row r="53" spans="1:7" x14ac:dyDescent="0.25">
      <c r="A53" t="s">
        <v>70</v>
      </c>
      <c r="B53" t="s">
        <v>15</v>
      </c>
      <c r="C53" t="s">
        <v>26</v>
      </c>
      <c r="D53">
        <v>32</v>
      </c>
      <c r="E53" s="1">
        <v>44400</v>
      </c>
      <c r="F53">
        <v>45510</v>
      </c>
      <c r="G53" t="s">
        <v>13</v>
      </c>
    </row>
    <row r="54" spans="1:7" x14ac:dyDescent="0.25">
      <c r="A54" t="s">
        <v>63</v>
      </c>
      <c r="B54" t="s">
        <v>8</v>
      </c>
      <c r="C54" t="s">
        <v>12</v>
      </c>
      <c r="D54">
        <v>34</v>
      </c>
      <c r="E54" s="1">
        <v>44703</v>
      </c>
      <c r="F54">
        <v>112650</v>
      </c>
      <c r="G54" t="s">
        <v>13</v>
      </c>
    </row>
    <row r="55" spans="1:7" x14ac:dyDescent="0.25">
      <c r="A55" t="s">
        <v>71</v>
      </c>
      <c r="B55" t="s">
        <v>15</v>
      </c>
      <c r="C55" t="s">
        <v>12</v>
      </c>
      <c r="D55">
        <v>36</v>
      </c>
      <c r="E55" s="1">
        <v>44085</v>
      </c>
      <c r="F55">
        <v>114890</v>
      </c>
      <c r="G55" t="s">
        <v>13</v>
      </c>
    </row>
    <row r="56" spans="1:7" x14ac:dyDescent="0.25">
      <c r="A56" t="s">
        <v>72</v>
      </c>
      <c r="B56" t="s">
        <v>8</v>
      </c>
      <c r="C56" t="s">
        <v>23</v>
      </c>
      <c r="D56">
        <v>30</v>
      </c>
      <c r="E56" s="1">
        <v>44850</v>
      </c>
      <c r="F56">
        <v>69710</v>
      </c>
      <c r="G56" t="s">
        <v>13</v>
      </c>
    </row>
    <row r="57" spans="1:7" x14ac:dyDescent="0.25">
      <c r="A57" t="s">
        <v>73</v>
      </c>
      <c r="B57" t="s">
        <v>8</v>
      </c>
      <c r="C57" t="s">
        <v>17</v>
      </c>
      <c r="D57">
        <v>36</v>
      </c>
      <c r="E57" s="1">
        <v>44333</v>
      </c>
      <c r="F57">
        <v>71380</v>
      </c>
      <c r="G57" t="s">
        <v>13</v>
      </c>
    </row>
    <row r="58" spans="1:7" x14ac:dyDescent="0.25">
      <c r="A58" t="s">
        <v>74</v>
      </c>
      <c r="B58" t="s">
        <v>15</v>
      </c>
      <c r="C58" t="s">
        <v>9</v>
      </c>
      <c r="D58">
        <v>38</v>
      </c>
      <c r="E58" s="1">
        <v>44377</v>
      </c>
      <c r="F58">
        <v>109160</v>
      </c>
      <c r="G58" t="s">
        <v>43</v>
      </c>
    </row>
    <row r="59" spans="1:7" x14ac:dyDescent="0.25">
      <c r="A59" t="s">
        <v>75</v>
      </c>
      <c r="B59" t="s">
        <v>8</v>
      </c>
      <c r="C59" t="s">
        <v>12</v>
      </c>
      <c r="D59">
        <v>27</v>
      </c>
      <c r="E59" s="1">
        <v>44609</v>
      </c>
      <c r="F59">
        <v>113280</v>
      </c>
      <c r="G59" t="s">
        <v>49</v>
      </c>
    </row>
    <row r="60" spans="1:7" x14ac:dyDescent="0.25">
      <c r="A60" t="s">
        <v>76</v>
      </c>
      <c r="B60" t="s">
        <v>8</v>
      </c>
      <c r="C60" t="s">
        <v>23</v>
      </c>
      <c r="D60">
        <v>30</v>
      </c>
      <c r="E60" s="1">
        <v>44273</v>
      </c>
      <c r="F60">
        <v>69120</v>
      </c>
      <c r="G60" t="s">
        <v>13</v>
      </c>
    </row>
    <row r="61" spans="1:7" x14ac:dyDescent="0.25">
      <c r="A61" t="s">
        <v>77</v>
      </c>
      <c r="B61" t="s">
        <v>15</v>
      </c>
      <c r="C61" t="s">
        <v>26</v>
      </c>
      <c r="D61">
        <v>37</v>
      </c>
      <c r="E61" s="1">
        <v>44451</v>
      </c>
      <c r="F61">
        <v>118100</v>
      </c>
      <c r="G61" t="s">
        <v>13</v>
      </c>
    </row>
    <row r="62" spans="1:7" x14ac:dyDescent="0.25">
      <c r="A62" t="s">
        <v>78</v>
      </c>
      <c r="B62" t="s">
        <v>15</v>
      </c>
      <c r="C62" t="s">
        <v>12</v>
      </c>
      <c r="D62">
        <v>22</v>
      </c>
      <c r="E62" s="1">
        <v>44450</v>
      </c>
      <c r="F62">
        <v>76900</v>
      </c>
      <c r="G62" t="s">
        <v>10</v>
      </c>
    </row>
    <row r="63" spans="1:7" x14ac:dyDescent="0.25">
      <c r="A63" t="s">
        <v>79</v>
      </c>
      <c r="B63" t="s">
        <v>15</v>
      </c>
      <c r="C63" t="s">
        <v>23</v>
      </c>
      <c r="D63">
        <v>43</v>
      </c>
      <c r="E63" s="1">
        <v>45045</v>
      </c>
      <c r="F63">
        <v>114870</v>
      </c>
      <c r="G63" t="s">
        <v>13</v>
      </c>
    </row>
    <row r="64" spans="1:7" x14ac:dyDescent="0.25">
      <c r="A64" t="s">
        <v>80</v>
      </c>
      <c r="C64" t="s">
        <v>23</v>
      </c>
      <c r="D64">
        <v>32</v>
      </c>
      <c r="E64" s="1">
        <v>44774</v>
      </c>
      <c r="F64">
        <v>91310</v>
      </c>
      <c r="G64" t="s">
        <v>13</v>
      </c>
    </row>
    <row r="65" spans="1:7" x14ac:dyDescent="0.25">
      <c r="A65" t="s">
        <v>81</v>
      </c>
      <c r="B65" t="s">
        <v>15</v>
      </c>
      <c r="C65" t="s">
        <v>12</v>
      </c>
      <c r="D65">
        <v>28</v>
      </c>
      <c r="E65" s="1">
        <v>44486</v>
      </c>
      <c r="F65">
        <v>104770</v>
      </c>
      <c r="G65" t="s">
        <v>13</v>
      </c>
    </row>
    <row r="66" spans="1:7" x14ac:dyDescent="0.25">
      <c r="A66" t="s">
        <v>82</v>
      </c>
      <c r="B66" t="s">
        <v>8</v>
      </c>
      <c r="C66" t="s">
        <v>9</v>
      </c>
      <c r="D66">
        <v>27</v>
      </c>
      <c r="E66" s="1">
        <v>44134</v>
      </c>
      <c r="F66">
        <v>54970</v>
      </c>
      <c r="G66" t="s">
        <v>13</v>
      </c>
    </row>
    <row r="67" spans="1:7" x14ac:dyDescent="0.25">
      <c r="A67" t="s">
        <v>83</v>
      </c>
      <c r="C67" t="s">
        <v>23</v>
      </c>
      <c r="D67">
        <v>26</v>
      </c>
      <c r="E67" s="1">
        <v>44271</v>
      </c>
      <c r="F67">
        <v>90700</v>
      </c>
      <c r="G67" t="s">
        <v>10</v>
      </c>
    </row>
    <row r="68" spans="1:7" x14ac:dyDescent="0.25">
      <c r="A68" t="s">
        <v>84</v>
      </c>
      <c r="B68" t="s">
        <v>15</v>
      </c>
      <c r="C68" t="s">
        <v>9</v>
      </c>
      <c r="D68">
        <v>38</v>
      </c>
      <c r="E68" s="1">
        <v>44329</v>
      </c>
      <c r="F68">
        <v>56870</v>
      </c>
      <c r="G68" t="s">
        <v>10</v>
      </c>
    </row>
    <row r="69" spans="1:7" x14ac:dyDescent="0.25">
      <c r="A69" t="s">
        <v>85</v>
      </c>
      <c r="B69" t="s">
        <v>15</v>
      </c>
      <c r="C69" t="s">
        <v>9</v>
      </c>
      <c r="D69">
        <v>25</v>
      </c>
      <c r="E69" s="1">
        <v>44205</v>
      </c>
      <c r="F69">
        <v>92700</v>
      </c>
      <c r="G69" t="s">
        <v>13</v>
      </c>
    </row>
    <row r="70" spans="1:7" x14ac:dyDescent="0.25">
      <c r="A70" t="s">
        <v>86</v>
      </c>
      <c r="B70" t="s">
        <v>15</v>
      </c>
      <c r="C70" t="s">
        <v>17</v>
      </c>
      <c r="D70">
        <v>21</v>
      </c>
      <c r="E70" s="1">
        <v>44317</v>
      </c>
      <c r="F70">
        <v>65920</v>
      </c>
      <c r="G70" t="s">
        <v>13</v>
      </c>
    </row>
    <row r="71" spans="1:7" x14ac:dyDescent="0.25">
      <c r="A71" t="s">
        <v>87</v>
      </c>
      <c r="B71" t="s">
        <v>8</v>
      </c>
      <c r="C71" t="s">
        <v>12</v>
      </c>
      <c r="D71">
        <v>26</v>
      </c>
      <c r="E71" s="1">
        <v>44225</v>
      </c>
      <c r="F71">
        <v>47360</v>
      </c>
      <c r="G71" t="s">
        <v>13</v>
      </c>
    </row>
    <row r="72" spans="1:7" x14ac:dyDescent="0.25">
      <c r="A72" t="s">
        <v>88</v>
      </c>
      <c r="B72" t="s">
        <v>8</v>
      </c>
      <c r="C72" t="s">
        <v>12</v>
      </c>
      <c r="D72">
        <v>30</v>
      </c>
      <c r="E72" s="1">
        <v>44666</v>
      </c>
      <c r="F72">
        <v>60570</v>
      </c>
      <c r="G72" t="s">
        <v>13</v>
      </c>
    </row>
    <row r="73" spans="1:7" x14ac:dyDescent="0.25">
      <c r="A73" t="s">
        <v>89</v>
      </c>
      <c r="B73" t="s">
        <v>15</v>
      </c>
      <c r="C73" t="s">
        <v>12</v>
      </c>
      <c r="D73">
        <v>28</v>
      </c>
      <c r="E73" s="1">
        <v>44649</v>
      </c>
      <c r="F73">
        <v>104120</v>
      </c>
      <c r="G73" t="s">
        <v>13</v>
      </c>
    </row>
    <row r="74" spans="1:7" x14ac:dyDescent="0.25">
      <c r="A74" t="s">
        <v>90</v>
      </c>
      <c r="B74" t="s">
        <v>8</v>
      </c>
      <c r="C74" t="s">
        <v>23</v>
      </c>
      <c r="D74">
        <v>37</v>
      </c>
      <c r="E74" s="1">
        <v>44338</v>
      </c>
      <c r="F74">
        <v>88050</v>
      </c>
      <c r="G74" t="s">
        <v>18</v>
      </c>
    </row>
    <row r="75" spans="1:7" x14ac:dyDescent="0.25">
      <c r="A75" t="s">
        <v>91</v>
      </c>
      <c r="B75" t="s">
        <v>8</v>
      </c>
      <c r="C75" t="s">
        <v>23</v>
      </c>
      <c r="D75">
        <v>24</v>
      </c>
      <c r="E75" s="1">
        <v>44686</v>
      </c>
      <c r="F75">
        <v>100420</v>
      </c>
      <c r="G75" t="s">
        <v>13</v>
      </c>
    </row>
    <row r="76" spans="1:7" x14ac:dyDescent="0.25">
      <c r="A76" t="s">
        <v>92</v>
      </c>
      <c r="B76" t="s">
        <v>15</v>
      </c>
      <c r="C76" t="s">
        <v>12</v>
      </c>
      <c r="D76">
        <v>30</v>
      </c>
      <c r="E76" s="1">
        <v>44850</v>
      </c>
      <c r="F76">
        <v>114180</v>
      </c>
      <c r="G76" t="s">
        <v>13</v>
      </c>
    </row>
    <row r="77" spans="1:7" x14ac:dyDescent="0.25">
      <c r="A77" t="s">
        <v>93</v>
      </c>
      <c r="B77" t="s">
        <v>15</v>
      </c>
      <c r="C77" t="s">
        <v>23</v>
      </c>
      <c r="D77">
        <v>21</v>
      </c>
      <c r="E77" s="1">
        <v>44678</v>
      </c>
      <c r="F77">
        <v>33920</v>
      </c>
      <c r="G77" t="s">
        <v>13</v>
      </c>
    </row>
    <row r="78" spans="1:7" x14ac:dyDescent="0.25">
      <c r="A78" t="s">
        <v>94</v>
      </c>
      <c r="B78" t="s">
        <v>8</v>
      </c>
      <c r="C78" t="s">
        <v>12</v>
      </c>
      <c r="D78">
        <v>23</v>
      </c>
      <c r="E78" s="1">
        <v>44440</v>
      </c>
      <c r="F78">
        <v>106460</v>
      </c>
      <c r="G78" t="s">
        <v>13</v>
      </c>
    </row>
    <row r="79" spans="1:7" x14ac:dyDescent="0.25">
      <c r="A79" t="s">
        <v>95</v>
      </c>
      <c r="B79" t="s">
        <v>8</v>
      </c>
      <c r="C79" t="s">
        <v>12</v>
      </c>
      <c r="D79">
        <v>35</v>
      </c>
      <c r="E79" s="1">
        <v>44727</v>
      </c>
      <c r="F79">
        <v>40400</v>
      </c>
      <c r="G79" t="s">
        <v>13</v>
      </c>
    </row>
    <row r="80" spans="1:7" x14ac:dyDescent="0.25">
      <c r="A80" t="s">
        <v>96</v>
      </c>
      <c r="B80" t="s">
        <v>8</v>
      </c>
      <c r="C80" t="s">
        <v>17</v>
      </c>
      <c r="D80">
        <v>27</v>
      </c>
      <c r="E80" s="1">
        <v>44236</v>
      </c>
      <c r="F80">
        <v>91650</v>
      </c>
      <c r="G80" t="s">
        <v>10</v>
      </c>
    </row>
    <row r="81" spans="1:7" x14ac:dyDescent="0.25">
      <c r="A81" t="s">
        <v>97</v>
      </c>
      <c r="B81" t="s">
        <v>8</v>
      </c>
      <c r="C81" t="s">
        <v>9</v>
      </c>
      <c r="D81">
        <v>43</v>
      </c>
      <c r="E81" s="1">
        <v>44620</v>
      </c>
      <c r="F81">
        <v>36040</v>
      </c>
      <c r="G81" t="s">
        <v>13</v>
      </c>
    </row>
    <row r="82" spans="1:7" x14ac:dyDescent="0.25">
      <c r="A82" t="s">
        <v>98</v>
      </c>
      <c r="B82" t="s">
        <v>15</v>
      </c>
      <c r="C82" t="s">
        <v>23</v>
      </c>
      <c r="D82">
        <v>40</v>
      </c>
      <c r="E82" s="1">
        <v>44381</v>
      </c>
      <c r="F82">
        <v>104410</v>
      </c>
      <c r="G82" t="s">
        <v>13</v>
      </c>
    </row>
    <row r="83" spans="1:7" x14ac:dyDescent="0.25">
      <c r="A83" t="s">
        <v>99</v>
      </c>
      <c r="B83" t="s">
        <v>8</v>
      </c>
      <c r="C83" t="s">
        <v>17</v>
      </c>
      <c r="D83">
        <v>30</v>
      </c>
      <c r="E83" s="1">
        <v>44606</v>
      </c>
      <c r="F83">
        <v>96800</v>
      </c>
      <c r="G83" t="s">
        <v>13</v>
      </c>
    </row>
    <row r="84" spans="1:7" x14ac:dyDescent="0.25">
      <c r="A84" t="s">
        <v>100</v>
      </c>
      <c r="B84" t="s">
        <v>15</v>
      </c>
      <c r="C84" t="s">
        <v>17</v>
      </c>
      <c r="D84">
        <v>34</v>
      </c>
      <c r="E84" s="1">
        <v>44459</v>
      </c>
      <c r="F84">
        <v>85000</v>
      </c>
      <c r="G84" t="s">
        <v>13</v>
      </c>
    </row>
    <row r="85" spans="1:7" x14ac:dyDescent="0.25">
      <c r="A85" t="s">
        <v>101</v>
      </c>
      <c r="B85" t="s">
        <v>8</v>
      </c>
      <c r="C85" t="s">
        <v>9</v>
      </c>
      <c r="D85">
        <v>28</v>
      </c>
      <c r="E85" s="1">
        <v>44820</v>
      </c>
      <c r="F85">
        <v>43510</v>
      </c>
      <c r="G85" t="s">
        <v>49</v>
      </c>
    </row>
    <row r="86" spans="1:7" x14ac:dyDescent="0.25">
      <c r="A86" t="s">
        <v>102</v>
      </c>
      <c r="B86" t="s">
        <v>8</v>
      </c>
      <c r="C86" t="s">
        <v>17</v>
      </c>
      <c r="D86">
        <v>33</v>
      </c>
      <c r="E86" s="1">
        <v>44243</v>
      </c>
      <c r="F86">
        <v>59430</v>
      </c>
      <c r="G86" t="s">
        <v>13</v>
      </c>
    </row>
    <row r="87" spans="1:7" x14ac:dyDescent="0.25">
      <c r="A87" t="s">
        <v>103</v>
      </c>
      <c r="B87" t="s">
        <v>15</v>
      </c>
      <c r="C87" t="s">
        <v>17</v>
      </c>
      <c r="D87">
        <v>33</v>
      </c>
      <c r="E87" s="1">
        <v>44067</v>
      </c>
      <c r="F87">
        <v>65360</v>
      </c>
      <c r="G87" t="s">
        <v>13</v>
      </c>
    </row>
    <row r="88" spans="1:7" x14ac:dyDescent="0.25">
      <c r="A88" t="s">
        <v>104</v>
      </c>
      <c r="B88" t="s">
        <v>15</v>
      </c>
      <c r="C88" t="s">
        <v>12</v>
      </c>
      <c r="D88">
        <v>32</v>
      </c>
      <c r="E88" s="1">
        <v>44611</v>
      </c>
      <c r="F88">
        <v>41570</v>
      </c>
      <c r="G88" t="s">
        <v>13</v>
      </c>
    </row>
    <row r="89" spans="1:7" x14ac:dyDescent="0.25">
      <c r="A89" t="s">
        <v>105</v>
      </c>
      <c r="B89" t="s">
        <v>15</v>
      </c>
      <c r="C89" t="s">
        <v>23</v>
      </c>
      <c r="D89">
        <v>33</v>
      </c>
      <c r="E89" s="1">
        <v>44312</v>
      </c>
      <c r="F89">
        <v>75280</v>
      </c>
      <c r="G89" t="s">
        <v>13</v>
      </c>
    </row>
    <row r="90" spans="1:7" x14ac:dyDescent="0.25">
      <c r="A90" t="s">
        <v>106</v>
      </c>
      <c r="B90" t="s">
        <v>8</v>
      </c>
      <c r="C90" t="s">
        <v>9</v>
      </c>
      <c r="D90">
        <v>33</v>
      </c>
      <c r="E90" s="1">
        <v>44385</v>
      </c>
      <c r="F90">
        <v>74550</v>
      </c>
      <c r="G90" t="s">
        <v>13</v>
      </c>
    </row>
    <row r="91" spans="1:7" x14ac:dyDescent="0.25">
      <c r="A91" t="s">
        <v>107</v>
      </c>
      <c r="B91" t="s">
        <v>8</v>
      </c>
      <c r="C91" t="s">
        <v>12</v>
      </c>
      <c r="D91">
        <v>30</v>
      </c>
      <c r="E91" s="1">
        <v>44701</v>
      </c>
      <c r="F91">
        <v>67950</v>
      </c>
      <c r="G91" t="s">
        <v>13</v>
      </c>
    </row>
    <row r="92" spans="1:7" x14ac:dyDescent="0.25">
      <c r="A92" t="s">
        <v>108</v>
      </c>
      <c r="B92" t="s">
        <v>8</v>
      </c>
      <c r="C92" t="s">
        <v>17</v>
      </c>
      <c r="D92">
        <v>42</v>
      </c>
      <c r="E92" s="1">
        <v>44731</v>
      </c>
      <c r="F92">
        <v>70270</v>
      </c>
      <c r="G92" t="s">
        <v>18</v>
      </c>
    </row>
    <row r="93" spans="1:7" x14ac:dyDescent="0.25">
      <c r="A93" t="s">
        <v>109</v>
      </c>
      <c r="B93" t="s">
        <v>8</v>
      </c>
      <c r="C93" t="s">
        <v>12</v>
      </c>
      <c r="D93">
        <v>26</v>
      </c>
      <c r="E93" s="1">
        <v>44411</v>
      </c>
      <c r="F93">
        <v>53540</v>
      </c>
      <c r="G93" t="s">
        <v>13</v>
      </c>
    </row>
    <row r="94" spans="1:7" x14ac:dyDescent="0.25">
      <c r="A94" t="s">
        <v>7</v>
      </c>
      <c r="B94" t="s">
        <v>8</v>
      </c>
      <c r="C94" t="s">
        <v>9</v>
      </c>
      <c r="D94">
        <v>22</v>
      </c>
      <c r="E94" s="1" t="s">
        <v>203</v>
      </c>
      <c r="F94">
        <v>112780</v>
      </c>
      <c r="G94" t="s">
        <v>10</v>
      </c>
    </row>
    <row r="95" spans="1:7" x14ac:dyDescent="0.25">
      <c r="A95" t="s">
        <v>11</v>
      </c>
      <c r="B95" t="s">
        <v>8</v>
      </c>
      <c r="C95" t="s">
        <v>12</v>
      </c>
      <c r="D95">
        <v>46</v>
      </c>
      <c r="E95" s="1">
        <v>44758</v>
      </c>
      <c r="F95">
        <v>70610</v>
      </c>
      <c r="G95" t="s">
        <v>13</v>
      </c>
    </row>
    <row r="96" spans="1:7" x14ac:dyDescent="0.25">
      <c r="A96" t="s">
        <v>14</v>
      </c>
      <c r="B96" t="s">
        <v>15</v>
      </c>
      <c r="C96" t="s">
        <v>9</v>
      </c>
      <c r="D96">
        <v>28</v>
      </c>
      <c r="E96" s="1">
        <v>44357</v>
      </c>
      <c r="F96">
        <v>53240</v>
      </c>
      <c r="G96" t="s">
        <v>13</v>
      </c>
    </row>
    <row r="97" spans="1:7" x14ac:dyDescent="0.25">
      <c r="A97" t="s">
        <v>16</v>
      </c>
      <c r="C97" t="s">
        <v>17</v>
      </c>
      <c r="D97">
        <v>37</v>
      </c>
      <c r="E97" s="1">
        <v>44146</v>
      </c>
      <c r="F97">
        <v>115440</v>
      </c>
      <c r="G97" t="s">
        <v>18</v>
      </c>
    </row>
    <row r="98" spans="1:7" x14ac:dyDescent="0.25">
      <c r="A98" t="s">
        <v>19</v>
      </c>
      <c r="B98" t="s">
        <v>8</v>
      </c>
      <c r="C98" t="s">
        <v>9</v>
      </c>
      <c r="D98">
        <v>32</v>
      </c>
      <c r="E98" s="1">
        <v>44465</v>
      </c>
      <c r="F98">
        <v>53540</v>
      </c>
      <c r="G98" t="s">
        <v>13</v>
      </c>
    </row>
    <row r="99" spans="1:7" x14ac:dyDescent="0.25">
      <c r="A99" t="s">
        <v>20</v>
      </c>
      <c r="B99" t="s">
        <v>15</v>
      </c>
      <c r="C99" t="s">
        <v>12</v>
      </c>
      <c r="D99">
        <v>30</v>
      </c>
      <c r="E99" s="1">
        <v>44861</v>
      </c>
      <c r="F99">
        <v>112570</v>
      </c>
      <c r="G99" t="s">
        <v>13</v>
      </c>
    </row>
    <row r="100" spans="1:7" x14ac:dyDescent="0.25">
      <c r="A100" t="s">
        <v>21</v>
      </c>
      <c r="B100" t="s">
        <v>8</v>
      </c>
      <c r="C100" t="s">
        <v>12</v>
      </c>
      <c r="D100">
        <v>33</v>
      </c>
      <c r="E100" s="1">
        <v>44701</v>
      </c>
      <c r="F100">
        <v>48530</v>
      </c>
      <c r="G100" t="s">
        <v>10</v>
      </c>
    </row>
    <row r="101" spans="1:7" x14ac:dyDescent="0.25">
      <c r="A101" t="s">
        <v>22</v>
      </c>
      <c r="B101" t="s">
        <v>15</v>
      </c>
      <c r="C101" t="s">
        <v>23</v>
      </c>
      <c r="D101">
        <v>24</v>
      </c>
      <c r="E101" s="1">
        <v>44148</v>
      </c>
      <c r="F101">
        <v>62780</v>
      </c>
      <c r="G101" t="s">
        <v>13</v>
      </c>
    </row>
    <row r="102" spans="1:7" s="2" customFormat="1" x14ac:dyDescent="0.25">
      <c r="A102" s="2" t="s">
        <v>202</v>
      </c>
      <c r="D102" s="2">
        <f>SUBTOTAL(101,nz_staff[Age])</f>
        <v>30.52</v>
      </c>
      <c r="F102" s="2">
        <f>SUBTOTAL(101,nz_staff[Salary])</f>
        <v>77472.100000000006</v>
      </c>
      <c r="G102" s="2">
        <f>SUBTOTAL(103,nz_staff[Rating])</f>
        <v>100</v>
      </c>
    </row>
  </sheetData>
  <conditionalFormatting sqref="A1:A1048576">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28CA-D84C-456C-AEC2-23CB22358BE6}">
  <dimension ref="A1:G113"/>
  <sheetViews>
    <sheetView topLeftCell="A83" workbookViewId="0">
      <selection activeCell="E11" sqref="E11"/>
    </sheetView>
  </sheetViews>
  <sheetFormatPr defaultRowHeight="15" x14ac:dyDescent="0.25"/>
  <cols>
    <col min="1" max="1" width="30" bestFit="1" customWidth="1"/>
    <col min="2" max="2" width="9.85546875" customWidth="1"/>
    <col min="3" max="3" width="6.42578125" customWidth="1"/>
    <col min="4" max="4" width="13.7109375" bestFit="1" customWidth="1"/>
    <col min="5" max="5" width="13.7109375" customWidth="1"/>
    <col min="6" max="6" width="14" customWidth="1"/>
    <col min="7" max="7" width="8.5703125" customWidth="1"/>
  </cols>
  <sheetData>
    <row r="1" spans="1:7" x14ac:dyDescent="0.25">
      <c r="A1" t="s">
        <v>0</v>
      </c>
      <c r="B1" t="s">
        <v>1</v>
      </c>
      <c r="C1" t="s">
        <v>3</v>
      </c>
      <c r="D1" t="s">
        <v>6</v>
      </c>
      <c r="E1" t="s">
        <v>4</v>
      </c>
      <c r="F1" t="s">
        <v>2</v>
      </c>
      <c r="G1" t="s">
        <v>5</v>
      </c>
    </row>
    <row r="2" spans="1:7" x14ac:dyDescent="0.25">
      <c r="A2" t="s">
        <v>110</v>
      </c>
      <c r="B2" t="s">
        <v>8</v>
      </c>
      <c r="C2">
        <v>20</v>
      </c>
      <c r="D2" t="s">
        <v>13</v>
      </c>
      <c r="E2" s="1">
        <v>44122</v>
      </c>
      <c r="F2" t="s">
        <v>23</v>
      </c>
      <c r="G2">
        <v>112650</v>
      </c>
    </row>
    <row r="3" spans="1:7" x14ac:dyDescent="0.25">
      <c r="A3" t="s">
        <v>111</v>
      </c>
      <c r="B3" t="s">
        <v>15</v>
      </c>
      <c r="C3">
        <v>32</v>
      </c>
      <c r="D3" t="s">
        <v>10</v>
      </c>
      <c r="E3" s="1">
        <v>44293</v>
      </c>
      <c r="F3" t="s">
        <v>23</v>
      </c>
      <c r="G3">
        <v>43840</v>
      </c>
    </row>
    <row r="4" spans="1:7" x14ac:dyDescent="0.25">
      <c r="A4" t="s">
        <v>112</v>
      </c>
      <c r="B4" t="s">
        <v>8</v>
      </c>
      <c r="C4">
        <v>31</v>
      </c>
      <c r="D4" t="s">
        <v>13</v>
      </c>
      <c r="E4" s="1">
        <v>44663</v>
      </c>
      <c r="F4" t="s">
        <v>12</v>
      </c>
      <c r="G4">
        <v>103550</v>
      </c>
    </row>
    <row r="5" spans="1:7" x14ac:dyDescent="0.25">
      <c r="A5" t="s">
        <v>113</v>
      </c>
      <c r="B5" t="s">
        <v>15</v>
      </c>
      <c r="C5">
        <v>32</v>
      </c>
      <c r="D5" t="s">
        <v>13</v>
      </c>
      <c r="E5" s="1">
        <v>44339</v>
      </c>
      <c r="F5" t="s">
        <v>26</v>
      </c>
      <c r="G5">
        <v>45510</v>
      </c>
    </row>
    <row r="6" spans="1:7" x14ac:dyDescent="0.25">
      <c r="A6" t="s">
        <v>114</v>
      </c>
      <c r="C6">
        <v>37</v>
      </c>
      <c r="D6" t="s">
        <v>18</v>
      </c>
      <c r="E6" s="1">
        <v>44085</v>
      </c>
      <c r="F6" t="s">
        <v>17</v>
      </c>
      <c r="G6">
        <v>115440</v>
      </c>
    </row>
    <row r="7" spans="1:7" x14ac:dyDescent="0.25">
      <c r="A7" t="s">
        <v>115</v>
      </c>
      <c r="B7" t="s">
        <v>15</v>
      </c>
      <c r="C7">
        <v>38</v>
      </c>
      <c r="D7" t="s">
        <v>10</v>
      </c>
      <c r="E7" s="1">
        <v>44268</v>
      </c>
      <c r="F7" t="s">
        <v>9</v>
      </c>
      <c r="G7">
        <v>56870</v>
      </c>
    </row>
    <row r="8" spans="1:7" x14ac:dyDescent="0.25">
      <c r="A8" t="s">
        <v>116</v>
      </c>
      <c r="B8" t="s">
        <v>15</v>
      </c>
      <c r="C8">
        <v>25</v>
      </c>
      <c r="D8" t="s">
        <v>13</v>
      </c>
      <c r="E8" s="1">
        <v>44144</v>
      </c>
      <c r="F8" t="s">
        <v>9</v>
      </c>
      <c r="G8">
        <v>92700</v>
      </c>
    </row>
    <row r="9" spans="1:7" x14ac:dyDescent="0.25">
      <c r="A9" t="s">
        <v>117</v>
      </c>
      <c r="C9">
        <v>32</v>
      </c>
      <c r="D9" t="s">
        <v>13</v>
      </c>
      <c r="E9" s="1">
        <v>44713</v>
      </c>
      <c r="F9" t="s">
        <v>23</v>
      </c>
      <c r="G9">
        <v>91310</v>
      </c>
    </row>
    <row r="10" spans="1:7" x14ac:dyDescent="0.25">
      <c r="A10" t="s">
        <v>118</v>
      </c>
      <c r="B10" t="s">
        <v>8</v>
      </c>
      <c r="C10">
        <v>33</v>
      </c>
      <c r="D10" t="s">
        <v>13</v>
      </c>
      <c r="E10" s="1">
        <v>44324</v>
      </c>
      <c r="F10" t="s">
        <v>9</v>
      </c>
      <c r="G10">
        <v>74550</v>
      </c>
    </row>
    <row r="11" spans="1:7" x14ac:dyDescent="0.25">
      <c r="A11" t="s">
        <v>119</v>
      </c>
      <c r="B11" t="s">
        <v>8</v>
      </c>
      <c r="C11">
        <v>25</v>
      </c>
      <c r="D11" t="s">
        <v>10</v>
      </c>
      <c r="E11" s="1">
        <v>44665</v>
      </c>
      <c r="F11" t="s">
        <v>12</v>
      </c>
      <c r="G11">
        <v>109190</v>
      </c>
    </row>
    <row r="12" spans="1:7" x14ac:dyDescent="0.25">
      <c r="A12" t="s">
        <v>120</v>
      </c>
      <c r="B12" t="s">
        <v>15</v>
      </c>
      <c r="C12">
        <v>40</v>
      </c>
      <c r="D12" t="s">
        <v>13</v>
      </c>
      <c r="E12" s="1">
        <v>44320</v>
      </c>
      <c r="F12" t="s">
        <v>23</v>
      </c>
      <c r="G12">
        <v>104410</v>
      </c>
    </row>
    <row r="13" spans="1:7" x14ac:dyDescent="0.25">
      <c r="A13" t="s">
        <v>121</v>
      </c>
      <c r="B13" t="s">
        <v>8</v>
      </c>
      <c r="C13">
        <v>30</v>
      </c>
      <c r="D13" t="s">
        <v>13</v>
      </c>
      <c r="E13" s="1">
        <v>44544</v>
      </c>
      <c r="F13" t="s">
        <v>17</v>
      </c>
      <c r="G13">
        <v>96800</v>
      </c>
    </row>
    <row r="14" spans="1:7" x14ac:dyDescent="0.25">
      <c r="A14" t="s">
        <v>122</v>
      </c>
      <c r="B14" t="s">
        <v>8</v>
      </c>
      <c r="C14">
        <v>28</v>
      </c>
      <c r="D14" t="s">
        <v>10</v>
      </c>
      <c r="E14" s="1">
        <v>43980</v>
      </c>
      <c r="F14" t="s">
        <v>17</v>
      </c>
      <c r="G14">
        <v>48170</v>
      </c>
    </row>
    <row r="15" spans="1:7" x14ac:dyDescent="0.25">
      <c r="A15" t="s">
        <v>123</v>
      </c>
      <c r="B15" t="s">
        <v>8</v>
      </c>
      <c r="C15">
        <v>21</v>
      </c>
      <c r="D15" t="s">
        <v>13</v>
      </c>
      <c r="E15" s="1">
        <v>44042</v>
      </c>
      <c r="F15" t="s">
        <v>12</v>
      </c>
      <c r="G15">
        <v>37920</v>
      </c>
    </row>
    <row r="16" spans="1:7" x14ac:dyDescent="0.25">
      <c r="A16" t="s">
        <v>124</v>
      </c>
      <c r="B16" t="s">
        <v>8</v>
      </c>
      <c r="C16">
        <v>34</v>
      </c>
      <c r="D16" t="s">
        <v>13</v>
      </c>
      <c r="E16" s="1">
        <v>44642</v>
      </c>
      <c r="F16" t="s">
        <v>12</v>
      </c>
      <c r="G16">
        <v>112650</v>
      </c>
    </row>
    <row r="17" spans="1:7" x14ac:dyDescent="0.25">
      <c r="A17" t="s">
        <v>125</v>
      </c>
      <c r="B17" t="s">
        <v>15</v>
      </c>
      <c r="C17">
        <v>34</v>
      </c>
      <c r="D17" t="s">
        <v>18</v>
      </c>
      <c r="E17" s="1">
        <v>44660</v>
      </c>
      <c r="F17" t="s">
        <v>9</v>
      </c>
      <c r="G17">
        <v>49630</v>
      </c>
    </row>
    <row r="18" spans="1:7" x14ac:dyDescent="0.25">
      <c r="A18" t="s">
        <v>126</v>
      </c>
      <c r="B18" t="s">
        <v>8</v>
      </c>
      <c r="C18">
        <v>36</v>
      </c>
      <c r="D18" t="s">
        <v>13</v>
      </c>
      <c r="E18" s="1">
        <v>43958</v>
      </c>
      <c r="F18" t="s">
        <v>23</v>
      </c>
      <c r="G18">
        <v>118840</v>
      </c>
    </row>
    <row r="19" spans="1:7" x14ac:dyDescent="0.25">
      <c r="A19" t="s">
        <v>127</v>
      </c>
      <c r="B19" t="s">
        <v>8</v>
      </c>
      <c r="C19">
        <v>30</v>
      </c>
      <c r="D19" t="s">
        <v>13</v>
      </c>
      <c r="E19" s="1">
        <v>44789</v>
      </c>
      <c r="F19" t="s">
        <v>23</v>
      </c>
      <c r="G19">
        <v>69710</v>
      </c>
    </row>
    <row r="20" spans="1:7" x14ac:dyDescent="0.25">
      <c r="A20" t="s">
        <v>128</v>
      </c>
      <c r="B20" t="s">
        <v>8</v>
      </c>
      <c r="C20">
        <v>20</v>
      </c>
      <c r="D20" t="s">
        <v>13</v>
      </c>
      <c r="E20" s="1">
        <v>44683</v>
      </c>
      <c r="F20" t="s">
        <v>12</v>
      </c>
      <c r="G20">
        <v>79570</v>
      </c>
    </row>
    <row r="21" spans="1:7" x14ac:dyDescent="0.25">
      <c r="A21" t="s">
        <v>129</v>
      </c>
      <c r="B21" t="s">
        <v>15</v>
      </c>
      <c r="C21">
        <v>22</v>
      </c>
      <c r="D21" t="s">
        <v>10</v>
      </c>
      <c r="E21" s="1">
        <v>44388</v>
      </c>
      <c r="F21" t="s">
        <v>12</v>
      </c>
      <c r="G21">
        <v>76900</v>
      </c>
    </row>
    <row r="22" spans="1:7" x14ac:dyDescent="0.25">
      <c r="A22" t="s">
        <v>130</v>
      </c>
      <c r="B22" t="s">
        <v>8</v>
      </c>
      <c r="C22">
        <v>27</v>
      </c>
      <c r="D22" t="s">
        <v>13</v>
      </c>
      <c r="E22" s="1">
        <v>44073</v>
      </c>
      <c r="F22" t="s">
        <v>9</v>
      </c>
      <c r="G22">
        <v>54970</v>
      </c>
    </row>
    <row r="23" spans="1:7" x14ac:dyDescent="0.25">
      <c r="A23" t="s">
        <v>131</v>
      </c>
      <c r="B23" t="s">
        <v>8</v>
      </c>
      <c r="C23">
        <v>37</v>
      </c>
      <c r="D23" t="s">
        <v>18</v>
      </c>
      <c r="E23" s="1">
        <v>44277</v>
      </c>
      <c r="F23" t="s">
        <v>23</v>
      </c>
      <c r="G23">
        <v>88050</v>
      </c>
    </row>
    <row r="24" spans="1:7" x14ac:dyDescent="0.25">
      <c r="A24" t="s">
        <v>132</v>
      </c>
      <c r="B24" t="s">
        <v>8</v>
      </c>
      <c r="C24">
        <v>43</v>
      </c>
      <c r="D24" t="s">
        <v>13</v>
      </c>
      <c r="E24" s="1">
        <v>44558</v>
      </c>
      <c r="F24" t="s">
        <v>9</v>
      </c>
      <c r="G24">
        <v>36040</v>
      </c>
    </row>
    <row r="25" spans="1:7" x14ac:dyDescent="0.25">
      <c r="A25" t="s">
        <v>133</v>
      </c>
      <c r="B25" t="s">
        <v>15</v>
      </c>
      <c r="C25">
        <v>42</v>
      </c>
      <c r="D25" t="s">
        <v>43</v>
      </c>
      <c r="E25" s="1">
        <v>44718</v>
      </c>
      <c r="F25" t="s">
        <v>12</v>
      </c>
      <c r="G25">
        <v>75000</v>
      </c>
    </row>
    <row r="26" spans="1:7" x14ac:dyDescent="0.25">
      <c r="A26" t="s">
        <v>134</v>
      </c>
      <c r="B26" t="s">
        <v>8</v>
      </c>
      <c r="C26">
        <v>35</v>
      </c>
      <c r="D26" t="s">
        <v>13</v>
      </c>
      <c r="E26" s="1">
        <v>44666</v>
      </c>
      <c r="F26" t="s">
        <v>12</v>
      </c>
      <c r="G26">
        <v>40400</v>
      </c>
    </row>
    <row r="27" spans="1:7" x14ac:dyDescent="0.25">
      <c r="A27" t="s">
        <v>135</v>
      </c>
      <c r="B27" t="s">
        <v>8</v>
      </c>
      <c r="C27">
        <v>24</v>
      </c>
      <c r="D27" t="s">
        <v>13</v>
      </c>
      <c r="E27" s="1">
        <v>44625</v>
      </c>
      <c r="F27" t="s">
        <v>23</v>
      </c>
      <c r="G27">
        <v>100420</v>
      </c>
    </row>
    <row r="28" spans="1:7" x14ac:dyDescent="0.25">
      <c r="A28" t="s">
        <v>136</v>
      </c>
      <c r="B28" t="s">
        <v>15</v>
      </c>
      <c r="C28">
        <v>31</v>
      </c>
      <c r="D28" t="s">
        <v>13</v>
      </c>
      <c r="E28" s="1">
        <v>44604</v>
      </c>
      <c r="F28" t="s">
        <v>23</v>
      </c>
      <c r="G28">
        <v>58100</v>
      </c>
    </row>
    <row r="29" spans="1:7" x14ac:dyDescent="0.25">
      <c r="A29" t="s">
        <v>137</v>
      </c>
      <c r="B29" t="s">
        <v>15</v>
      </c>
      <c r="C29">
        <v>44</v>
      </c>
      <c r="D29" t="s">
        <v>13</v>
      </c>
      <c r="E29" s="1">
        <v>44985</v>
      </c>
      <c r="F29" t="s">
        <v>23</v>
      </c>
      <c r="G29">
        <v>114870</v>
      </c>
    </row>
    <row r="30" spans="1:7" x14ac:dyDescent="0.25">
      <c r="A30" t="s">
        <v>138</v>
      </c>
      <c r="B30" t="s">
        <v>15</v>
      </c>
      <c r="C30">
        <v>32</v>
      </c>
      <c r="D30" t="s">
        <v>13</v>
      </c>
      <c r="E30" s="1">
        <v>44549</v>
      </c>
      <c r="F30" t="s">
        <v>12</v>
      </c>
      <c r="G30">
        <v>41570</v>
      </c>
    </row>
    <row r="31" spans="1:7" x14ac:dyDescent="0.25">
      <c r="A31" t="s">
        <v>139</v>
      </c>
      <c r="B31" t="s">
        <v>15</v>
      </c>
      <c r="C31">
        <v>30</v>
      </c>
      <c r="D31" t="s">
        <v>13</v>
      </c>
      <c r="E31" s="1">
        <v>44800</v>
      </c>
      <c r="F31" t="s">
        <v>12</v>
      </c>
      <c r="G31">
        <v>112570</v>
      </c>
    </row>
    <row r="32" spans="1:7" x14ac:dyDescent="0.25">
      <c r="A32" t="s">
        <v>140</v>
      </c>
      <c r="B32" t="s">
        <v>8</v>
      </c>
      <c r="C32">
        <v>26</v>
      </c>
      <c r="D32" t="s">
        <v>13</v>
      </c>
      <c r="E32" s="1">
        <v>44164</v>
      </c>
      <c r="F32" t="s">
        <v>12</v>
      </c>
      <c r="G32">
        <v>47360</v>
      </c>
    </row>
    <row r="33" spans="1:7" x14ac:dyDescent="0.25">
      <c r="A33" t="s">
        <v>141</v>
      </c>
      <c r="B33" t="s">
        <v>15</v>
      </c>
      <c r="C33">
        <v>21</v>
      </c>
      <c r="D33" t="s">
        <v>13</v>
      </c>
      <c r="E33" s="1">
        <v>44256</v>
      </c>
      <c r="F33" t="s">
        <v>17</v>
      </c>
      <c r="G33">
        <v>65920</v>
      </c>
    </row>
    <row r="34" spans="1:7" x14ac:dyDescent="0.25">
      <c r="A34" t="s">
        <v>142</v>
      </c>
      <c r="B34" t="s">
        <v>15</v>
      </c>
      <c r="C34">
        <v>28</v>
      </c>
      <c r="D34" t="s">
        <v>13</v>
      </c>
      <c r="E34" s="1">
        <v>44571</v>
      </c>
      <c r="F34" t="s">
        <v>12</v>
      </c>
      <c r="G34">
        <v>99970</v>
      </c>
    </row>
    <row r="35" spans="1:7" x14ac:dyDescent="0.25">
      <c r="A35" t="s">
        <v>143</v>
      </c>
      <c r="B35" t="s">
        <v>15</v>
      </c>
      <c r="C35">
        <v>25</v>
      </c>
      <c r="D35" t="s">
        <v>10</v>
      </c>
      <c r="E35" s="1">
        <v>44633</v>
      </c>
      <c r="F35" t="s">
        <v>23</v>
      </c>
      <c r="G35">
        <v>80700</v>
      </c>
    </row>
    <row r="36" spans="1:7" x14ac:dyDescent="0.25">
      <c r="A36" t="s">
        <v>144</v>
      </c>
      <c r="B36" t="s">
        <v>8</v>
      </c>
      <c r="C36">
        <v>24</v>
      </c>
      <c r="D36" t="s">
        <v>18</v>
      </c>
      <c r="E36" s="1">
        <v>44375</v>
      </c>
      <c r="F36" t="s">
        <v>17</v>
      </c>
      <c r="G36">
        <v>52610</v>
      </c>
    </row>
    <row r="37" spans="1:7" x14ac:dyDescent="0.25">
      <c r="A37" t="s">
        <v>145</v>
      </c>
      <c r="B37" t="s">
        <v>8</v>
      </c>
      <c r="C37">
        <v>29</v>
      </c>
      <c r="D37" t="s">
        <v>18</v>
      </c>
      <c r="E37" s="1">
        <v>44119</v>
      </c>
      <c r="F37" t="s">
        <v>23</v>
      </c>
      <c r="G37">
        <v>112110</v>
      </c>
    </row>
    <row r="38" spans="1:7" x14ac:dyDescent="0.25">
      <c r="A38" t="s">
        <v>146</v>
      </c>
      <c r="B38" t="s">
        <v>15</v>
      </c>
      <c r="C38">
        <v>27</v>
      </c>
      <c r="D38" t="s">
        <v>13</v>
      </c>
      <c r="E38" s="1">
        <v>44061</v>
      </c>
      <c r="F38" t="s">
        <v>26</v>
      </c>
      <c r="G38">
        <v>119110</v>
      </c>
    </row>
    <row r="39" spans="1:7" x14ac:dyDescent="0.25">
      <c r="A39" t="s">
        <v>147</v>
      </c>
      <c r="B39" t="s">
        <v>8</v>
      </c>
      <c r="C39">
        <v>22</v>
      </c>
      <c r="D39" t="s">
        <v>10</v>
      </c>
      <c r="E39" s="1">
        <v>44384</v>
      </c>
      <c r="F39" t="s">
        <v>9</v>
      </c>
      <c r="G39">
        <v>112780</v>
      </c>
    </row>
    <row r="40" spans="1:7" x14ac:dyDescent="0.25">
      <c r="A40" t="s">
        <v>148</v>
      </c>
      <c r="B40" t="s">
        <v>15</v>
      </c>
      <c r="C40">
        <v>36</v>
      </c>
      <c r="D40" t="s">
        <v>13</v>
      </c>
      <c r="E40" s="1">
        <v>44023</v>
      </c>
      <c r="F40" t="s">
        <v>12</v>
      </c>
      <c r="G40">
        <v>114890</v>
      </c>
    </row>
    <row r="41" spans="1:7" x14ac:dyDescent="0.25">
      <c r="A41" t="s">
        <v>149</v>
      </c>
      <c r="B41" t="s">
        <v>8</v>
      </c>
      <c r="C41">
        <v>27</v>
      </c>
      <c r="D41" t="s">
        <v>13</v>
      </c>
      <c r="E41" s="1">
        <v>44506</v>
      </c>
      <c r="F41" t="s">
        <v>17</v>
      </c>
      <c r="G41">
        <v>48980</v>
      </c>
    </row>
    <row r="42" spans="1:7" x14ac:dyDescent="0.25">
      <c r="A42" t="s">
        <v>150</v>
      </c>
      <c r="B42" t="s">
        <v>8</v>
      </c>
      <c r="C42">
        <v>21</v>
      </c>
      <c r="D42" t="s">
        <v>13</v>
      </c>
      <c r="E42" s="1">
        <v>44180</v>
      </c>
      <c r="F42" t="s">
        <v>26</v>
      </c>
      <c r="G42">
        <v>75880</v>
      </c>
    </row>
    <row r="43" spans="1:7" x14ac:dyDescent="0.25">
      <c r="A43" t="s">
        <v>151</v>
      </c>
      <c r="B43" t="s">
        <v>15</v>
      </c>
      <c r="C43">
        <v>28</v>
      </c>
      <c r="D43" t="s">
        <v>13</v>
      </c>
      <c r="E43" s="1">
        <v>44296</v>
      </c>
      <c r="F43" t="s">
        <v>9</v>
      </c>
      <c r="G43">
        <v>53240</v>
      </c>
    </row>
    <row r="44" spans="1:7" x14ac:dyDescent="0.25">
      <c r="A44" t="s">
        <v>152</v>
      </c>
      <c r="B44" t="s">
        <v>15</v>
      </c>
      <c r="C44">
        <v>34</v>
      </c>
      <c r="D44" t="s">
        <v>13</v>
      </c>
      <c r="E44" s="1">
        <v>44397</v>
      </c>
      <c r="F44" t="s">
        <v>17</v>
      </c>
      <c r="G44">
        <v>85000</v>
      </c>
    </row>
    <row r="45" spans="1:7" x14ac:dyDescent="0.25">
      <c r="A45" t="s">
        <v>153</v>
      </c>
      <c r="B45" t="s">
        <v>15</v>
      </c>
      <c r="C45">
        <v>21</v>
      </c>
      <c r="D45" t="s">
        <v>13</v>
      </c>
      <c r="E45" s="1">
        <v>44619</v>
      </c>
      <c r="F45" t="s">
        <v>23</v>
      </c>
      <c r="G45">
        <v>33920</v>
      </c>
    </row>
    <row r="46" spans="1:7" x14ac:dyDescent="0.25">
      <c r="A46" t="s">
        <v>154</v>
      </c>
      <c r="B46" t="s">
        <v>15</v>
      </c>
      <c r="C46">
        <v>33</v>
      </c>
      <c r="D46" t="s">
        <v>13</v>
      </c>
      <c r="E46" s="1">
        <v>44253</v>
      </c>
      <c r="F46" t="s">
        <v>23</v>
      </c>
      <c r="G46">
        <v>75280</v>
      </c>
    </row>
    <row r="47" spans="1:7" x14ac:dyDescent="0.25">
      <c r="A47" t="s">
        <v>155</v>
      </c>
      <c r="B47" t="s">
        <v>15</v>
      </c>
      <c r="C47">
        <v>34</v>
      </c>
      <c r="D47" t="s">
        <v>13</v>
      </c>
      <c r="E47" s="1">
        <v>44594</v>
      </c>
      <c r="F47" t="s">
        <v>17</v>
      </c>
      <c r="G47">
        <v>58940</v>
      </c>
    </row>
    <row r="48" spans="1:7" x14ac:dyDescent="0.25">
      <c r="A48" t="s">
        <v>156</v>
      </c>
      <c r="B48" t="s">
        <v>15</v>
      </c>
      <c r="C48">
        <v>28</v>
      </c>
      <c r="D48" t="s">
        <v>13</v>
      </c>
      <c r="E48" s="1">
        <v>44425</v>
      </c>
      <c r="F48" t="s">
        <v>12</v>
      </c>
      <c r="G48">
        <v>104770</v>
      </c>
    </row>
    <row r="49" spans="1:7" x14ac:dyDescent="0.25">
      <c r="A49" t="s">
        <v>157</v>
      </c>
      <c r="B49" t="s">
        <v>8</v>
      </c>
      <c r="C49">
        <v>21</v>
      </c>
      <c r="D49" t="s">
        <v>13</v>
      </c>
      <c r="E49" s="1">
        <v>44701</v>
      </c>
      <c r="F49" t="s">
        <v>12</v>
      </c>
      <c r="G49">
        <v>57090</v>
      </c>
    </row>
    <row r="50" spans="1:7" x14ac:dyDescent="0.25">
      <c r="A50" t="s">
        <v>158</v>
      </c>
      <c r="B50" t="s">
        <v>8</v>
      </c>
      <c r="C50">
        <v>27</v>
      </c>
      <c r="D50" t="s">
        <v>10</v>
      </c>
      <c r="E50" s="1">
        <v>44174</v>
      </c>
      <c r="F50" t="s">
        <v>17</v>
      </c>
      <c r="G50">
        <v>91650</v>
      </c>
    </row>
    <row r="51" spans="1:7" x14ac:dyDescent="0.25">
      <c r="A51" t="s">
        <v>159</v>
      </c>
      <c r="B51" t="s">
        <v>8</v>
      </c>
      <c r="C51">
        <v>42</v>
      </c>
      <c r="D51" t="s">
        <v>18</v>
      </c>
      <c r="E51" s="1">
        <v>44670</v>
      </c>
      <c r="F51" t="s">
        <v>17</v>
      </c>
      <c r="G51">
        <v>70270</v>
      </c>
    </row>
    <row r="52" spans="1:7" x14ac:dyDescent="0.25">
      <c r="A52" t="s">
        <v>160</v>
      </c>
      <c r="B52" t="s">
        <v>15</v>
      </c>
      <c r="C52">
        <v>28</v>
      </c>
      <c r="D52" t="s">
        <v>13</v>
      </c>
      <c r="E52" s="1">
        <v>44124</v>
      </c>
      <c r="F52" t="s">
        <v>17</v>
      </c>
      <c r="G52">
        <v>75970</v>
      </c>
    </row>
    <row r="53" spans="1:7" x14ac:dyDescent="0.25">
      <c r="A53" t="s">
        <v>161</v>
      </c>
      <c r="C53">
        <v>27</v>
      </c>
      <c r="D53" t="s">
        <v>10</v>
      </c>
      <c r="E53" s="1">
        <v>44212</v>
      </c>
      <c r="F53" t="s">
        <v>23</v>
      </c>
      <c r="G53">
        <v>90700</v>
      </c>
    </row>
    <row r="54" spans="1:7" x14ac:dyDescent="0.25">
      <c r="A54" t="s">
        <v>162</v>
      </c>
      <c r="B54" t="s">
        <v>8</v>
      </c>
      <c r="C54">
        <v>30</v>
      </c>
      <c r="D54" t="s">
        <v>13</v>
      </c>
      <c r="E54" s="1">
        <v>44607</v>
      </c>
      <c r="F54" t="s">
        <v>12</v>
      </c>
      <c r="G54">
        <v>60570</v>
      </c>
    </row>
    <row r="55" spans="1:7" x14ac:dyDescent="0.25">
      <c r="A55" t="s">
        <v>163</v>
      </c>
      <c r="B55" t="s">
        <v>8</v>
      </c>
      <c r="C55">
        <v>33</v>
      </c>
      <c r="D55" t="s">
        <v>13</v>
      </c>
      <c r="E55" s="1">
        <v>44103</v>
      </c>
      <c r="F55" t="s">
        <v>12</v>
      </c>
      <c r="G55">
        <v>115920</v>
      </c>
    </row>
    <row r="56" spans="1:7" x14ac:dyDescent="0.25">
      <c r="A56" t="s">
        <v>164</v>
      </c>
      <c r="B56" t="s">
        <v>15</v>
      </c>
      <c r="C56">
        <v>33</v>
      </c>
      <c r="D56" t="s">
        <v>13</v>
      </c>
      <c r="E56" s="1">
        <v>44006</v>
      </c>
      <c r="F56" t="s">
        <v>17</v>
      </c>
      <c r="G56">
        <v>65360</v>
      </c>
    </row>
    <row r="57" spans="1:7" x14ac:dyDescent="0.25">
      <c r="A57" t="s">
        <v>165</v>
      </c>
      <c r="C57">
        <v>30</v>
      </c>
      <c r="D57" t="s">
        <v>13</v>
      </c>
      <c r="E57" s="1">
        <v>44535</v>
      </c>
      <c r="F57" t="s">
        <v>17</v>
      </c>
      <c r="G57">
        <v>64000</v>
      </c>
    </row>
    <row r="58" spans="1:7" x14ac:dyDescent="0.25">
      <c r="A58" t="s">
        <v>166</v>
      </c>
      <c r="B58" t="s">
        <v>15</v>
      </c>
      <c r="C58">
        <v>34</v>
      </c>
      <c r="D58" t="s">
        <v>13</v>
      </c>
      <c r="E58" s="1">
        <v>44383</v>
      </c>
      <c r="F58" t="s">
        <v>17</v>
      </c>
      <c r="G58">
        <v>92450</v>
      </c>
    </row>
    <row r="59" spans="1:7" x14ac:dyDescent="0.25">
      <c r="A59" t="s">
        <v>167</v>
      </c>
      <c r="B59" t="s">
        <v>8</v>
      </c>
      <c r="C59">
        <v>31</v>
      </c>
      <c r="D59" t="s">
        <v>13</v>
      </c>
      <c r="E59" s="1">
        <v>44450</v>
      </c>
      <c r="F59" t="s">
        <v>23</v>
      </c>
      <c r="G59">
        <v>48950</v>
      </c>
    </row>
    <row r="60" spans="1:7" x14ac:dyDescent="0.25">
      <c r="A60" t="s">
        <v>168</v>
      </c>
      <c r="B60" t="s">
        <v>15</v>
      </c>
      <c r="C60">
        <v>27</v>
      </c>
      <c r="D60" t="s">
        <v>13</v>
      </c>
      <c r="E60" s="1">
        <v>44625</v>
      </c>
      <c r="F60" t="s">
        <v>23</v>
      </c>
      <c r="G60">
        <v>83750</v>
      </c>
    </row>
    <row r="61" spans="1:7" x14ac:dyDescent="0.25">
      <c r="A61" t="s">
        <v>169</v>
      </c>
      <c r="B61" t="s">
        <v>15</v>
      </c>
      <c r="C61">
        <v>40</v>
      </c>
      <c r="D61" t="s">
        <v>13</v>
      </c>
      <c r="E61" s="1">
        <v>44276</v>
      </c>
      <c r="F61" t="s">
        <v>23</v>
      </c>
      <c r="G61">
        <v>87620</v>
      </c>
    </row>
    <row r="62" spans="1:7" x14ac:dyDescent="0.25">
      <c r="A62" t="s">
        <v>170</v>
      </c>
      <c r="B62" t="s">
        <v>15</v>
      </c>
      <c r="C62">
        <v>20</v>
      </c>
      <c r="D62" t="s">
        <v>18</v>
      </c>
      <c r="E62" s="1">
        <v>44476</v>
      </c>
      <c r="F62" t="s">
        <v>9</v>
      </c>
      <c r="G62">
        <v>68900</v>
      </c>
    </row>
    <row r="63" spans="1:7" x14ac:dyDescent="0.25">
      <c r="A63" t="s">
        <v>171</v>
      </c>
      <c r="B63" t="s">
        <v>8</v>
      </c>
      <c r="C63">
        <v>32</v>
      </c>
      <c r="D63" t="s">
        <v>13</v>
      </c>
      <c r="E63" s="1">
        <v>44403</v>
      </c>
      <c r="F63" t="s">
        <v>9</v>
      </c>
      <c r="G63">
        <v>53540</v>
      </c>
    </row>
    <row r="64" spans="1:7" x14ac:dyDescent="0.25">
      <c r="A64" t="s">
        <v>172</v>
      </c>
      <c r="B64" t="s">
        <v>8</v>
      </c>
      <c r="C64">
        <v>28</v>
      </c>
      <c r="D64" t="s">
        <v>49</v>
      </c>
      <c r="E64" s="1">
        <v>44758</v>
      </c>
      <c r="F64" t="s">
        <v>9</v>
      </c>
      <c r="G64">
        <v>43510</v>
      </c>
    </row>
    <row r="65" spans="1:7" x14ac:dyDescent="0.25">
      <c r="A65" t="s">
        <v>173</v>
      </c>
      <c r="B65" t="s">
        <v>15</v>
      </c>
      <c r="C65">
        <v>38</v>
      </c>
      <c r="D65" t="s">
        <v>43</v>
      </c>
      <c r="E65" s="1">
        <v>44316</v>
      </c>
      <c r="F65" t="s">
        <v>9</v>
      </c>
      <c r="G65">
        <v>109160</v>
      </c>
    </row>
    <row r="66" spans="1:7" x14ac:dyDescent="0.25">
      <c r="A66" t="s">
        <v>174</v>
      </c>
      <c r="B66" t="s">
        <v>8</v>
      </c>
      <c r="C66">
        <v>40</v>
      </c>
      <c r="D66" t="s">
        <v>13</v>
      </c>
      <c r="E66" s="1">
        <v>44204</v>
      </c>
      <c r="F66" t="s">
        <v>12</v>
      </c>
      <c r="G66">
        <v>99750</v>
      </c>
    </row>
    <row r="67" spans="1:7" x14ac:dyDescent="0.25">
      <c r="A67" t="s">
        <v>175</v>
      </c>
      <c r="B67" t="s">
        <v>15</v>
      </c>
      <c r="C67">
        <v>31</v>
      </c>
      <c r="D67" t="s">
        <v>13</v>
      </c>
      <c r="E67" s="1">
        <v>44084</v>
      </c>
      <c r="F67" t="s">
        <v>23</v>
      </c>
      <c r="G67">
        <v>41980</v>
      </c>
    </row>
    <row r="68" spans="1:7" x14ac:dyDescent="0.25">
      <c r="A68" t="s">
        <v>176</v>
      </c>
      <c r="B68" t="s">
        <v>8</v>
      </c>
      <c r="C68">
        <v>36</v>
      </c>
      <c r="D68" t="s">
        <v>13</v>
      </c>
      <c r="E68" s="1">
        <v>44272</v>
      </c>
      <c r="F68" t="s">
        <v>17</v>
      </c>
      <c r="G68">
        <v>71380</v>
      </c>
    </row>
    <row r="69" spans="1:7" x14ac:dyDescent="0.25">
      <c r="A69" t="s">
        <v>177</v>
      </c>
      <c r="B69" t="s">
        <v>8</v>
      </c>
      <c r="C69">
        <v>27</v>
      </c>
      <c r="D69" t="s">
        <v>49</v>
      </c>
      <c r="E69" s="1">
        <v>44547</v>
      </c>
      <c r="F69" t="s">
        <v>12</v>
      </c>
      <c r="G69">
        <v>113280</v>
      </c>
    </row>
    <row r="70" spans="1:7" x14ac:dyDescent="0.25">
      <c r="A70" t="s">
        <v>178</v>
      </c>
      <c r="B70" t="s">
        <v>15</v>
      </c>
      <c r="C70">
        <v>33</v>
      </c>
      <c r="D70" t="s">
        <v>13</v>
      </c>
      <c r="E70" s="1">
        <v>44747</v>
      </c>
      <c r="F70" t="s">
        <v>17</v>
      </c>
      <c r="G70">
        <v>86570</v>
      </c>
    </row>
    <row r="71" spans="1:7" x14ac:dyDescent="0.25">
      <c r="A71" t="s">
        <v>179</v>
      </c>
      <c r="B71" t="s">
        <v>8</v>
      </c>
      <c r="C71">
        <v>26</v>
      </c>
      <c r="D71" t="s">
        <v>13</v>
      </c>
      <c r="E71" s="1">
        <v>44350</v>
      </c>
      <c r="F71" t="s">
        <v>12</v>
      </c>
      <c r="G71">
        <v>53540</v>
      </c>
    </row>
    <row r="72" spans="1:7" x14ac:dyDescent="0.25">
      <c r="A72" t="s">
        <v>180</v>
      </c>
      <c r="B72" t="s">
        <v>8</v>
      </c>
      <c r="C72">
        <v>37</v>
      </c>
      <c r="D72" t="s">
        <v>13</v>
      </c>
      <c r="E72" s="1">
        <v>44640</v>
      </c>
      <c r="F72" t="s">
        <v>23</v>
      </c>
      <c r="G72">
        <v>69070</v>
      </c>
    </row>
    <row r="73" spans="1:7" x14ac:dyDescent="0.25">
      <c r="A73" t="s">
        <v>181</v>
      </c>
      <c r="B73" t="s">
        <v>15</v>
      </c>
      <c r="C73">
        <v>30</v>
      </c>
      <c r="D73" t="s">
        <v>18</v>
      </c>
      <c r="E73" s="1">
        <v>44328</v>
      </c>
      <c r="F73" t="s">
        <v>17</v>
      </c>
      <c r="G73">
        <v>67910</v>
      </c>
    </row>
    <row r="74" spans="1:7" x14ac:dyDescent="0.25">
      <c r="A74" t="s">
        <v>182</v>
      </c>
      <c r="B74" t="s">
        <v>8</v>
      </c>
      <c r="C74">
        <v>30</v>
      </c>
      <c r="D74" t="s">
        <v>13</v>
      </c>
      <c r="E74" s="1">
        <v>44214</v>
      </c>
      <c r="F74" t="s">
        <v>23</v>
      </c>
      <c r="G74">
        <v>69120</v>
      </c>
    </row>
    <row r="75" spans="1:7" x14ac:dyDescent="0.25">
      <c r="A75" t="s">
        <v>183</v>
      </c>
      <c r="B75" t="s">
        <v>15</v>
      </c>
      <c r="C75">
        <v>34</v>
      </c>
      <c r="D75" t="s">
        <v>13</v>
      </c>
      <c r="E75" s="1">
        <v>44550</v>
      </c>
      <c r="F75" t="s">
        <v>17</v>
      </c>
      <c r="G75">
        <v>60130</v>
      </c>
    </row>
    <row r="76" spans="1:7" x14ac:dyDescent="0.25">
      <c r="A76" t="s">
        <v>184</v>
      </c>
      <c r="B76" t="s">
        <v>8</v>
      </c>
      <c r="C76">
        <v>23</v>
      </c>
      <c r="D76" t="s">
        <v>13</v>
      </c>
      <c r="E76" s="1">
        <v>44378</v>
      </c>
      <c r="F76" t="s">
        <v>12</v>
      </c>
      <c r="G76">
        <v>106460</v>
      </c>
    </row>
    <row r="77" spans="1:7" x14ac:dyDescent="0.25">
      <c r="A77" t="s">
        <v>185</v>
      </c>
      <c r="B77" t="s">
        <v>15</v>
      </c>
      <c r="C77">
        <v>37</v>
      </c>
      <c r="D77" t="s">
        <v>13</v>
      </c>
      <c r="E77" s="1">
        <v>44389</v>
      </c>
      <c r="F77" t="s">
        <v>26</v>
      </c>
      <c r="G77">
        <v>118100</v>
      </c>
    </row>
    <row r="78" spans="1:7" x14ac:dyDescent="0.25">
      <c r="A78" t="s">
        <v>186</v>
      </c>
      <c r="B78" t="s">
        <v>15</v>
      </c>
      <c r="C78">
        <v>36</v>
      </c>
      <c r="D78" t="s">
        <v>13</v>
      </c>
      <c r="E78" s="1">
        <v>44468</v>
      </c>
      <c r="F78" t="s">
        <v>12</v>
      </c>
      <c r="G78">
        <v>78390</v>
      </c>
    </row>
    <row r="79" spans="1:7" x14ac:dyDescent="0.25">
      <c r="A79" t="s">
        <v>187</v>
      </c>
      <c r="B79" t="s">
        <v>15</v>
      </c>
      <c r="C79">
        <v>30</v>
      </c>
      <c r="D79" t="s">
        <v>13</v>
      </c>
      <c r="E79" s="1">
        <v>44789</v>
      </c>
      <c r="F79" t="s">
        <v>12</v>
      </c>
      <c r="G79">
        <v>114180</v>
      </c>
    </row>
    <row r="80" spans="1:7" x14ac:dyDescent="0.25">
      <c r="A80" t="s">
        <v>188</v>
      </c>
      <c r="B80" t="s">
        <v>15</v>
      </c>
      <c r="C80">
        <v>28</v>
      </c>
      <c r="D80" t="s">
        <v>13</v>
      </c>
      <c r="E80" s="1">
        <v>44590</v>
      </c>
      <c r="F80" t="s">
        <v>12</v>
      </c>
      <c r="G80">
        <v>104120</v>
      </c>
    </row>
    <row r="81" spans="1:7" x14ac:dyDescent="0.25">
      <c r="A81" t="s">
        <v>189</v>
      </c>
      <c r="B81" t="s">
        <v>8</v>
      </c>
      <c r="C81">
        <v>30</v>
      </c>
      <c r="D81" t="s">
        <v>13</v>
      </c>
      <c r="E81" s="1">
        <v>44640</v>
      </c>
      <c r="F81" t="s">
        <v>12</v>
      </c>
      <c r="G81">
        <v>67950</v>
      </c>
    </row>
    <row r="82" spans="1:7" x14ac:dyDescent="0.25">
      <c r="A82" t="s">
        <v>190</v>
      </c>
      <c r="B82" t="s">
        <v>15</v>
      </c>
      <c r="C82">
        <v>29</v>
      </c>
      <c r="D82" t="s">
        <v>13</v>
      </c>
      <c r="E82" s="1">
        <v>43962</v>
      </c>
      <c r="F82" t="s">
        <v>23</v>
      </c>
      <c r="G82">
        <v>34980</v>
      </c>
    </row>
    <row r="83" spans="1:7" x14ac:dyDescent="0.25">
      <c r="A83" t="s">
        <v>191</v>
      </c>
      <c r="B83" t="s">
        <v>15</v>
      </c>
      <c r="C83">
        <v>24</v>
      </c>
      <c r="D83" t="s">
        <v>13</v>
      </c>
      <c r="E83" s="1">
        <v>44087</v>
      </c>
      <c r="F83" t="s">
        <v>23</v>
      </c>
      <c r="G83">
        <v>62780</v>
      </c>
    </row>
    <row r="84" spans="1:7" x14ac:dyDescent="0.25">
      <c r="A84" t="s">
        <v>192</v>
      </c>
      <c r="B84" t="s">
        <v>8</v>
      </c>
      <c r="C84">
        <v>20</v>
      </c>
      <c r="D84" t="s">
        <v>13</v>
      </c>
      <c r="E84" s="1">
        <v>44397</v>
      </c>
      <c r="F84" t="s">
        <v>23</v>
      </c>
      <c r="G84">
        <v>107700</v>
      </c>
    </row>
    <row r="85" spans="1:7" x14ac:dyDescent="0.25">
      <c r="A85" t="s">
        <v>193</v>
      </c>
      <c r="B85" t="s">
        <v>8</v>
      </c>
      <c r="C85">
        <v>25</v>
      </c>
      <c r="D85" t="s">
        <v>13</v>
      </c>
      <c r="E85" s="1">
        <v>44322</v>
      </c>
      <c r="F85" t="s">
        <v>9</v>
      </c>
      <c r="G85">
        <v>65700</v>
      </c>
    </row>
    <row r="86" spans="1:7" x14ac:dyDescent="0.25">
      <c r="A86" t="s">
        <v>194</v>
      </c>
      <c r="B86" t="s">
        <v>15</v>
      </c>
      <c r="C86">
        <v>33</v>
      </c>
      <c r="D86" t="s">
        <v>49</v>
      </c>
      <c r="E86" s="1">
        <v>44313</v>
      </c>
      <c r="F86" t="s">
        <v>23</v>
      </c>
      <c r="G86">
        <v>75480</v>
      </c>
    </row>
    <row r="87" spans="1:7" x14ac:dyDescent="0.25">
      <c r="A87" t="s">
        <v>195</v>
      </c>
      <c r="B87" t="s">
        <v>8</v>
      </c>
      <c r="C87">
        <v>33</v>
      </c>
      <c r="D87" t="s">
        <v>13</v>
      </c>
      <c r="E87" s="1">
        <v>44448</v>
      </c>
      <c r="F87" t="s">
        <v>23</v>
      </c>
      <c r="G87">
        <v>53870</v>
      </c>
    </row>
    <row r="88" spans="1:7" x14ac:dyDescent="0.25">
      <c r="A88" t="s">
        <v>196</v>
      </c>
      <c r="B88" t="s">
        <v>15</v>
      </c>
      <c r="C88">
        <v>36</v>
      </c>
      <c r="D88" t="s">
        <v>13</v>
      </c>
      <c r="E88" s="1">
        <v>44433</v>
      </c>
      <c r="F88" t="s">
        <v>9</v>
      </c>
      <c r="G88">
        <v>78540</v>
      </c>
    </row>
    <row r="89" spans="1:7" x14ac:dyDescent="0.25">
      <c r="A89" t="s">
        <v>197</v>
      </c>
      <c r="B89" t="s">
        <v>8</v>
      </c>
      <c r="C89">
        <v>19</v>
      </c>
      <c r="D89" t="s">
        <v>13</v>
      </c>
      <c r="E89" s="1">
        <v>44218</v>
      </c>
      <c r="F89" t="s">
        <v>12</v>
      </c>
      <c r="G89">
        <v>58960</v>
      </c>
    </row>
    <row r="90" spans="1:7" x14ac:dyDescent="0.25">
      <c r="A90" t="s">
        <v>198</v>
      </c>
      <c r="B90" t="s">
        <v>8</v>
      </c>
      <c r="C90">
        <v>46</v>
      </c>
      <c r="D90" t="s">
        <v>13</v>
      </c>
      <c r="E90" s="1">
        <v>44697</v>
      </c>
      <c r="F90" t="s">
        <v>12</v>
      </c>
      <c r="G90">
        <v>70610</v>
      </c>
    </row>
    <row r="91" spans="1:7" x14ac:dyDescent="0.25">
      <c r="A91" t="s">
        <v>199</v>
      </c>
      <c r="B91" t="s">
        <v>8</v>
      </c>
      <c r="C91">
        <v>33</v>
      </c>
      <c r="D91" t="s">
        <v>13</v>
      </c>
      <c r="E91" s="1">
        <v>44181</v>
      </c>
      <c r="F91" t="s">
        <v>17</v>
      </c>
      <c r="G91">
        <v>59430</v>
      </c>
    </row>
    <row r="92" spans="1:7" x14ac:dyDescent="0.25">
      <c r="A92" t="s">
        <v>200</v>
      </c>
      <c r="B92" t="s">
        <v>8</v>
      </c>
      <c r="C92">
        <v>33</v>
      </c>
      <c r="D92" t="s">
        <v>10</v>
      </c>
      <c r="E92" s="1">
        <v>44640</v>
      </c>
      <c r="F92" t="s">
        <v>12</v>
      </c>
      <c r="G92">
        <v>48530</v>
      </c>
    </row>
    <row r="93" spans="1:7" x14ac:dyDescent="0.25">
      <c r="A93" t="s">
        <v>201</v>
      </c>
      <c r="B93" t="s">
        <v>15</v>
      </c>
      <c r="C93">
        <v>33</v>
      </c>
      <c r="D93" t="s">
        <v>13</v>
      </c>
      <c r="E93" s="1">
        <v>44129</v>
      </c>
      <c r="F93" t="s">
        <v>23</v>
      </c>
      <c r="G93">
        <v>96140</v>
      </c>
    </row>
    <row r="94" spans="1:7" x14ac:dyDescent="0.25">
      <c r="A94" t="s">
        <v>110</v>
      </c>
      <c r="B94" t="s">
        <v>8</v>
      </c>
      <c r="C94">
        <v>20</v>
      </c>
      <c r="D94" t="s">
        <v>13</v>
      </c>
      <c r="E94" s="1">
        <v>44122</v>
      </c>
      <c r="F94" t="s">
        <v>23</v>
      </c>
      <c r="G94">
        <v>112650</v>
      </c>
    </row>
    <row r="95" spans="1:7" x14ac:dyDescent="0.25">
      <c r="A95" t="s">
        <v>111</v>
      </c>
      <c r="B95" t="s">
        <v>15</v>
      </c>
      <c r="C95">
        <v>32</v>
      </c>
      <c r="D95" t="s">
        <v>10</v>
      </c>
      <c r="E95" s="1">
        <v>44293</v>
      </c>
      <c r="F95" t="s">
        <v>23</v>
      </c>
      <c r="G95">
        <v>43840</v>
      </c>
    </row>
    <row r="96" spans="1:7" x14ac:dyDescent="0.25">
      <c r="A96" t="s">
        <v>112</v>
      </c>
      <c r="B96" t="s">
        <v>8</v>
      </c>
      <c r="C96">
        <v>31</v>
      </c>
      <c r="D96" t="s">
        <v>13</v>
      </c>
      <c r="E96" s="1">
        <v>44663</v>
      </c>
      <c r="F96" t="s">
        <v>12</v>
      </c>
      <c r="G96">
        <v>103550</v>
      </c>
    </row>
    <row r="97" spans="1:7" x14ac:dyDescent="0.25">
      <c r="A97" t="s">
        <v>113</v>
      </c>
      <c r="B97" t="s">
        <v>15</v>
      </c>
      <c r="C97">
        <v>32</v>
      </c>
      <c r="D97" t="s">
        <v>13</v>
      </c>
      <c r="E97" s="1">
        <v>44339</v>
      </c>
      <c r="F97" t="s">
        <v>26</v>
      </c>
      <c r="G97">
        <v>45510</v>
      </c>
    </row>
    <row r="98" spans="1:7" x14ac:dyDescent="0.25">
      <c r="A98" t="s">
        <v>114</v>
      </c>
      <c r="C98">
        <v>37</v>
      </c>
      <c r="D98" t="s">
        <v>18</v>
      </c>
      <c r="E98" s="1">
        <v>44085</v>
      </c>
      <c r="F98" t="s">
        <v>17</v>
      </c>
      <c r="G98">
        <v>115440</v>
      </c>
    </row>
    <row r="99" spans="1:7" x14ac:dyDescent="0.25">
      <c r="A99" t="s">
        <v>115</v>
      </c>
      <c r="B99" t="s">
        <v>15</v>
      </c>
      <c r="C99">
        <v>38</v>
      </c>
      <c r="D99" t="s">
        <v>10</v>
      </c>
      <c r="E99" s="1">
        <v>44268</v>
      </c>
      <c r="F99" t="s">
        <v>9</v>
      </c>
      <c r="G99">
        <v>56870</v>
      </c>
    </row>
    <row r="100" spans="1:7" x14ac:dyDescent="0.25">
      <c r="A100" t="s">
        <v>116</v>
      </c>
      <c r="B100" t="s">
        <v>15</v>
      </c>
      <c r="C100">
        <v>25</v>
      </c>
      <c r="D100" t="s">
        <v>13</v>
      </c>
      <c r="E100" s="1">
        <v>44144</v>
      </c>
      <c r="F100" t="s">
        <v>9</v>
      </c>
      <c r="G100">
        <v>92700</v>
      </c>
    </row>
    <row r="101" spans="1:7" x14ac:dyDescent="0.25">
      <c r="A101" t="s">
        <v>117</v>
      </c>
      <c r="C101">
        <v>32</v>
      </c>
      <c r="D101" t="s">
        <v>13</v>
      </c>
      <c r="E101" s="1">
        <v>44713</v>
      </c>
      <c r="F101" t="s">
        <v>23</v>
      </c>
      <c r="G101">
        <v>91310</v>
      </c>
    </row>
    <row r="102" spans="1:7" x14ac:dyDescent="0.25">
      <c r="A102" t="s">
        <v>118</v>
      </c>
      <c r="B102" t="s">
        <v>8</v>
      </c>
      <c r="C102">
        <v>33</v>
      </c>
      <c r="D102" t="s">
        <v>13</v>
      </c>
      <c r="E102" s="1">
        <v>44324</v>
      </c>
      <c r="F102" t="s">
        <v>9</v>
      </c>
      <c r="G102">
        <v>74550</v>
      </c>
    </row>
    <row r="103" spans="1:7" x14ac:dyDescent="0.25">
      <c r="A103" t="s">
        <v>119</v>
      </c>
      <c r="B103" t="s">
        <v>8</v>
      </c>
      <c r="C103">
        <v>25</v>
      </c>
      <c r="D103" t="s">
        <v>10</v>
      </c>
      <c r="E103" s="1">
        <v>44665</v>
      </c>
      <c r="F103" t="s">
        <v>12</v>
      </c>
      <c r="G103">
        <v>109190</v>
      </c>
    </row>
    <row r="104" spans="1:7" x14ac:dyDescent="0.25">
      <c r="A104" t="s">
        <v>120</v>
      </c>
      <c r="B104" t="s">
        <v>15</v>
      </c>
      <c r="C104">
        <v>40</v>
      </c>
      <c r="D104" t="s">
        <v>13</v>
      </c>
      <c r="E104" s="1">
        <v>44320</v>
      </c>
      <c r="F104" t="s">
        <v>23</v>
      </c>
      <c r="G104">
        <v>104410</v>
      </c>
    </row>
    <row r="105" spans="1:7" x14ac:dyDescent="0.25">
      <c r="A105" t="s">
        <v>121</v>
      </c>
      <c r="B105" t="s">
        <v>8</v>
      </c>
      <c r="C105">
        <v>30</v>
      </c>
      <c r="D105" t="s">
        <v>13</v>
      </c>
      <c r="E105" s="1">
        <v>44544</v>
      </c>
      <c r="F105" t="s">
        <v>17</v>
      </c>
      <c r="G105">
        <v>96800</v>
      </c>
    </row>
    <row r="106" spans="1:7" x14ac:dyDescent="0.25">
      <c r="A106" t="s">
        <v>122</v>
      </c>
      <c r="B106" t="s">
        <v>8</v>
      </c>
      <c r="C106">
        <v>28</v>
      </c>
      <c r="D106" t="s">
        <v>10</v>
      </c>
      <c r="E106" s="1">
        <v>43980</v>
      </c>
      <c r="F106" t="s">
        <v>17</v>
      </c>
      <c r="G106">
        <v>48170</v>
      </c>
    </row>
    <row r="107" spans="1:7" x14ac:dyDescent="0.25">
      <c r="A107" t="s">
        <v>123</v>
      </c>
      <c r="B107" t="s">
        <v>8</v>
      </c>
      <c r="C107">
        <v>21</v>
      </c>
      <c r="D107" t="s">
        <v>13</v>
      </c>
      <c r="E107" s="1">
        <v>44042</v>
      </c>
      <c r="F107" t="s">
        <v>12</v>
      </c>
      <c r="G107">
        <v>37920</v>
      </c>
    </row>
    <row r="108" spans="1:7" x14ac:dyDescent="0.25">
      <c r="A108" t="s">
        <v>124</v>
      </c>
      <c r="B108" t="s">
        <v>8</v>
      </c>
      <c r="C108">
        <v>34</v>
      </c>
      <c r="D108" t="s">
        <v>13</v>
      </c>
      <c r="E108" s="1">
        <v>44642</v>
      </c>
      <c r="F108" t="s">
        <v>12</v>
      </c>
      <c r="G108">
        <v>112650</v>
      </c>
    </row>
    <row r="109" spans="1:7" x14ac:dyDescent="0.25">
      <c r="A109" t="s">
        <v>125</v>
      </c>
      <c r="B109" t="s">
        <v>15</v>
      </c>
      <c r="C109">
        <v>34</v>
      </c>
      <c r="D109" t="s">
        <v>18</v>
      </c>
      <c r="E109" s="1">
        <v>44660</v>
      </c>
      <c r="F109" t="s">
        <v>9</v>
      </c>
      <c r="G109">
        <v>49630</v>
      </c>
    </row>
    <row r="110" spans="1:7" x14ac:dyDescent="0.25">
      <c r="A110" t="s">
        <v>126</v>
      </c>
      <c r="B110" t="s">
        <v>8</v>
      </c>
      <c r="C110">
        <v>36</v>
      </c>
      <c r="D110" t="s">
        <v>13</v>
      </c>
      <c r="E110" s="1">
        <v>43958</v>
      </c>
      <c r="F110" t="s">
        <v>23</v>
      </c>
      <c r="G110">
        <v>118840</v>
      </c>
    </row>
    <row r="111" spans="1:7" x14ac:dyDescent="0.25">
      <c r="A111" t="s">
        <v>127</v>
      </c>
      <c r="B111" t="s">
        <v>8</v>
      </c>
      <c r="C111">
        <v>30</v>
      </c>
      <c r="D111" t="s">
        <v>13</v>
      </c>
      <c r="E111" s="1">
        <v>44789</v>
      </c>
      <c r="F111" t="s">
        <v>23</v>
      </c>
      <c r="G111">
        <v>69710</v>
      </c>
    </row>
    <row r="112" spans="1:7" x14ac:dyDescent="0.25">
      <c r="A112" t="s">
        <v>128</v>
      </c>
      <c r="B112" t="s">
        <v>8</v>
      </c>
      <c r="C112">
        <v>20</v>
      </c>
      <c r="D112" t="s">
        <v>13</v>
      </c>
      <c r="E112" s="1">
        <v>44683</v>
      </c>
      <c r="F112" t="s">
        <v>12</v>
      </c>
      <c r="G112">
        <v>79570</v>
      </c>
    </row>
    <row r="113" spans="1:7" x14ac:dyDescent="0.25">
      <c r="A113" t="s">
        <v>129</v>
      </c>
      <c r="B113" t="s">
        <v>15</v>
      </c>
      <c r="C113">
        <v>22</v>
      </c>
      <c r="D113" t="s">
        <v>10</v>
      </c>
      <c r="E113" s="1">
        <v>44388</v>
      </c>
      <c r="F113" t="s">
        <v>12</v>
      </c>
      <c r="G113">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8375-0FB5-4F74-8E6E-E3C750F1AE09}">
  <sheetPr>
    <tabColor rgb="FFC00000"/>
  </sheetPr>
  <dimension ref="A1:T184"/>
  <sheetViews>
    <sheetView zoomScale="74" workbookViewId="0">
      <selection activeCell="K1" activeCellId="1" sqref="F1:F1048576 K1:K1048576"/>
    </sheetView>
  </sheetViews>
  <sheetFormatPr defaultRowHeight="15" x14ac:dyDescent="0.25"/>
  <cols>
    <col min="1" max="1" width="30" bestFit="1" customWidth="1"/>
    <col min="2" max="2" width="11.140625" bestFit="1" customWidth="1"/>
    <col min="3" max="3" width="15.42578125" bestFit="1" customWidth="1"/>
    <col min="4" max="4" width="7.7109375" bestFit="1" customWidth="1"/>
    <col min="5" max="5" width="15" bestFit="1" customWidth="1"/>
    <col min="6" max="6" width="14" style="17" bestFit="1" customWidth="1"/>
    <col min="7" max="7" width="13.7109375" bestFit="1" customWidth="1"/>
    <col min="8" max="8" width="11.28515625" bestFit="1" customWidth="1"/>
    <col min="9" max="9" width="10.7109375" style="6" bestFit="1" customWidth="1"/>
    <col min="10" max="10" width="16" style="16" customWidth="1"/>
    <col min="11" max="11" width="24" customWidth="1"/>
    <col min="12" max="12" width="19.7109375" customWidth="1"/>
    <col min="13" max="13" width="12.85546875" bestFit="1" customWidth="1"/>
  </cols>
  <sheetData>
    <row r="1" spans="1:20" x14ac:dyDescent="0.25">
      <c r="A1" t="s">
        <v>0</v>
      </c>
      <c r="B1" t="s">
        <v>1</v>
      </c>
      <c r="C1" t="s">
        <v>2</v>
      </c>
      <c r="D1" t="s">
        <v>3</v>
      </c>
      <c r="E1" t="s">
        <v>4</v>
      </c>
      <c r="F1" s="17" t="s">
        <v>5</v>
      </c>
      <c r="G1" t="s">
        <v>6</v>
      </c>
      <c r="H1" t="s">
        <v>204</v>
      </c>
      <c r="I1" s="6" t="s">
        <v>213</v>
      </c>
      <c r="J1" s="16" t="s">
        <v>228</v>
      </c>
      <c r="K1" s="16" t="s">
        <v>230</v>
      </c>
    </row>
    <row r="2" spans="1:20" x14ac:dyDescent="0.25">
      <c r="A2" s="3" t="s">
        <v>93</v>
      </c>
      <c r="B2" s="3" t="s">
        <v>15</v>
      </c>
      <c r="C2" s="3" t="s">
        <v>23</v>
      </c>
      <c r="D2">
        <v>21</v>
      </c>
      <c r="E2" s="4">
        <v>44678</v>
      </c>
      <c r="F2" s="17">
        <v>33920</v>
      </c>
      <c r="G2" t="s">
        <v>13</v>
      </c>
      <c r="H2" t="s">
        <v>205</v>
      </c>
      <c r="I2" s="6">
        <f ca="1">(TODAY()-staff[[#This Row],[Date Joined]])/365</f>
        <v>3.3808219178082193</v>
      </c>
      <c r="J2" s="16">
        <f ca="1">ROUNDUP(IF(staff[[#This Row],[Tenure]]&gt;2,3%,2%)*staff[[#This Row],[Salary]],0)</f>
        <v>1018</v>
      </c>
      <c r="K2" s="3">
        <f>_xlfn.XLOOKUP(staff[[#This Row],[Rating]],mapping!$B$2:$B$6,mapping!$C$2:$C$6)</f>
        <v>3</v>
      </c>
    </row>
    <row r="3" spans="1:20" x14ac:dyDescent="0.25">
      <c r="A3" s="3" t="s">
        <v>153</v>
      </c>
      <c r="B3" s="3" t="s">
        <v>15</v>
      </c>
      <c r="C3" s="3" t="s">
        <v>23</v>
      </c>
      <c r="D3">
        <v>21</v>
      </c>
      <c r="E3" s="4">
        <v>44619</v>
      </c>
      <c r="F3" s="17">
        <v>33920</v>
      </c>
      <c r="G3" t="s">
        <v>13</v>
      </c>
      <c r="H3" t="s">
        <v>206</v>
      </c>
      <c r="I3" s="6">
        <f ca="1">(TODAY()-staff[[#This Row],[Date Joined]])/365</f>
        <v>3.5424657534246577</v>
      </c>
      <c r="J3" s="16">
        <f ca="1">ROUNDUP(IF(staff[[#This Row],[Tenure]]&gt;2,3%,2%)*staff[[#This Row],[Salary]],0)</f>
        <v>1018</v>
      </c>
      <c r="K3" s="3">
        <f>_xlfn.XLOOKUP(staff[[#This Row],[Rating]],mapping!$B$2:$B$6,mapping!$C$2:$C$6)</f>
        <v>3</v>
      </c>
      <c r="M3" t="s">
        <v>208</v>
      </c>
      <c r="N3">
        <f>COUNTA(staff[Name])</f>
        <v>183</v>
      </c>
    </row>
    <row r="4" spans="1:20" x14ac:dyDescent="0.25">
      <c r="A4" s="3" t="s">
        <v>45</v>
      </c>
      <c r="B4" s="3" t="s">
        <v>15</v>
      </c>
      <c r="C4" s="3" t="s">
        <v>23</v>
      </c>
      <c r="D4">
        <v>29</v>
      </c>
      <c r="E4" s="4">
        <v>44023</v>
      </c>
      <c r="F4" s="17">
        <v>34980</v>
      </c>
      <c r="G4" t="s">
        <v>13</v>
      </c>
      <c r="H4" t="s">
        <v>205</v>
      </c>
      <c r="I4" s="6">
        <f ca="1">(TODAY()-staff[[#This Row],[Date Joined]])/365</f>
        <v>5.1753424657534248</v>
      </c>
      <c r="J4" s="16">
        <f ca="1">ROUNDUP(IF(staff[[#This Row],[Tenure]]&gt;2,3%,2%)*staff[[#This Row],[Salary]],0)</f>
        <v>1050</v>
      </c>
      <c r="K4" s="3">
        <f>_xlfn.XLOOKUP(staff[[#This Row],[Rating]],mapping!$B$2:$B$6,mapping!$C$2:$C$6)</f>
        <v>3</v>
      </c>
      <c r="L4" s="8">
        <v>1</v>
      </c>
      <c r="M4" t="s">
        <v>209</v>
      </c>
      <c r="N4" s="5">
        <f>AVERAGE(F:F)</f>
        <v>77173.715846994543</v>
      </c>
      <c r="O4">
        <f>MEDIAN(F:F)</f>
        <v>75000</v>
      </c>
    </row>
    <row r="5" spans="1:20" x14ac:dyDescent="0.25">
      <c r="A5" s="3" t="s">
        <v>190</v>
      </c>
      <c r="B5" s="3" t="s">
        <v>15</v>
      </c>
      <c r="C5" s="3" t="s">
        <v>23</v>
      </c>
      <c r="D5">
        <v>29</v>
      </c>
      <c r="E5" s="4">
        <v>43962</v>
      </c>
      <c r="F5" s="17">
        <v>34980</v>
      </c>
      <c r="G5" t="s">
        <v>13</v>
      </c>
      <c r="H5" t="s">
        <v>206</v>
      </c>
      <c r="I5" s="6">
        <f ca="1">(TODAY()-staff[[#This Row],[Date Joined]])/365</f>
        <v>5.3424657534246576</v>
      </c>
      <c r="J5" s="16">
        <f ca="1">ROUNDUP(IF(staff[[#This Row],[Tenure]]&gt;2,3%,2%)*staff[[#This Row],[Salary]],0)</f>
        <v>1050</v>
      </c>
      <c r="K5" s="3">
        <f>_xlfn.XLOOKUP(staff[[#This Row],[Rating]],mapping!$B$2:$B$6,mapping!$C$2:$C$6)</f>
        <v>3</v>
      </c>
      <c r="M5" t="s">
        <v>210</v>
      </c>
      <c r="N5">
        <f>AVERAGE(D:D)</f>
        <v>30.42622950819672</v>
      </c>
      <c r="O5">
        <f>MEDIAN(D:D)</f>
        <v>30</v>
      </c>
    </row>
    <row r="6" spans="1:20" x14ac:dyDescent="0.25">
      <c r="A6" s="3" t="s">
        <v>97</v>
      </c>
      <c r="B6" s="3" t="s">
        <v>8</v>
      </c>
      <c r="C6" s="3" t="s">
        <v>9</v>
      </c>
      <c r="D6">
        <v>43</v>
      </c>
      <c r="E6" s="4">
        <v>44620</v>
      </c>
      <c r="F6" s="17">
        <v>36040</v>
      </c>
      <c r="G6" t="s">
        <v>13</v>
      </c>
      <c r="H6" t="s">
        <v>205</v>
      </c>
      <c r="I6" s="6">
        <f ca="1">(TODAY()-staff[[#This Row],[Date Joined]])/365</f>
        <v>3.5397260273972604</v>
      </c>
      <c r="J6" s="16">
        <f ca="1">ROUNDUP(IF(staff[[#This Row],[Tenure]]&gt;2,3%,2%)*staff[[#This Row],[Salary]],0)</f>
        <v>1082</v>
      </c>
      <c r="K6" s="3">
        <f>_xlfn.XLOOKUP(staff[[#This Row],[Rating]],mapping!$B$2:$B$6,mapping!$C$2:$C$6)</f>
        <v>3</v>
      </c>
      <c r="M6" t="s">
        <v>211</v>
      </c>
      <c r="N6">
        <f ca="1">AVERAGE(staff[Tenure])</f>
        <v>4.051964967437681</v>
      </c>
    </row>
    <row r="7" spans="1:20" x14ac:dyDescent="0.25">
      <c r="A7" s="3" t="s">
        <v>132</v>
      </c>
      <c r="B7" s="3" t="s">
        <v>8</v>
      </c>
      <c r="C7" s="3" t="s">
        <v>9</v>
      </c>
      <c r="D7">
        <v>43</v>
      </c>
      <c r="E7" s="4">
        <v>44558</v>
      </c>
      <c r="F7" s="17">
        <v>36040</v>
      </c>
      <c r="G7" t="s">
        <v>13</v>
      </c>
      <c r="H7" t="s">
        <v>206</v>
      </c>
      <c r="I7" s="6">
        <f ca="1">(TODAY()-staff[[#This Row],[Date Joined]])/365</f>
        <v>3.7095890410958905</v>
      </c>
      <c r="J7" s="16">
        <f ca="1">ROUNDUP(IF(staff[[#This Row],[Tenure]]&gt;2,3%,2%)*staff[[#This Row],[Salary]],0)</f>
        <v>1082</v>
      </c>
      <c r="K7" s="3">
        <f>_xlfn.XLOOKUP(staff[[#This Row],[Rating]],mapping!$B$2:$B$6,mapping!$C$2:$C$6)</f>
        <v>3</v>
      </c>
      <c r="M7" t="s">
        <v>212</v>
      </c>
    </row>
    <row r="8" spans="1:20" x14ac:dyDescent="0.25">
      <c r="A8" s="3" t="s">
        <v>33</v>
      </c>
      <c r="B8" s="3" t="s">
        <v>8</v>
      </c>
      <c r="C8" s="3" t="s">
        <v>12</v>
      </c>
      <c r="D8">
        <v>21</v>
      </c>
      <c r="E8" s="4">
        <v>44104</v>
      </c>
      <c r="F8" s="17">
        <v>37920</v>
      </c>
      <c r="G8" t="s">
        <v>13</v>
      </c>
      <c r="H8" t="s">
        <v>205</v>
      </c>
      <c r="I8" s="6">
        <f ca="1">(TODAY()-staff[[#This Row],[Date Joined]])/365</f>
        <v>4.9534246575342467</v>
      </c>
      <c r="J8" s="16">
        <f ca="1">ROUNDUP(IF(staff[[#This Row],[Tenure]]&gt;2,3%,2%)*staff[[#This Row],[Salary]],0)</f>
        <v>1138</v>
      </c>
      <c r="K8" s="3">
        <f>_xlfn.XLOOKUP(staff[[#This Row],[Rating]],mapping!$B$2:$B$6,mapping!$C$2:$C$6)</f>
        <v>3</v>
      </c>
      <c r="M8" t="s">
        <v>214</v>
      </c>
      <c r="N8">
        <f>COUNTIFS(staff[Gender],"Female")</f>
        <v>86</v>
      </c>
    </row>
    <row r="9" spans="1:20" x14ac:dyDescent="0.25">
      <c r="A9" s="3" t="s">
        <v>123</v>
      </c>
      <c r="B9" s="3" t="s">
        <v>8</v>
      </c>
      <c r="C9" s="3" t="s">
        <v>12</v>
      </c>
      <c r="D9">
        <v>21</v>
      </c>
      <c r="E9" s="4">
        <v>44042</v>
      </c>
      <c r="F9" s="17">
        <v>37920</v>
      </c>
      <c r="G9" t="s">
        <v>13</v>
      </c>
      <c r="H9" t="s">
        <v>206</v>
      </c>
      <c r="I9" s="6">
        <f ca="1">(TODAY()-staff[[#This Row],[Date Joined]])/365</f>
        <v>5.1232876712328768</v>
      </c>
      <c r="J9" s="16">
        <f ca="1">ROUNDUP(IF(staff[[#This Row],[Tenure]]&gt;2,3%,2%)*staff[[#This Row],[Salary]],0)</f>
        <v>1138</v>
      </c>
      <c r="K9" s="3">
        <f>_xlfn.XLOOKUP(staff[[#This Row],[Rating]],mapping!$B$2:$B$6,mapping!$C$2:$C$6)</f>
        <v>3</v>
      </c>
      <c r="M9" t="s">
        <v>215</v>
      </c>
      <c r="N9" s="7">
        <f>N8/N3</f>
        <v>0.46994535519125685</v>
      </c>
    </row>
    <row r="10" spans="1:20" x14ac:dyDescent="0.25">
      <c r="A10" s="3" t="s">
        <v>95</v>
      </c>
      <c r="B10" s="3" t="s">
        <v>8</v>
      </c>
      <c r="C10" s="3" t="s">
        <v>12</v>
      </c>
      <c r="D10">
        <v>35</v>
      </c>
      <c r="E10" s="4">
        <v>44727</v>
      </c>
      <c r="F10" s="17">
        <v>40400</v>
      </c>
      <c r="G10" t="s">
        <v>13</v>
      </c>
      <c r="H10" t="s">
        <v>205</v>
      </c>
      <c r="I10" s="6">
        <f ca="1">(TODAY()-staff[[#This Row],[Date Joined]])/365</f>
        <v>3.2465753424657535</v>
      </c>
      <c r="J10" s="16">
        <f ca="1">ROUNDUP(IF(staff[[#This Row],[Tenure]]&gt;2,3%,2%)*staff[[#This Row],[Salary]],0)</f>
        <v>1212</v>
      </c>
      <c r="K10" s="3">
        <f>_xlfn.XLOOKUP(staff[[#This Row],[Rating]],mapping!$B$2:$B$6,mapping!$C$2:$C$6)</f>
        <v>3</v>
      </c>
      <c r="M10" t="s">
        <v>216</v>
      </c>
      <c r="N10" t="str">
        <f>IF(F2&gt;90000, "Above", "Below")</f>
        <v>Below</v>
      </c>
    </row>
    <row r="11" spans="1:20" x14ac:dyDescent="0.25">
      <c r="A11" s="3" t="s">
        <v>134</v>
      </c>
      <c r="B11" s="3" t="s">
        <v>8</v>
      </c>
      <c r="C11" s="3" t="s">
        <v>12</v>
      </c>
      <c r="D11">
        <v>35</v>
      </c>
      <c r="E11" s="4">
        <v>44666</v>
      </c>
      <c r="F11" s="17">
        <v>40400</v>
      </c>
      <c r="G11" t="s">
        <v>13</v>
      </c>
      <c r="H11" t="s">
        <v>206</v>
      </c>
      <c r="I11" s="6">
        <f ca="1">(TODAY()-staff[[#This Row],[Date Joined]])/365</f>
        <v>3.4136986301369863</v>
      </c>
      <c r="J11" s="16">
        <f ca="1">ROUNDUP(IF(staff[[#This Row],[Tenure]]&gt;2,3%,2%)*staff[[#This Row],[Salary]],0)</f>
        <v>1212</v>
      </c>
      <c r="K11" s="3">
        <f>_xlfn.XLOOKUP(staff[[#This Row],[Rating]],mapping!$B$2:$B$6,mapping!$C$2:$C$6)</f>
        <v>3</v>
      </c>
    </row>
    <row r="12" spans="1:20" x14ac:dyDescent="0.25">
      <c r="A12" s="3" t="s">
        <v>104</v>
      </c>
      <c r="B12" s="3" t="s">
        <v>15</v>
      </c>
      <c r="C12" s="3" t="s">
        <v>12</v>
      </c>
      <c r="D12">
        <v>32</v>
      </c>
      <c r="E12" s="4">
        <v>44611</v>
      </c>
      <c r="F12" s="17">
        <v>41570</v>
      </c>
      <c r="G12" t="s">
        <v>13</v>
      </c>
      <c r="H12" t="s">
        <v>205</v>
      </c>
      <c r="I12" s="6">
        <f ca="1">(TODAY()-staff[[#This Row],[Date Joined]])/365</f>
        <v>3.5643835616438357</v>
      </c>
      <c r="J12" s="16">
        <f ca="1">ROUNDUP(IF(staff[[#This Row],[Tenure]]&gt;2,3%,2%)*staff[[#This Row],[Salary]],0)</f>
        <v>1248</v>
      </c>
      <c r="K12" s="3">
        <f>_xlfn.XLOOKUP(staff[[#This Row],[Rating]],mapping!$B$2:$B$6,mapping!$C$2:$C$6)</f>
        <v>3</v>
      </c>
    </row>
    <row r="13" spans="1:20" x14ac:dyDescent="0.25">
      <c r="A13" s="3" t="s">
        <v>138</v>
      </c>
      <c r="B13" s="3" t="s">
        <v>15</v>
      </c>
      <c r="C13" s="3" t="s">
        <v>12</v>
      </c>
      <c r="D13">
        <v>32</v>
      </c>
      <c r="E13" s="4">
        <v>44549</v>
      </c>
      <c r="F13" s="17">
        <v>41570</v>
      </c>
      <c r="G13" t="s">
        <v>13</v>
      </c>
      <c r="H13" t="s">
        <v>206</v>
      </c>
      <c r="I13" s="6">
        <f ca="1">(TODAY()-staff[[#This Row],[Date Joined]])/365</f>
        <v>3.7342465753424658</v>
      </c>
      <c r="J13" s="16">
        <f ca="1">ROUNDUP(IF(staff[[#This Row],[Tenure]]&gt;2,3%,2%)*staff[[#This Row],[Salary]],0)</f>
        <v>1248</v>
      </c>
      <c r="K13" s="3">
        <f>_xlfn.XLOOKUP(staff[[#This Row],[Rating]],mapping!$B$2:$B$6,mapping!$C$2:$C$6)</f>
        <v>3</v>
      </c>
      <c r="L13" s="9">
        <v>2</v>
      </c>
      <c r="M13" t="s">
        <v>31</v>
      </c>
    </row>
    <row r="14" spans="1:20" x14ac:dyDescent="0.25">
      <c r="A14" s="3" t="s">
        <v>35</v>
      </c>
      <c r="B14" s="3" t="s">
        <v>15</v>
      </c>
      <c r="C14" s="3" t="s">
        <v>23</v>
      </c>
      <c r="D14">
        <v>31</v>
      </c>
      <c r="E14" s="4">
        <v>44145</v>
      </c>
      <c r="F14" s="17">
        <v>41980</v>
      </c>
      <c r="G14" t="s">
        <v>13</v>
      </c>
      <c r="H14" t="s">
        <v>205</v>
      </c>
      <c r="I14" s="6">
        <f ca="1">(TODAY()-staff[[#This Row],[Date Joined]])/365</f>
        <v>4.8410958904109593</v>
      </c>
      <c r="J14" s="16">
        <f ca="1">ROUNDUP(IF(staff[[#This Row],[Tenure]]&gt;2,3%,2%)*staff[[#This Row],[Salary]],0)</f>
        <v>1260</v>
      </c>
      <c r="K14" s="3">
        <f>_xlfn.XLOOKUP(staff[[#This Row],[Rating]],mapping!$B$2:$B$6,mapping!$C$2:$C$6)</f>
        <v>3</v>
      </c>
    </row>
    <row r="15" spans="1:20" x14ac:dyDescent="0.25">
      <c r="A15" s="3" t="s">
        <v>175</v>
      </c>
      <c r="B15" s="3" t="s">
        <v>15</v>
      </c>
      <c r="C15" s="3" t="s">
        <v>23</v>
      </c>
      <c r="D15">
        <v>31</v>
      </c>
      <c r="E15" s="4">
        <v>44084</v>
      </c>
      <c r="F15" s="17">
        <v>41980</v>
      </c>
      <c r="G15" t="s">
        <v>13</v>
      </c>
      <c r="H15" t="s">
        <v>206</v>
      </c>
      <c r="I15" s="6">
        <f ca="1">(TODAY()-staff[[#This Row],[Date Joined]])/365</f>
        <v>5.0082191780821921</v>
      </c>
      <c r="J15" s="16">
        <f ca="1">ROUNDUP(IF(staff[[#This Row],[Tenure]]&gt;2,3%,2%)*staff[[#This Row],[Salary]],0)</f>
        <v>1260</v>
      </c>
      <c r="K15" s="3">
        <f>_xlfn.XLOOKUP(staff[[#This Row],[Rating]],mapping!$B$2:$B$6,mapping!$C$2:$C$6)</f>
        <v>3</v>
      </c>
    </row>
    <row r="16" spans="1:20" x14ac:dyDescent="0.25">
      <c r="A16" s="3" t="s">
        <v>101</v>
      </c>
      <c r="B16" s="3" t="s">
        <v>8</v>
      </c>
      <c r="C16" s="3" t="s">
        <v>9</v>
      </c>
      <c r="D16">
        <v>28</v>
      </c>
      <c r="E16" s="4">
        <v>44820</v>
      </c>
      <c r="F16" s="17">
        <v>43510</v>
      </c>
      <c r="G16" t="s">
        <v>49</v>
      </c>
      <c r="H16" t="s">
        <v>205</v>
      </c>
      <c r="I16" s="6">
        <f ca="1">(TODAY()-staff[[#This Row],[Date Joined]])/365</f>
        <v>2.9917808219178084</v>
      </c>
      <c r="J16" s="16">
        <f ca="1">ROUNDUP(IF(staff[[#This Row],[Tenure]]&gt;2,3%,2%)*staff[[#This Row],[Salary]],0)</f>
        <v>1306</v>
      </c>
      <c r="K16" s="3">
        <f>_xlfn.XLOOKUP(staff[[#This Row],[Rating]],mapping!$B$2:$B$6,mapping!$C$2:$C$6)</f>
        <v>1</v>
      </c>
      <c r="M16" t="str" cm="1">
        <f t="array" aca="1" ref="M16:T16" ca="1">_xlfn.XLOOKUP(M13,staff[Name], staff[[Gender]:[Tenure]])</f>
        <v>Female</v>
      </c>
      <c r="N16" t="str">
        <f ca="1"/>
        <v>Website</v>
      </c>
      <c r="O16">
        <f ca="1"/>
        <v>32</v>
      </c>
      <c r="P16">
        <f ca="1"/>
        <v>44354</v>
      </c>
      <c r="Q16">
        <f ca="1"/>
        <v>43840</v>
      </c>
      <c r="R16" t="str">
        <f ca="1"/>
        <v>Above average</v>
      </c>
      <c r="S16" t="str">
        <f ca="1"/>
        <v>NZ</v>
      </c>
      <c r="T16">
        <f ca="1"/>
        <v>4.2684931506849315</v>
      </c>
    </row>
    <row r="17" spans="1:14" x14ac:dyDescent="0.25">
      <c r="A17" s="3" t="s">
        <v>172</v>
      </c>
      <c r="B17" s="3" t="s">
        <v>8</v>
      </c>
      <c r="C17" s="3" t="s">
        <v>9</v>
      </c>
      <c r="D17">
        <v>28</v>
      </c>
      <c r="E17" s="4">
        <v>44758</v>
      </c>
      <c r="F17" s="17">
        <v>43510</v>
      </c>
      <c r="G17" t="s">
        <v>49</v>
      </c>
      <c r="H17" t="s">
        <v>206</v>
      </c>
      <c r="I17" s="6">
        <f ca="1">(TODAY()-staff[[#This Row],[Date Joined]])/365</f>
        <v>3.1616438356164385</v>
      </c>
      <c r="J17" s="16">
        <f ca="1">ROUNDUP(IF(staff[[#This Row],[Tenure]]&gt;2,3%,2%)*staff[[#This Row],[Salary]],0)</f>
        <v>1306</v>
      </c>
      <c r="K17" s="3">
        <f>_xlfn.XLOOKUP(staff[[#This Row],[Rating]],mapping!$B$2:$B$6,mapping!$C$2:$C$6)</f>
        <v>1</v>
      </c>
    </row>
    <row r="18" spans="1:14" x14ac:dyDescent="0.25">
      <c r="A18" s="3" t="s">
        <v>31</v>
      </c>
      <c r="B18" s="3" t="s">
        <v>15</v>
      </c>
      <c r="C18" s="3" t="s">
        <v>23</v>
      </c>
      <c r="D18">
        <v>32</v>
      </c>
      <c r="E18" s="4">
        <v>44354</v>
      </c>
      <c r="F18" s="17">
        <v>43840</v>
      </c>
      <c r="G18" t="s">
        <v>10</v>
      </c>
      <c r="H18" t="s">
        <v>205</v>
      </c>
      <c r="I18" s="6">
        <f ca="1">(TODAY()-staff[[#This Row],[Date Joined]])/365</f>
        <v>4.2684931506849315</v>
      </c>
      <c r="J18" s="16">
        <f ca="1">ROUNDUP(IF(staff[[#This Row],[Tenure]]&gt;2,3%,2%)*staff[[#This Row],[Salary]],0)</f>
        <v>1316</v>
      </c>
      <c r="K18" s="3">
        <f>_xlfn.XLOOKUP(staff[[#This Row],[Rating]],mapping!$B$2:$B$6,mapping!$C$2:$C$6)</f>
        <v>4</v>
      </c>
      <c r="M18" s="20" t="s">
        <v>1</v>
      </c>
      <c r="N18" s="21" t="str" cm="1">
        <f t="array" aca="1" ref="N18:N25" ca="1">TRANSPOSE(_xlfn.XLOOKUP(M13,staff[Name],staff[[Gender]:[Tenure]]))</f>
        <v>Female</v>
      </c>
    </row>
    <row r="19" spans="1:14" x14ac:dyDescent="0.25">
      <c r="A19" s="3" t="s">
        <v>111</v>
      </c>
      <c r="B19" s="3" t="s">
        <v>15</v>
      </c>
      <c r="C19" s="3" t="s">
        <v>23</v>
      </c>
      <c r="D19">
        <v>32</v>
      </c>
      <c r="E19" s="4">
        <v>44293</v>
      </c>
      <c r="F19" s="17">
        <v>43840</v>
      </c>
      <c r="G19" t="s">
        <v>10</v>
      </c>
      <c r="H19" t="s">
        <v>206</v>
      </c>
      <c r="I19" s="6">
        <f ca="1">(TODAY()-staff[[#This Row],[Date Joined]])/365</f>
        <v>4.4356164383561643</v>
      </c>
      <c r="J19" s="16">
        <f ca="1">ROUNDUP(IF(staff[[#This Row],[Tenure]]&gt;2,3%,2%)*staff[[#This Row],[Salary]],0)</f>
        <v>1316</v>
      </c>
      <c r="K19" s="3">
        <f>_xlfn.XLOOKUP(staff[[#This Row],[Rating]],mapping!$B$2:$B$6,mapping!$C$2:$C$6)</f>
        <v>4</v>
      </c>
      <c r="M19" s="20" t="s">
        <v>2</v>
      </c>
      <c r="N19" s="21" t="str">
        <f ca="1"/>
        <v>Website</v>
      </c>
    </row>
    <row r="20" spans="1:14" x14ac:dyDescent="0.25">
      <c r="A20" s="3" t="s">
        <v>70</v>
      </c>
      <c r="B20" s="3" t="s">
        <v>15</v>
      </c>
      <c r="C20" s="3" t="s">
        <v>26</v>
      </c>
      <c r="D20">
        <v>32</v>
      </c>
      <c r="E20" s="4">
        <v>44400</v>
      </c>
      <c r="F20" s="17">
        <v>45510</v>
      </c>
      <c r="G20" t="s">
        <v>13</v>
      </c>
      <c r="H20" t="s">
        <v>205</v>
      </c>
      <c r="I20" s="6">
        <f ca="1">(TODAY()-staff[[#This Row],[Date Joined]])/365</f>
        <v>4.1424657534246574</v>
      </c>
      <c r="J20" s="16">
        <f ca="1">ROUNDUP(IF(staff[[#This Row],[Tenure]]&gt;2,3%,2%)*staff[[#This Row],[Salary]],0)</f>
        <v>1366</v>
      </c>
      <c r="K20" s="3">
        <f>_xlfn.XLOOKUP(staff[[#This Row],[Rating]],mapping!$B$2:$B$6,mapping!$C$2:$C$6)</f>
        <v>3</v>
      </c>
      <c r="M20" s="20" t="s">
        <v>3</v>
      </c>
      <c r="N20" s="21">
        <f ca="1"/>
        <v>32</v>
      </c>
    </row>
    <row r="21" spans="1:14" x14ac:dyDescent="0.25">
      <c r="A21" s="3" t="s">
        <v>113</v>
      </c>
      <c r="B21" s="3" t="s">
        <v>15</v>
      </c>
      <c r="C21" s="3" t="s">
        <v>26</v>
      </c>
      <c r="D21">
        <v>32</v>
      </c>
      <c r="E21" s="4">
        <v>44339</v>
      </c>
      <c r="F21" s="17">
        <v>45510</v>
      </c>
      <c r="G21" t="s">
        <v>13</v>
      </c>
      <c r="H21" t="s">
        <v>206</v>
      </c>
      <c r="I21" s="6">
        <f ca="1">(TODAY()-staff[[#This Row],[Date Joined]])/365</f>
        <v>4.3095890410958901</v>
      </c>
      <c r="J21" s="16">
        <f ca="1">ROUNDUP(IF(staff[[#This Row],[Tenure]]&gt;2,3%,2%)*staff[[#This Row],[Salary]],0)</f>
        <v>1366</v>
      </c>
      <c r="K21" s="3">
        <f>_xlfn.XLOOKUP(staff[[#This Row],[Rating]],mapping!$B$2:$B$6,mapping!$C$2:$C$6)</f>
        <v>3</v>
      </c>
      <c r="M21" s="20" t="s">
        <v>4</v>
      </c>
      <c r="N21" s="22">
        <f ca="1"/>
        <v>44354</v>
      </c>
    </row>
    <row r="22" spans="1:14" x14ac:dyDescent="0.25">
      <c r="A22" s="3" t="s">
        <v>87</v>
      </c>
      <c r="B22" s="3" t="s">
        <v>8</v>
      </c>
      <c r="C22" s="3" t="s">
        <v>12</v>
      </c>
      <c r="D22">
        <v>26</v>
      </c>
      <c r="E22" s="4">
        <v>44225</v>
      </c>
      <c r="F22" s="17">
        <v>47360</v>
      </c>
      <c r="G22" t="s">
        <v>13</v>
      </c>
      <c r="H22" t="s">
        <v>205</v>
      </c>
      <c r="I22" s="6">
        <f ca="1">(TODAY()-staff[[#This Row],[Date Joined]])/365</f>
        <v>4.6219178082191785</v>
      </c>
      <c r="J22" s="16">
        <f ca="1">ROUNDUP(IF(staff[[#This Row],[Tenure]]&gt;2,3%,2%)*staff[[#This Row],[Salary]],0)</f>
        <v>1421</v>
      </c>
      <c r="K22" s="3">
        <f>_xlfn.XLOOKUP(staff[[#This Row],[Rating]],mapping!$B$2:$B$6,mapping!$C$2:$C$6)</f>
        <v>3</v>
      </c>
      <c r="M22" s="20" t="s">
        <v>5</v>
      </c>
      <c r="N22" s="21">
        <f ca="1"/>
        <v>43840</v>
      </c>
    </row>
    <row r="23" spans="1:14" x14ac:dyDescent="0.25">
      <c r="A23" s="3" t="s">
        <v>140</v>
      </c>
      <c r="B23" s="3" t="s">
        <v>8</v>
      </c>
      <c r="C23" s="3" t="s">
        <v>12</v>
      </c>
      <c r="D23">
        <v>26</v>
      </c>
      <c r="E23" s="4">
        <v>44164</v>
      </c>
      <c r="F23" s="17">
        <v>47360</v>
      </c>
      <c r="G23" t="s">
        <v>13</v>
      </c>
      <c r="H23" t="s">
        <v>206</v>
      </c>
      <c r="I23" s="6">
        <f ca="1">(TODAY()-staff[[#This Row],[Date Joined]])/365</f>
        <v>4.7890410958904113</v>
      </c>
      <c r="J23" s="16">
        <f ca="1">ROUNDUP(IF(staff[[#This Row],[Tenure]]&gt;2,3%,2%)*staff[[#This Row],[Salary]],0)</f>
        <v>1421</v>
      </c>
      <c r="K23" s="3">
        <f>_xlfn.XLOOKUP(staff[[#This Row],[Rating]],mapping!$B$2:$B$6,mapping!$C$2:$C$6)</f>
        <v>3</v>
      </c>
      <c r="M23" s="20" t="s">
        <v>6</v>
      </c>
      <c r="N23" s="21" t="str">
        <f ca="1"/>
        <v>Above average</v>
      </c>
    </row>
    <row r="24" spans="1:14" x14ac:dyDescent="0.25">
      <c r="A24" s="3" t="s">
        <v>69</v>
      </c>
      <c r="B24" s="3" t="s">
        <v>8</v>
      </c>
      <c r="C24" s="3" t="s">
        <v>17</v>
      </c>
      <c r="D24">
        <v>28</v>
      </c>
      <c r="E24" s="4">
        <v>44041</v>
      </c>
      <c r="F24" s="17">
        <v>48170</v>
      </c>
      <c r="G24" t="s">
        <v>10</v>
      </c>
      <c r="H24" t="s">
        <v>205</v>
      </c>
      <c r="I24" s="6">
        <f ca="1">(TODAY()-staff[[#This Row],[Date Joined]])/365</f>
        <v>5.1260273972602741</v>
      </c>
      <c r="J24" s="16">
        <f ca="1">ROUNDUP(IF(staff[[#This Row],[Tenure]]&gt;2,3%,2%)*staff[[#This Row],[Salary]],0)</f>
        <v>1446</v>
      </c>
      <c r="K24" s="3">
        <f>_xlfn.XLOOKUP(staff[[#This Row],[Rating]],mapping!$B$2:$B$6,mapping!$C$2:$C$6)</f>
        <v>4</v>
      </c>
      <c r="M24" s="20" t="s">
        <v>204</v>
      </c>
      <c r="N24" s="21" t="str">
        <f ca="1"/>
        <v>NZ</v>
      </c>
    </row>
    <row r="25" spans="1:14" x14ac:dyDescent="0.25">
      <c r="A25" s="3" t="s">
        <v>122</v>
      </c>
      <c r="B25" s="3" t="s">
        <v>8</v>
      </c>
      <c r="C25" s="3" t="s">
        <v>17</v>
      </c>
      <c r="D25">
        <v>28</v>
      </c>
      <c r="E25" s="4">
        <v>43980</v>
      </c>
      <c r="F25" s="17">
        <v>48170</v>
      </c>
      <c r="G25" t="s">
        <v>10</v>
      </c>
      <c r="H25" t="s">
        <v>206</v>
      </c>
      <c r="I25" s="6">
        <f ca="1">(TODAY()-staff[[#This Row],[Date Joined]])/365</f>
        <v>5.2931506849315069</v>
      </c>
      <c r="J25" s="16">
        <f ca="1">ROUNDUP(IF(staff[[#This Row],[Tenure]]&gt;2,3%,2%)*staff[[#This Row],[Salary]],0)</f>
        <v>1446</v>
      </c>
      <c r="K25" s="3">
        <f>_xlfn.XLOOKUP(staff[[#This Row],[Rating]],mapping!$B$2:$B$6,mapping!$C$2:$C$6)</f>
        <v>4</v>
      </c>
      <c r="M25" s="20" t="s">
        <v>213</v>
      </c>
      <c r="N25" s="21">
        <f ca="1"/>
        <v>4.2684931506849315</v>
      </c>
    </row>
    <row r="26" spans="1:14" x14ac:dyDescent="0.25">
      <c r="A26" s="3" t="s">
        <v>21</v>
      </c>
      <c r="B26" s="3" t="s">
        <v>8</v>
      </c>
      <c r="C26" s="3" t="s">
        <v>12</v>
      </c>
      <c r="D26">
        <v>33</v>
      </c>
      <c r="E26" s="4">
        <v>44701</v>
      </c>
      <c r="F26" s="17">
        <v>48530</v>
      </c>
      <c r="G26" t="s">
        <v>10</v>
      </c>
      <c r="H26" t="s">
        <v>205</v>
      </c>
      <c r="I26" s="6">
        <f ca="1">(TODAY()-staff[[#This Row],[Date Joined]])/365</f>
        <v>3.3178082191780822</v>
      </c>
      <c r="J26" s="16">
        <f ca="1">ROUNDUP(IF(staff[[#This Row],[Tenure]]&gt;2,3%,2%)*staff[[#This Row],[Salary]],0)</f>
        <v>1456</v>
      </c>
      <c r="K26" s="3">
        <f>_xlfn.XLOOKUP(staff[[#This Row],[Rating]],mapping!$B$2:$B$6,mapping!$C$2:$C$6)</f>
        <v>4</v>
      </c>
    </row>
    <row r="27" spans="1:14" x14ac:dyDescent="0.25">
      <c r="A27" s="3" t="s">
        <v>200</v>
      </c>
      <c r="B27" s="3" t="s">
        <v>8</v>
      </c>
      <c r="C27" s="3" t="s">
        <v>12</v>
      </c>
      <c r="D27">
        <v>33</v>
      </c>
      <c r="E27" s="4">
        <v>44640</v>
      </c>
      <c r="F27" s="17">
        <v>48530</v>
      </c>
      <c r="G27" t="s">
        <v>10</v>
      </c>
      <c r="H27" t="s">
        <v>206</v>
      </c>
      <c r="I27" s="6">
        <f ca="1">(TODAY()-staff[[#This Row],[Date Joined]])/365</f>
        <v>3.484931506849315</v>
      </c>
      <c r="J27" s="16">
        <f ca="1">ROUNDUP(IF(staff[[#This Row],[Tenure]]&gt;2,3%,2%)*staff[[#This Row],[Salary]],0)</f>
        <v>1456</v>
      </c>
      <c r="K27" s="3">
        <f>_xlfn.XLOOKUP(staff[[#This Row],[Rating]],mapping!$B$2:$B$6,mapping!$C$2:$C$6)</f>
        <v>4</v>
      </c>
    </row>
    <row r="28" spans="1:14" x14ac:dyDescent="0.25">
      <c r="A28" s="3" t="s">
        <v>57</v>
      </c>
      <c r="B28" s="3" t="s">
        <v>8</v>
      </c>
      <c r="C28" s="3" t="s">
        <v>23</v>
      </c>
      <c r="D28">
        <v>31</v>
      </c>
      <c r="E28" s="4">
        <v>44511</v>
      </c>
      <c r="F28" s="17">
        <v>48950</v>
      </c>
      <c r="G28" t="s">
        <v>13</v>
      </c>
      <c r="H28" t="s">
        <v>205</v>
      </c>
      <c r="I28" s="6">
        <f ca="1">(TODAY()-staff[[#This Row],[Date Joined]])/365</f>
        <v>3.8383561643835615</v>
      </c>
      <c r="J28" s="16">
        <f ca="1">ROUNDUP(IF(staff[[#This Row],[Tenure]]&gt;2,3%,2%)*staff[[#This Row],[Salary]],0)</f>
        <v>1469</v>
      </c>
      <c r="K28" s="3">
        <f>_xlfn.XLOOKUP(staff[[#This Row],[Rating]],mapping!$B$2:$B$6,mapping!$C$2:$C$6)</f>
        <v>3</v>
      </c>
      <c r="M28">
        <f>VLOOKUP(M13, staff[], 6,FALSE)</f>
        <v>43840</v>
      </c>
    </row>
    <row r="29" spans="1:14" x14ac:dyDescent="0.25">
      <c r="A29" s="3" t="s">
        <v>167</v>
      </c>
      <c r="B29" s="3" t="s">
        <v>8</v>
      </c>
      <c r="C29" s="3" t="s">
        <v>23</v>
      </c>
      <c r="D29">
        <v>31</v>
      </c>
      <c r="E29" s="4">
        <v>44450</v>
      </c>
      <c r="F29" s="17">
        <v>48950</v>
      </c>
      <c r="G29" t="s">
        <v>13</v>
      </c>
      <c r="H29" t="s">
        <v>206</v>
      </c>
      <c r="I29" s="6">
        <f ca="1">(TODAY()-staff[[#This Row],[Date Joined]])/365</f>
        <v>4.0054794520547947</v>
      </c>
      <c r="J29" s="16">
        <f ca="1">ROUNDUP(IF(staff[[#This Row],[Tenure]]&gt;2,3%,2%)*staff[[#This Row],[Salary]],0)</f>
        <v>1469</v>
      </c>
      <c r="K29" s="3">
        <f>_xlfn.XLOOKUP(staff[[#This Row],[Rating]],mapping!$B$2:$B$6,mapping!$C$2:$C$6)</f>
        <v>3</v>
      </c>
    </row>
    <row r="30" spans="1:14" x14ac:dyDescent="0.25">
      <c r="A30" s="3" t="s">
        <v>40</v>
      </c>
      <c r="B30" s="3" t="s">
        <v>8</v>
      </c>
      <c r="C30" s="3" t="s">
        <v>17</v>
      </c>
      <c r="D30">
        <v>27</v>
      </c>
      <c r="E30" s="4">
        <v>44567</v>
      </c>
      <c r="F30" s="17">
        <v>48980</v>
      </c>
      <c r="G30" t="s">
        <v>13</v>
      </c>
      <c r="H30" t="s">
        <v>205</v>
      </c>
      <c r="I30" s="6">
        <f ca="1">(TODAY()-staff[[#This Row],[Date Joined]])/365</f>
        <v>3.6849315068493151</v>
      </c>
      <c r="J30" s="16">
        <f ca="1">ROUNDUP(IF(staff[[#This Row],[Tenure]]&gt;2,3%,2%)*staff[[#This Row],[Salary]],0)</f>
        <v>1470</v>
      </c>
      <c r="K30" s="3">
        <f>_xlfn.XLOOKUP(staff[[#This Row],[Rating]],mapping!$B$2:$B$6,mapping!$C$2:$C$6)</f>
        <v>3</v>
      </c>
    </row>
    <row r="31" spans="1:14" x14ac:dyDescent="0.25">
      <c r="A31" s="3" t="s">
        <v>149</v>
      </c>
      <c r="B31" s="3" t="s">
        <v>8</v>
      </c>
      <c r="C31" s="3" t="s">
        <v>17</v>
      </c>
      <c r="D31">
        <v>27</v>
      </c>
      <c r="E31" s="4">
        <v>44506</v>
      </c>
      <c r="F31" s="17">
        <v>48980</v>
      </c>
      <c r="G31" t="s">
        <v>13</v>
      </c>
      <c r="H31" t="s">
        <v>206</v>
      </c>
      <c r="I31" s="6">
        <f ca="1">(TODAY()-staff[[#This Row],[Date Joined]])/365</f>
        <v>3.8520547945205479</v>
      </c>
      <c r="J31" s="16">
        <f ca="1">ROUNDUP(IF(staff[[#This Row],[Tenure]]&gt;2,3%,2%)*staff[[#This Row],[Salary]],0)</f>
        <v>1470</v>
      </c>
      <c r="K31" s="3">
        <f>_xlfn.XLOOKUP(staff[[#This Row],[Rating]],mapping!$B$2:$B$6,mapping!$C$2:$C$6)</f>
        <v>3</v>
      </c>
    </row>
    <row r="32" spans="1:14" x14ac:dyDescent="0.25">
      <c r="A32" s="3" t="s">
        <v>53</v>
      </c>
      <c r="B32" s="3" t="s">
        <v>15</v>
      </c>
      <c r="C32" s="3" t="s">
        <v>9</v>
      </c>
      <c r="D32">
        <v>34</v>
      </c>
      <c r="E32" s="4">
        <v>44721</v>
      </c>
      <c r="F32" s="17">
        <v>49630</v>
      </c>
      <c r="G32" t="s">
        <v>18</v>
      </c>
      <c r="H32" t="s">
        <v>205</v>
      </c>
      <c r="I32" s="6">
        <f ca="1">(TODAY()-staff[[#This Row],[Date Joined]])/365</f>
        <v>3.2630136986301368</v>
      </c>
      <c r="J32" s="16">
        <f ca="1">ROUNDUP(IF(staff[[#This Row],[Tenure]]&gt;2,3%,2%)*staff[[#This Row],[Salary]],0)</f>
        <v>1489</v>
      </c>
      <c r="K32" s="3">
        <f>_xlfn.XLOOKUP(staff[[#This Row],[Rating]],mapping!$B$2:$B$6,mapping!$C$2:$C$6)</f>
        <v>2</v>
      </c>
    </row>
    <row r="33" spans="1:11" x14ac:dyDescent="0.25">
      <c r="A33" s="3" t="s">
        <v>125</v>
      </c>
      <c r="B33" s="3" t="s">
        <v>15</v>
      </c>
      <c r="C33" s="3" t="s">
        <v>9</v>
      </c>
      <c r="D33">
        <v>34</v>
      </c>
      <c r="E33" s="4">
        <v>44660</v>
      </c>
      <c r="F33" s="17">
        <v>49630</v>
      </c>
      <c r="G33" t="s">
        <v>18</v>
      </c>
      <c r="H33" t="s">
        <v>206</v>
      </c>
      <c r="I33" s="6">
        <f ca="1">(TODAY()-staff[[#This Row],[Date Joined]])/365</f>
        <v>3.43013698630137</v>
      </c>
      <c r="J33" s="16">
        <f ca="1">ROUNDUP(IF(staff[[#This Row],[Tenure]]&gt;2,3%,2%)*staff[[#This Row],[Salary]],0)</f>
        <v>1489</v>
      </c>
      <c r="K33" s="3">
        <f>_xlfn.XLOOKUP(staff[[#This Row],[Rating]],mapping!$B$2:$B$6,mapping!$C$2:$C$6)</f>
        <v>2</v>
      </c>
    </row>
    <row r="34" spans="1:11" x14ac:dyDescent="0.25">
      <c r="A34" s="3" t="s">
        <v>58</v>
      </c>
      <c r="B34" s="3" t="s">
        <v>8</v>
      </c>
      <c r="C34" s="3" t="s">
        <v>17</v>
      </c>
      <c r="D34">
        <v>24</v>
      </c>
      <c r="E34" s="4">
        <v>44436</v>
      </c>
      <c r="F34" s="17">
        <v>52610</v>
      </c>
      <c r="G34" t="s">
        <v>18</v>
      </c>
      <c r="H34" t="s">
        <v>205</v>
      </c>
      <c r="I34" s="6">
        <f ca="1">(TODAY()-staff[[#This Row],[Date Joined]])/365</f>
        <v>4.043835616438356</v>
      </c>
      <c r="J34" s="16">
        <f ca="1">ROUNDUP(IF(staff[[#This Row],[Tenure]]&gt;2,3%,2%)*staff[[#This Row],[Salary]],0)</f>
        <v>1579</v>
      </c>
      <c r="K34" s="3">
        <f>_xlfn.XLOOKUP(staff[[#This Row],[Rating]],mapping!$B$2:$B$6,mapping!$C$2:$C$6)</f>
        <v>2</v>
      </c>
    </row>
    <row r="35" spans="1:11" x14ac:dyDescent="0.25">
      <c r="A35" s="3" t="s">
        <v>144</v>
      </c>
      <c r="B35" s="3" t="s">
        <v>8</v>
      </c>
      <c r="C35" s="3" t="s">
        <v>17</v>
      </c>
      <c r="D35">
        <v>24</v>
      </c>
      <c r="E35" s="4">
        <v>44375</v>
      </c>
      <c r="F35" s="17">
        <v>52610</v>
      </c>
      <c r="G35" t="s">
        <v>18</v>
      </c>
      <c r="H35" t="s">
        <v>206</v>
      </c>
      <c r="I35" s="6">
        <f ca="1">(TODAY()-staff[[#This Row],[Date Joined]])/365</f>
        <v>4.2109589041095887</v>
      </c>
      <c r="J35" s="16">
        <f ca="1">ROUNDUP(IF(staff[[#This Row],[Tenure]]&gt;2,3%,2%)*staff[[#This Row],[Salary]],0)</f>
        <v>1579</v>
      </c>
      <c r="K35" s="3">
        <f>_xlfn.XLOOKUP(staff[[#This Row],[Rating]],mapping!$B$2:$B$6,mapping!$C$2:$C$6)</f>
        <v>2</v>
      </c>
    </row>
    <row r="36" spans="1:11" x14ac:dyDescent="0.25">
      <c r="A36" s="3" t="s">
        <v>14</v>
      </c>
      <c r="B36" s="3" t="s">
        <v>15</v>
      </c>
      <c r="C36" s="3" t="s">
        <v>9</v>
      </c>
      <c r="D36">
        <v>28</v>
      </c>
      <c r="E36" s="4">
        <v>44357</v>
      </c>
      <c r="F36" s="17">
        <v>53240</v>
      </c>
      <c r="G36" t="s">
        <v>13</v>
      </c>
      <c r="H36" t="s">
        <v>205</v>
      </c>
      <c r="I36" s="6">
        <f ca="1">(TODAY()-staff[[#This Row],[Date Joined]])/365</f>
        <v>4.2602739726027394</v>
      </c>
      <c r="J36" s="16">
        <f ca="1">ROUNDUP(IF(staff[[#This Row],[Tenure]]&gt;2,3%,2%)*staff[[#This Row],[Salary]],0)</f>
        <v>1598</v>
      </c>
      <c r="K36" s="3">
        <f>_xlfn.XLOOKUP(staff[[#This Row],[Rating]],mapping!$B$2:$B$6,mapping!$C$2:$C$6)</f>
        <v>3</v>
      </c>
    </row>
    <row r="37" spans="1:11" x14ac:dyDescent="0.25">
      <c r="A37" s="3" t="s">
        <v>151</v>
      </c>
      <c r="B37" s="3" t="s">
        <v>15</v>
      </c>
      <c r="C37" s="3" t="s">
        <v>9</v>
      </c>
      <c r="D37">
        <v>28</v>
      </c>
      <c r="E37" s="4">
        <v>44296</v>
      </c>
      <c r="F37" s="17">
        <v>53240</v>
      </c>
      <c r="G37" t="s">
        <v>13</v>
      </c>
      <c r="H37" t="s">
        <v>206</v>
      </c>
      <c r="I37" s="6">
        <f ca="1">(TODAY()-staff[[#This Row],[Date Joined]])/365</f>
        <v>4.4273972602739722</v>
      </c>
      <c r="J37" s="16">
        <f ca="1">ROUNDUP(IF(staff[[#This Row],[Tenure]]&gt;2,3%,2%)*staff[[#This Row],[Salary]],0)</f>
        <v>1598</v>
      </c>
      <c r="K37" s="3">
        <f>_xlfn.XLOOKUP(staff[[#This Row],[Rating]],mapping!$B$2:$B$6,mapping!$C$2:$C$6)</f>
        <v>3</v>
      </c>
    </row>
    <row r="38" spans="1:11" x14ac:dyDescent="0.25">
      <c r="A38" s="3" t="s">
        <v>19</v>
      </c>
      <c r="B38" s="3" t="s">
        <v>8</v>
      </c>
      <c r="C38" s="3" t="s">
        <v>9</v>
      </c>
      <c r="D38">
        <v>32</v>
      </c>
      <c r="E38" s="4">
        <v>44465</v>
      </c>
      <c r="F38" s="17">
        <v>53540</v>
      </c>
      <c r="G38" t="s">
        <v>13</v>
      </c>
      <c r="H38" t="s">
        <v>205</v>
      </c>
      <c r="I38" s="6">
        <f ca="1">(TODAY()-staff[[#This Row],[Date Joined]])/365</f>
        <v>3.9643835616438357</v>
      </c>
      <c r="J38" s="16">
        <f ca="1">ROUNDUP(IF(staff[[#This Row],[Tenure]]&gt;2,3%,2%)*staff[[#This Row],[Salary]],0)</f>
        <v>1607</v>
      </c>
      <c r="K38" s="3">
        <f>_xlfn.XLOOKUP(staff[[#This Row],[Rating]],mapping!$B$2:$B$6,mapping!$C$2:$C$6)</f>
        <v>3</v>
      </c>
    </row>
    <row r="39" spans="1:11" x14ac:dyDescent="0.25">
      <c r="A39" s="3" t="s">
        <v>109</v>
      </c>
      <c r="B39" s="3" t="s">
        <v>8</v>
      </c>
      <c r="C39" s="3" t="s">
        <v>12</v>
      </c>
      <c r="D39">
        <v>26</v>
      </c>
      <c r="E39" s="4">
        <v>44411</v>
      </c>
      <c r="F39" s="17">
        <v>53540</v>
      </c>
      <c r="G39" t="s">
        <v>13</v>
      </c>
      <c r="H39" t="s">
        <v>205</v>
      </c>
      <c r="I39" s="6">
        <f ca="1">(TODAY()-staff[[#This Row],[Date Joined]])/365</f>
        <v>4.1123287671232873</v>
      </c>
      <c r="J39" s="16">
        <f ca="1">ROUNDUP(IF(staff[[#This Row],[Tenure]]&gt;2,3%,2%)*staff[[#This Row],[Salary]],0)</f>
        <v>1607</v>
      </c>
      <c r="K39" s="3">
        <f>_xlfn.XLOOKUP(staff[[#This Row],[Rating]],mapping!$B$2:$B$6,mapping!$C$2:$C$6)</f>
        <v>3</v>
      </c>
    </row>
    <row r="40" spans="1:11" x14ac:dyDescent="0.25">
      <c r="A40" s="3" t="s">
        <v>171</v>
      </c>
      <c r="B40" s="3" t="s">
        <v>8</v>
      </c>
      <c r="C40" s="3" t="s">
        <v>9</v>
      </c>
      <c r="D40">
        <v>32</v>
      </c>
      <c r="E40" s="4">
        <v>44403</v>
      </c>
      <c r="F40" s="17">
        <v>53540</v>
      </c>
      <c r="G40" t="s">
        <v>13</v>
      </c>
      <c r="H40" t="s">
        <v>206</v>
      </c>
      <c r="I40" s="6">
        <f ca="1">(TODAY()-staff[[#This Row],[Date Joined]])/365</f>
        <v>4.1342465753424653</v>
      </c>
      <c r="J40" s="16">
        <f ca="1">ROUNDUP(IF(staff[[#This Row],[Tenure]]&gt;2,3%,2%)*staff[[#This Row],[Salary]],0)</f>
        <v>1607</v>
      </c>
      <c r="K40" s="3">
        <f>_xlfn.XLOOKUP(staff[[#This Row],[Rating]],mapping!$B$2:$B$6,mapping!$C$2:$C$6)</f>
        <v>3</v>
      </c>
    </row>
    <row r="41" spans="1:11" x14ac:dyDescent="0.25">
      <c r="A41" s="3" t="s">
        <v>179</v>
      </c>
      <c r="B41" s="3" t="s">
        <v>8</v>
      </c>
      <c r="C41" s="3" t="s">
        <v>12</v>
      </c>
      <c r="D41">
        <v>26</v>
      </c>
      <c r="E41" s="4">
        <v>44350</v>
      </c>
      <c r="F41" s="17">
        <v>53540</v>
      </c>
      <c r="G41" t="s">
        <v>13</v>
      </c>
      <c r="H41" t="s">
        <v>206</v>
      </c>
      <c r="I41" s="6">
        <f ca="1">(TODAY()-staff[[#This Row],[Date Joined]])/365</f>
        <v>4.279452054794521</v>
      </c>
      <c r="J41" s="16">
        <f ca="1">ROUNDUP(IF(staff[[#This Row],[Tenure]]&gt;2,3%,2%)*staff[[#This Row],[Salary]],0)</f>
        <v>1607</v>
      </c>
      <c r="K41" s="3">
        <f>_xlfn.XLOOKUP(staff[[#This Row],[Rating]],mapping!$B$2:$B$6,mapping!$C$2:$C$6)</f>
        <v>3</v>
      </c>
    </row>
    <row r="42" spans="1:11" x14ac:dyDescent="0.25">
      <c r="A42" s="3" t="s">
        <v>24</v>
      </c>
      <c r="B42" s="3" t="s">
        <v>8</v>
      </c>
      <c r="C42" s="3" t="s">
        <v>23</v>
      </c>
      <c r="D42">
        <v>33</v>
      </c>
      <c r="E42" s="4">
        <v>44509</v>
      </c>
      <c r="F42" s="17">
        <v>53870</v>
      </c>
      <c r="G42" t="s">
        <v>13</v>
      </c>
      <c r="H42" t="s">
        <v>205</v>
      </c>
      <c r="I42" s="6">
        <f ca="1">(TODAY()-staff[[#This Row],[Date Joined]])/365</f>
        <v>3.8438356164383563</v>
      </c>
      <c r="J42" s="16">
        <f ca="1">ROUNDUP(IF(staff[[#This Row],[Tenure]]&gt;2,3%,2%)*staff[[#This Row],[Salary]],0)</f>
        <v>1617</v>
      </c>
      <c r="K42" s="3">
        <f>_xlfn.XLOOKUP(staff[[#This Row],[Rating]],mapping!$B$2:$B$6,mapping!$C$2:$C$6)</f>
        <v>3</v>
      </c>
    </row>
    <row r="43" spans="1:11" x14ac:dyDescent="0.25">
      <c r="A43" s="3" t="s">
        <v>195</v>
      </c>
      <c r="B43" s="3" t="s">
        <v>8</v>
      </c>
      <c r="C43" s="3" t="s">
        <v>23</v>
      </c>
      <c r="D43">
        <v>33</v>
      </c>
      <c r="E43" s="4">
        <v>44448</v>
      </c>
      <c r="F43" s="17">
        <v>53870</v>
      </c>
      <c r="G43" t="s">
        <v>13</v>
      </c>
      <c r="H43" t="s">
        <v>206</v>
      </c>
      <c r="I43" s="6">
        <f ca="1">(TODAY()-staff[[#This Row],[Date Joined]])/365</f>
        <v>4.0109589041095894</v>
      </c>
      <c r="J43" s="16">
        <f ca="1">ROUNDUP(IF(staff[[#This Row],[Tenure]]&gt;2,3%,2%)*staff[[#This Row],[Salary]],0)</f>
        <v>1617</v>
      </c>
      <c r="K43" s="3">
        <f>_xlfn.XLOOKUP(staff[[#This Row],[Rating]],mapping!$B$2:$B$6,mapping!$C$2:$C$6)</f>
        <v>3</v>
      </c>
    </row>
    <row r="44" spans="1:11" x14ac:dyDescent="0.25">
      <c r="A44" s="3" t="s">
        <v>82</v>
      </c>
      <c r="B44" s="3" t="s">
        <v>8</v>
      </c>
      <c r="C44" s="3" t="s">
        <v>9</v>
      </c>
      <c r="D44">
        <v>27</v>
      </c>
      <c r="E44" s="4">
        <v>44134</v>
      </c>
      <c r="F44" s="17">
        <v>54970</v>
      </c>
      <c r="G44" t="s">
        <v>13</v>
      </c>
      <c r="H44" t="s">
        <v>205</v>
      </c>
      <c r="I44" s="6">
        <f ca="1">(TODAY()-staff[[#This Row],[Date Joined]])/365</f>
        <v>4.8712328767123285</v>
      </c>
      <c r="J44" s="16">
        <f ca="1">ROUNDUP(IF(staff[[#This Row],[Tenure]]&gt;2,3%,2%)*staff[[#This Row],[Salary]],0)</f>
        <v>1650</v>
      </c>
      <c r="K44" s="3">
        <f>_xlfn.XLOOKUP(staff[[#This Row],[Rating]],mapping!$B$2:$B$6,mapping!$C$2:$C$6)</f>
        <v>3</v>
      </c>
    </row>
    <row r="45" spans="1:11" x14ac:dyDescent="0.25">
      <c r="A45" s="3" t="s">
        <v>130</v>
      </c>
      <c r="B45" s="3" t="s">
        <v>8</v>
      </c>
      <c r="C45" s="3" t="s">
        <v>9</v>
      </c>
      <c r="D45">
        <v>27</v>
      </c>
      <c r="E45" s="4">
        <v>44073</v>
      </c>
      <c r="F45" s="17">
        <v>54970</v>
      </c>
      <c r="G45" t="s">
        <v>13</v>
      </c>
      <c r="H45" t="s">
        <v>206</v>
      </c>
      <c r="I45" s="6">
        <f ca="1">(TODAY()-staff[[#This Row],[Date Joined]])/365</f>
        <v>5.0383561643835613</v>
      </c>
      <c r="J45" s="16">
        <f ca="1">ROUNDUP(IF(staff[[#This Row],[Tenure]]&gt;2,3%,2%)*staff[[#This Row],[Salary]],0)</f>
        <v>1650</v>
      </c>
      <c r="K45" s="3">
        <f>_xlfn.XLOOKUP(staff[[#This Row],[Rating]],mapping!$B$2:$B$6,mapping!$C$2:$C$6)</f>
        <v>3</v>
      </c>
    </row>
    <row r="46" spans="1:11" x14ac:dyDescent="0.25">
      <c r="A46" s="3" t="s">
        <v>84</v>
      </c>
      <c r="B46" s="3" t="s">
        <v>15</v>
      </c>
      <c r="C46" s="3" t="s">
        <v>9</v>
      </c>
      <c r="D46">
        <v>38</v>
      </c>
      <c r="E46" s="4">
        <v>44329</v>
      </c>
      <c r="F46" s="17">
        <v>56870</v>
      </c>
      <c r="G46" t="s">
        <v>10</v>
      </c>
      <c r="H46" t="s">
        <v>205</v>
      </c>
      <c r="I46" s="6">
        <f ca="1">(TODAY()-staff[[#This Row],[Date Joined]])/365</f>
        <v>4.3369863013698629</v>
      </c>
      <c r="J46" s="16">
        <f ca="1">ROUNDUP(IF(staff[[#This Row],[Tenure]]&gt;2,3%,2%)*staff[[#This Row],[Salary]],0)</f>
        <v>1707</v>
      </c>
      <c r="K46" s="3">
        <f>_xlfn.XLOOKUP(staff[[#This Row],[Rating]],mapping!$B$2:$B$6,mapping!$C$2:$C$6)</f>
        <v>4</v>
      </c>
    </row>
    <row r="47" spans="1:11" x14ac:dyDescent="0.25">
      <c r="A47" s="3" t="s">
        <v>115</v>
      </c>
      <c r="B47" s="3" t="s">
        <v>15</v>
      </c>
      <c r="C47" s="3" t="s">
        <v>9</v>
      </c>
      <c r="D47">
        <v>38</v>
      </c>
      <c r="E47" s="4">
        <v>44268</v>
      </c>
      <c r="F47" s="17">
        <v>56870</v>
      </c>
      <c r="G47" t="s">
        <v>10</v>
      </c>
      <c r="H47" t="s">
        <v>206</v>
      </c>
      <c r="I47" s="6">
        <f ca="1">(TODAY()-staff[[#This Row],[Date Joined]])/365</f>
        <v>4.5041095890410956</v>
      </c>
      <c r="J47" s="16">
        <f ca="1">ROUNDUP(IF(staff[[#This Row],[Tenure]]&gt;2,3%,2%)*staff[[#This Row],[Salary]],0)</f>
        <v>1707</v>
      </c>
      <c r="K47" s="3">
        <f>_xlfn.XLOOKUP(staff[[#This Row],[Rating]],mapping!$B$2:$B$6,mapping!$C$2:$C$6)</f>
        <v>4</v>
      </c>
    </row>
    <row r="48" spans="1:11" x14ac:dyDescent="0.25">
      <c r="A48" s="3" t="s">
        <v>34</v>
      </c>
      <c r="B48" s="3" t="s">
        <v>8</v>
      </c>
      <c r="C48" s="3" t="s">
        <v>12</v>
      </c>
      <c r="D48">
        <v>21</v>
      </c>
      <c r="E48" s="4">
        <v>44762</v>
      </c>
      <c r="F48" s="17">
        <v>57090</v>
      </c>
      <c r="G48" t="s">
        <v>13</v>
      </c>
      <c r="H48" t="s">
        <v>205</v>
      </c>
      <c r="I48" s="6">
        <f ca="1">(TODAY()-staff[[#This Row],[Date Joined]])/365</f>
        <v>3.1506849315068495</v>
      </c>
      <c r="J48" s="16">
        <f ca="1">ROUNDUP(IF(staff[[#This Row],[Tenure]]&gt;2,3%,2%)*staff[[#This Row],[Salary]],0)</f>
        <v>1713</v>
      </c>
      <c r="K48" s="3">
        <f>_xlfn.XLOOKUP(staff[[#This Row],[Rating]],mapping!$B$2:$B$6,mapping!$C$2:$C$6)</f>
        <v>3</v>
      </c>
    </row>
    <row r="49" spans="1:11" x14ac:dyDescent="0.25">
      <c r="A49" s="3" t="s">
        <v>157</v>
      </c>
      <c r="B49" s="3" t="s">
        <v>8</v>
      </c>
      <c r="C49" s="3" t="s">
        <v>12</v>
      </c>
      <c r="D49">
        <v>21</v>
      </c>
      <c r="E49" s="4">
        <v>44701</v>
      </c>
      <c r="F49" s="17">
        <v>57090</v>
      </c>
      <c r="G49" t="s">
        <v>13</v>
      </c>
      <c r="H49" t="s">
        <v>206</v>
      </c>
      <c r="I49" s="6">
        <f ca="1">(TODAY()-staff[[#This Row],[Date Joined]])/365</f>
        <v>3.3178082191780822</v>
      </c>
      <c r="J49" s="16">
        <f ca="1">ROUNDUP(IF(staff[[#This Row],[Tenure]]&gt;2,3%,2%)*staff[[#This Row],[Salary]],0)</f>
        <v>1713</v>
      </c>
      <c r="K49" s="3">
        <f>_xlfn.XLOOKUP(staff[[#This Row],[Rating]],mapping!$B$2:$B$6,mapping!$C$2:$C$6)</f>
        <v>3</v>
      </c>
    </row>
    <row r="50" spans="1:11" x14ac:dyDescent="0.25">
      <c r="A50" s="3" t="s">
        <v>39</v>
      </c>
      <c r="B50" s="3" t="s">
        <v>15</v>
      </c>
      <c r="C50" s="3" t="s">
        <v>23</v>
      </c>
      <c r="D50">
        <v>31</v>
      </c>
      <c r="E50" s="4">
        <v>44663</v>
      </c>
      <c r="F50" s="17">
        <v>58100</v>
      </c>
      <c r="G50" t="s">
        <v>13</v>
      </c>
      <c r="H50" t="s">
        <v>205</v>
      </c>
      <c r="I50" s="6">
        <f ca="1">(TODAY()-staff[[#This Row],[Date Joined]])/365</f>
        <v>3.4219178082191779</v>
      </c>
      <c r="J50" s="16">
        <f ca="1">ROUNDUP(IF(staff[[#This Row],[Tenure]]&gt;2,3%,2%)*staff[[#This Row],[Salary]],0)</f>
        <v>1743</v>
      </c>
      <c r="K50" s="3">
        <f>_xlfn.XLOOKUP(staff[[#This Row],[Rating]],mapping!$B$2:$B$6,mapping!$C$2:$C$6)</f>
        <v>3</v>
      </c>
    </row>
    <row r="51" spans="1:11" x14ac:dyDescent="0.25">
      <c r="A51" s="3" t="s">
        <v>136</v>
      </c>
      <c r="B51" s="3" t="s">
        <v>15</v>
      </c>
      <c r="C51" s="3" t="s">
        <v>23</v>
      </c>
      <c r="D51">
        <v>31</v>
      </c>
      <c r="E51" s="4">
        <v>44604</v>
      </c>
      <c r="F51" s="17">
        <v>58100</v>
      </c>
      <c r="G51" t="s">
        <v>13</v>
      </c>
      <c r="H51" t="s">
        <v>206</v>
      </c>
      <c r="I51" s="6">
        <f ca="1">(TODAY()-staff[[#This Row],[Date Joined]])/365</f>
        <v>3.5835616438356164</v>
      </c>
      <c r="J51" s="16">
        <f ca="1">ROUNDUP(IF(staff[[#This Row],[Tenure]]&gt;2,3%,2%)*staff[[#This Row],[Salary]],0)</f>
        <v>1743</v>
      </c>
      <c r="K51" s="3">
        <f>_xlfn.XLOOKUP(staff[[#This Row],[Rating]],mapping!$B$2:$B$6,mapping!$C$2:$C$6)</f>
        <v>3</v>
      </c>
    </row>
    <row r="52" spans="1:11" x14ac:dyDescent="0.25">
      <c r="A52" s="3" t="s">
        <v>37</v>
      </c>
      <c r="B52" s="3" t="s">
        <v>15</v>
      </c>
      <c r="C52" s="3" t="s">
        <v>17</v>
      </c>
      <c r="D52">
        <v>34</v>
      </c>
      <c r="E52" s="4">
        <v>44653</v>
      </c>
      <c r="F52" s="17">
        <v>58940</v>
      </c>
      <c r="G52" t="s">
        <v>13</v>
      </c>
      <c r="H52" t="s">
        <v>205</v>
      </c>
      <c r="I52" s="6">
        <f ca="1">(TODAY()-staff[[#This Row],[Date Joined]])/365</f>
        <v>3.4493150684931506</v>
      </c>
      <c r="J52" s="16">
        <f ca="1">ROUNDUP(IF(staff[[#This Row],[Tenure]]&gt;2,3%,2%)*staff[[#This Row],[Salary]],0)</f>
        <v>1769</v>
      </c>
      <c r="K52" s="3">
        <f>_xlfn.XLOOKUP(staff[[#This Row],[Rating]],mapping!$B$2:$B$6,mapping!$C$2:$C$6)</f>
        <v>3</v>
      </c>
    </row>
    <row r="53" spans="1:11" x14ac:dyDescent="0.25">
      <c r="A53" s="3" t="s">
        <v>155</v>
      </c>
      <c r="B53" s="3" t="s">
        <v>15</v>
      </c>
      <c r="C53" s="3" t="s">
        <v>17</v>
      </c>
      <c r="D53">
        <v>34</v>
      </c>
      <c r="E53" s="4">
        <v>44594</v>
      </c>
      <c r="F53" s="17">
        <v>58940</v>
      </c>
      <c r="G53" t="s">
        <v>13</v>
      </c>
      <c r="H53" t="s">
        <v>206</v>
      </c>
      <c r="I53" s="6">
        <f ca="1">(TODAY()-staff[[#This Row],[Date Joined]])/365</f>
        <v>3.6109589041095891</v>
      </c>
      <c r="J53" s="16">
        <f ca="1">ROUNDUP(IF(staff[[#This Row],[Tenure]]&gt;2,3%,2%)*staff[[#This Row],[Salary]],0)</f>
        <v>1769</v>
      </c>
      <c r="K53" s="3">
        <f>_xlfn.XLOOKUP(staff[[#This Row],[Rating]],mapping!$B$2:$B$6,mapping!$C$2:$C$6)</f>
        <v>3</v>
      </c>
    </row>
    <row r="54" spans="1:11" x14ac:dyDescent="0.25">
      <c r="A54" s="3" t="s">
        <v>67</v>
      </c>
      <c r="B54" s="3" t="s">
        <v>8</v>
      </c>
      <c r="C54" s="3" t="s">
        <v>12</v>
      </c>
      <c r="D54">
        <v>19</v>
      </c>
      <c r="E54" s="4">
        <v>44277</v>
      </c>
      <c r="F54" s="17">
        <v>58960</v>
      </c>
      <c r="G54" t="s">
        <v>13</v>
      </c>
      <c r="H54" t="s">
        <v>205</v>
      </c>
      <c r="I54" s="6">
        <f ca="1">(TODAY()-staff[[#This Row],[Date Joined]])/365</f>
        <v>4.4794520547945202</v>
      </c>
      <c r="J54" s="16">
        <f ca="1">ROUNDUP(IF(staff[[#This Row],[Tenure]]&gt;2,3%,2%)*staff[[#This Row],[Salary]],0)</f>
        <v>1769</v>
      </c>
      <c r="K54" s="3">
        <f>_xlfn.XLOOKUP(staff[[#This Row],[Rating]],mapping!$B$2:$B$6,mapping!$C$2:$C$6)</f>
        <v>3</v>
      </c>
    </row>
    <row r="55" spans="1:11" x14ac:dyDescent="0.25">
      <c r="A55" s="3" t="s">
        <v>197</v>
      </c>
      <c r="B55" s="3" t="s">
        <v>8</v>
      </c>
      <c r="C55" s="3" t="s">
        <v>12</v>
      </c>
      <c r="D55">
        <v>19</v>
      </c>
      <c r="E55" s="4">
        <v>44218</v>
      </c>
      <c r="F55" s="17">
        <v>58960</v>
      </c>
      <c r="G55" t="s">
        <v>13</v>
      </c>
      <c r="H55" t="s">
        <v>206</v>
      </c>
      <c r="I55" s="6">
        <f ca="1">(TODAY()-staff[[#This Row],[Date Joined]])/365</f>
        <v>4.6410958904109592</v>
      </c>
      <c r="J55" s="16">
        <f ca="1">ROUNDUP(IF(staff[[#This Row],[Tenure]]&gt;2,3%,2%)*staff[[#This Row],[Salary]],0)</f>
        <v>1769</v>
      </c>
      <c r="K55" s="3">
        <f>_xlfn.XLOOKUP(staff[[#This Row],[Rating]],mapping!$B$2:$B$6,mapping!$C$2:$C$6)</f>
        <v>3</v>
      </c>
    </row>
    <row r="56" spans="1:11" x14ac:dyDescent="0.25">
      <c r="A56" s="3" t="s">
        <v>102</v>
      </c>
      <c r="B56" s="3" t="s">
        <v>8</v>
      </c>
      <c r="C56" s="3" t="s">
        <v>17</v>
      </c>
      <c r="D56">
        <v>33</v>
      </c>
      <c r="E56" s="4">
        <v>44243</v>
      </c>
      <c r="F56" s="17">
        <v>59430</v>
      </c>
      <c r="G56" t="s">
        <v>13</v>
      </c>
      <c r="H56" t="s">
        <v>205</v>
      </c>
      <c r="I56" s="6">
        <f ca="1">(TODAY()-staff[[#This Row],[Date Joined]])/365</f>
        <v>4.5726027397260278</v>
      </c>
      <c r="J56" s="16">
        <f ca="1">ROUNDUP(IF(staff[[#This Row],[Tenure]]&gt;2,3%,2%)*staff[[#This Row],[Salary]],0)</f>
        <v>1783</v>
      </c>
      <c r="K56" s="3">
        <f>_xlfn.XLOOKUP(staff[[#This Row],[Rating]],mapping!$B$2:$B$6,mapping!$C$2:$C$6)</f>
        <v>3</v>
      </c>
    </row>
    <row r="57" spans="1:11" x14ac:dyDescent="0.25">
      <c r="A57" s="3" t="s">
        <v>199</v>
      </c>
      <c r="B57" s="3" t="s">
        <v>8</v>
      </c>
      <c r="C57" s="3" t="s">
        <v>17</v>
      </c>
      <c r="D57">
        <v>33</v>
      </c>
      <c r="E57" s="4">
        <v>44181</v>
      </c>
      <c r="F57" s="17">
        <v>59430</v>
      </c>
      <c r="G57" t="s">
        <v>13</v>
      </c>
      <c r="H57" t="s">
        <v>206</v>
      </c>
      <c r="I57" s="6">
        <f ca="1">(TODAY()-staff[[#This Row],[Date Joined]])/365</f>
        <v>4.7424657534246579</v>
      </c>
      <c r="J57" s="16">
        <f ca="1">ROUNDUP(IF(staff[[#This Row],[Tenure]]&gt;2,3%,2%)*staff[[#This Row],[Salary]],0)</f>
        <v>1783</v>
      </c>
      <c r="K57" s="3">
        <f>_xlfn.XLOOKUP(staff[[#This Row],[Rating]],mapping!$B$2:$B$6,mapping!$C$2:$C$6)</f>
        <v>3</v>
      </c>
    </row>
    <row r="58" spans="1:11" x14ac:dyDescent="0.25">
      <c r="A58" s="3" t="s">
        <v>47</v>
      </c>
      <c r="B58" s="3" t="s">
        <v>15</v>
      </c>
      <c r="C58" s="3" t="s">
        <v>17</v>
      </c>
      <c r="D58">
        <v>34</v>
      </c>
      <c r="E58" s="4">
        <v>44612</v>
      </c>
      <c r="F58" s="17">
        <v>60130</v>
      </c>
      <c r="G58" t="s">
        <v>13</v>
      </c>
      <c r="H58" t="s">
        <v>205</v>
      </c>
      <c r="I58" s="6">
        <f ca="1">(TODAY()-staff[[#This Row],[Date Joined]])/365</f>
        <v>3.5616438356164384</v>
      </c>
      <c r="J58" s="16">
        <f ca="1">ROUNDUP(IF(staff[[#This Row],[Tenure]]&gt;2,3%,2%)*staff[[#This Row],[Salary]],0)</f>
        <v>1804</v>
      </c>
      <c r="K58" s="3">
        <f>_xlfn.XLOOKUP(staff[[#This Row],[Rating]],mapping!$B$2:$B$6,mapping!$C$2:$C$6)</f>
        <v>3</v>
      </c>
    </row>
    <row r="59" spans="1:11" x14ac:dyDescent="0.25">
      <c r="A59" s="3" t="s">
        <v>183</v>
      </c>
      <c r="B59" s="3" t="s">
        <v>15</v>
      </c>
      <c r="C59" s="3" t="s">
        <v>17</v>
      </c>
      <c r="D59">
        <v>34</v>
      </c>
      <c r="E59" s="4">
        <v>44550</v>
      </c>
      <c r="F59" s="17">
        <v>60130</v>
      </c>
      <c r="G59" t="s">
        <v>13</v>
      </c>
      <c r="H59" t="s">
        <v>206</v>
      </c>
      <c r="I59" s="6">
        <f ca="1">(TODAY()-staff[[#This Row],[Date Joined]])/365</f>
        <v>3.7315068493150685</v>
      </c>
      <c r="J59" s="16">
        <f ca="1">ROUNDUP(IF(staff[[#This Row],[Tenure]]&gt;2,3%,2%)*staff[[#This Row],[Salary]],0)</f>
        <v>1804</v>
      </c>
      <c r="K59" s="3">
        <f>_xlfn.XLOOKUP(staff[[#This Row],[Rating]],mapping!$B$2:$B$6,mapping!$C$2:$C$6)</f>
        <v>3</v>
      </c>
    </row>
    <row r="60" spans="1:11" x14ac:dyDescent="0.25">
      <c r="A60" s="3" t="s">
        <v>88</v>
      </c>
      <c r="B60" s="3" t="s">
        <v>8</v>
      </c>
      <c r="C60" s="3" t="s">
        <v>12</v>
      </c>
      <c r="D60">
        <v>30</v>
      </c>
      <c r="E60" s="4">
        <v>44666</v>
      </c>
      <c r="F60" s="17">
        <v>60570</v>
      </c>
      <c r="G60" t="s">
        <v>13</v>
      </c>
      <c r="H60" t="s">
        <v>205</v>
      </c>
      <c r="I60" s="6">
        <f ca="1">(TODAY()-staff[[#This Row],[Date Joined]])/365</f>
        <v>3.4136986301369863</v>
      </c>
      <c r="J60" s="16">
        <f ca="1">ROUNDUP(IF(staff[[#This Row],[Tenure]]&gt;2,3%,2%)*staff[[#This Row],[Salary]],0)</f>
        <v>1818</v>
      </c>
      <c r="K60" s="3">
        <f>_xlfn.XLOOKUP(staff[[#This Row],[Rating]],mapping!$B$2:$B$6,mapping!$C$2:$C$6)</f>
        <v>3</v>
      </c>
    </row>
    <row r="61" spans="1:11" x14ac:dyDescent="0.25">
      <c r="A61" s="3" t="s">
        <v>162</v>
      </c>
      <c r="B61" s="3" t="s">
        <v>8</v>
      </c>
      <c r="C61" s="3" t="s">
        <v>12</v>
      </c>
      <c r="D61">
        <v>30</v>
      </c>
      <c r="E61" s="4">
        <v>44607</v>
      </c>
      <c r="F61" s="17">
        <v>60570</v>
      </c>
      <c r="G61" t="s">
        <v>13</v>
      </c>
      <c r="H61" t="s">
        <v>206</v>
      </c>
      <c r="I61" s="6">
        <f ca="1">(TODAY()-staff[[#This Row],[Date Joined]])/365</f>
        <v>3.5753424657534247</v>
      </c>
      <c r="J61" s="16">
        <f ca="1">ROUNDUP(IF(staff[[#This Row],[Tenure]]&gt;2,3%,2%)*staff[[#This Row],[Salary]],0)</f>
        <v>1818</v>
      </c>
      <c r="K61" s="3">
        <f>_xlfn.XLOOKUP(staff[[#This Row],[Rating]],mapping!$B$2:$B$6,mapping!$C$2:$C$6)</f>
        <v>3</v>
      </c>
    </row>
    <row r="62" spans="1:11" x14ac:dyDescent="0.25">
      <c r="A62" s="3" t="s">
        <v>22</v>
      </c>
      <c r="B62" s="3" t="s">
        <v>15</v>
      </c>
      <c r="C62" s="3" t="s">
        <v>23</v>
      </c>
      <c r="D62">
        <v>24</v>
      </c>
      <c r="E62" s="4">
        <v>44148</v>
      </c>
      <c r="F62" s="17">
        <v>62780</v>
      </c>
      <c r="G62" t="s">
        <v>13</v>
      </c>
      <c r="H62" t="s">
        <v>205</v>
      </c>
      <c r="I62" s="6">
        <f ca="1">(TODAY()-staff[[#This Row],[Date Joined]])/365</f>
        <v>4.8328767123287673</v>
      </c>
      <c r="J62" s="16">
        <f ca="1">ROUNDUP(IF(staff[[#This Row],[Tenure]]&gt;2,3%,2%)*staff[[#This Row],[Salary]],0)</f>
        <v>1884</v>
      </c>
      <c r="K62" s="3">
        <f>_xlfn.XLOOKUP(staff[[#This Row],[Rating]],mapping!$B$2:$B$6,mapping!$C$2:$C$6)</f>
        <v>3</v>
      </c>
    </row>
    <row r="63" spans="1:11" x14ac:dyDescent="0.25">
      <c r="A63" s="3" t="s">
        <v>191</v>
      </c>
      <c r="B63" s="3" t="s">
        <v>15</v>
      </c>
      <c r="C63" s="3" t="s">
        <v>23</v>
      </c>
      <c r="D63">
        <v>24</v>
      </c>
      <c r="E63" s="4">
        <v>44087</v>
      </c>
      <c r="F63" s="17">
        <v>62780</v>
      </c>
      <c r="G63" t="s">
        <v>13</v>
      </c>
      <c r="H63" t="s">
        <v>206</v>
      </c>
      <c r="I63" s="6">
        <f ca="1">(TODAY()-staff[[#This Row],[Date Joined]])/365</f>
        <v>5</v>
      </c>
      <c r="J63" s="16">
        <f ca="1">ROUNDUP(IF(staff[[#This Row],[Tenure]]&gt;2,3%,2%)*staff[[#This Row],[Salary]],0)</f>
        <v>1884</v>
      </c>
      <c r="K63" s="3">
        <f>_xlfn.XLOOKUP(staff[[#This Row],[Rating]],mapping!$B$2:$B$6,mapping!$C$2:$C$6)</f>
        <v>3</v>
      </c>
    </row>
    <row r="64" spans="1:11" x14ac:dyDescent="0.25">
      <c r="A64" s="3" t="s">
        <v>41</v>
      </c>
      <c r="B64" s="3" t="s">
        <v>207</v>
      </c>
      <c r="C64" s="3" t="s">
        <v>17</v>
      </c>
      <c r="D64">
        <v>30</v>
      </c>
      <c r="E64" s="4">
        <v>44597</v>
      </c>
      <c r="F64" s="17">
        <v>64000</v>
      </c>
      <c r="G64" t="s">
        <v>13</v>
      </c>
      <c r="H64" t="s">
        <v>205</v>
      </c>
      <c r="I64" s="6">
        <f ca="1">(TODAY()-staff[[#This Row],[Date Joined]])/365</f>
        <v>3.6027397260273974</v>
      </c>
      <c r="J64" s="16">
        <f ca="1">ROUNDUP(IF(staff[[#This Row],[Tenure]]&gt;2,3%,2%)*staff[[#This Row],[Salary]],0)</f>
        <v>1920</v>
      </c>
      <c r="K64" s="3">
        <f>_xlfn.XLOOKUP(staff[[#This Row],[Rating]],mapping!$B$2:$B$6,mapping!$C$2:$C$6)</f>
        <v>3</v>
      </c>
    </row>
    <row r="65" spans="1:11" x14ac:dyDescent="0.25">
      <c r="A65" s="3" t="s">
        <v>165</v>
      </c>
      <c r="B65" s="3" t="s">
        <v>207</v>
      </c>
      <c r="C65" s="3" t="s">
        <v>17</v>
      </c>
      <c r="D65">
        <v>30</v>
      </c>
      <c r="E65" s="4">
        <v>44535</v>
      </c>
      <c r="F65" s="17">
        <v>64000</v>
      </c>
      <c r="G65" t="s">
        <v>13</v>
      </c>
      <c r="H65" t="s">
        <v>206</v>
      </c>
      <c r="I65" s="6">
        <f ca="1">(TODAY()-staff[[#This Row],[Date Joined]])/365</f>
        <v>3.7726027397260276</v>
      </c>
      <c r="J65" s="16">
        <f ca="1">ROUNDUP(IF(staff[[#This Row],[Tenure]]&gt;2,3%,2%)*staff[[#This Row],[Salary]],0)</f>
        <v>1920</v>
      </c>
      <c r="K65" s="3">
        <f>_xlfn.XLOOKUP(staff[[#This Row],[Rating]],mapping!$B$2:$B$6,mapping!$C$2:$C$6)</f>
        <v>3</v>
      </c>
    </row>
    <row r="66" spans="1:11" x14ac:dyDescent="0.25">
      <c r="A66" s="3" t="s">
        <v>103</v>
      </c>
      <c r="B66" s="3" t="s">
        <v>15</v>
      </c>
      <c r="C66" s="3" t="s">
        <v>17</v>
      </c>
      <c r="D66">
        <v>33</v>
      </c>
      <c r="E66" s="4">
        <v>44067</v>
      </c>
      <c r="F66" s="17">
        <v>65360</v>
      </c>
      <c r="G66" t="s">
        <v>13</v>
      </c>
      <c r="H66" t="s">
        <v>205</v>
      </c>
      <c r="I66" s="6">
        <f ca="1">(TODAY()-staff[[#This Row],[Date Joined]])/365</f>
        <v>5.0547945205479454</v>
      </c>
      <c r="J66" s="16">
        <f ca="1">ROUNDUP(IF(staff[[#This Row],[Tenure]]&gt;2,3%,2%)*staff[[#This Row],[Salary]],0)</f>
        <v>1961</v>
      </c>
      <c r="K66" s="3">
        <f>_xlfn.XLOOKUP(staff[[#This Row],[Rating]],mapping!$B$2:$B$6,mapping!$C$2:$C$6)</f>
        <v>3</v>
      </c>
    </row>
    <row r="67" spans="1:11" x14ac:dyDescent="0.25">
      <c r="A67" s="3" t="s">
        <v>164</v>
      </c>
      <c r="B67" s="3" t="s">
        <v>15</v>
      </c>
      <c r="C67" s="3" t="s">
        <v>17</v>
      </c>
      <c r="D67">
        <v>33</v>
      </c>
      <c r="E67" s="4">
        <v>44006</v>
      </c>
      <c r="F67" s="17">
        <v>65360</v>
      </c>
      <c r="G67" t="s">
        <v>13</v>
      </c>
      <c r="H67" t="s">
        <v>206</v>
      </c>
      <c r="I67" s="6">
        <f ca="1">(TODAY()-staff[[#This Row],[Date Joined]])/365</f>
        <v>5.2219178082191782</v>
      </c>
      <c r="J67" s="16">
        <f ca="1">ROUNDUP(IF(staff[[#This Row],[Tenure]]&gt;2,3%,2%)*staff[[#This Row],[Salary]],0)</f>
        <v>1961</v>
      </c>
      <c r="K67" s="3">
        <f>_xlfn.XLOOKUP(staff[[#This Row],[Rating]],mapping!$B$2:$B$6,mapping!$C$2:$C$6)</f>
        <v>3</v>
      </c>
    </row>
    <row r="68" spans="1:11" x14ac:dyDescent="0.25">
      <c r="A68" s="3" t="s">
        <v>28</v>
      </c>
      <c r="B68" s="3" t="s">
        <v>8</v>
      </c>
      <c r="C68" s="3" t="s">
        <v>9</v>
      </c>
      <c r="D68">
        <v>25</v>
      </c>
      <c r="E68" s="4">
        <v>44383</v>
      </c>
      <c r="F68" s="17">
        <v>65700</v>
      </c>
      <c r="G68" t="s">
        <v>13</v>
      </c>
      <c r="H68" t="s">
        <v>205</v>
      </c>
      <c r="I68" s="6">
        <f ca="1">(TODAY()-staff[[#This Row],[Date Joined]])/365</f>
        <v>4.1890410958904107</v>
      </c>
      <c r="J68" s="16">
        <f ca="1">ROUNDUP(IF(staff[[#This Row],[Tenure]]&gt;2,3%,2%)*staff[[#This Row],[Salary]],0)</f>
        <v>1971</v>
      </c>
      <c r="K68" s="3">
        <f>_xlfn.XLOOKUP(staff[[#This Row],[Rating]],mapping!$B$2:$B$6,mapping!$C$2:$C$6)</f>
        <v>3</v>
      </c>
    </row>
    <row r="69" spans="1:11" x14ac:dyDescent="0.25">
      <c r="A69" s="3" t="s">
        <v>193</v>
      </c>
      <c r="B69" s="3" t="s">
        <v>8</v>
      </c>
      <c r="C69" s="3" t="s">
        <v>9</v>
      </c>
      <c r="D69">
        <v>25</v>
      </c>
      <c r="E69" s="4">
        <v>44322</v>
      </c>
      <c r="F69" s="17">
        <v>65700</v>
      </c>
      <c r="G69" t="s">
        <v>13</v>
      </c>
      <c r="H69" t="s">
        <v>206</v>
      </c>
      <c r="I69" s="6">
        <f ca="1">(TODAY()-staff[[#This Row],[Date Joined]])/365</f>
        <v>4.3561643835616435</v>
      </c>
      <c r="J69" s="16">
        <f ca="1">ROUNDUP(IF(staff[[#This Row],[Tenure]]&gt;2,3%,2%)*staff[[#This Row],[Salary]],0)</f>
        <v>1971</v>
      </c>
      <c r="K69" s="3">
        <f>_xlfn.XLOOKUP(staff[[#This Row],[Rating]],mapping!$B$2:$B$6,mapping!$C$2:$C$6)</f>
        <v>3</v>
      </c>
    </row>
    <row r="70" spans="1:11" x14ac:dyDescent="0.25">
      <c r="A70" s="3" t="s">
        <v>86</v>
      </c>
      <c r="B70" s="3" t="s">
        <v>15</v>
      </c>
      <c r="C70" s="3" t="s">
        <v>17</v>
      </c>
      <c r="D70">
        <v>21</v>
      </c>
      <c r="E70" s="4">
        <v>44317</v>
      </c>
      <c r="F70" s="17">
        <v>65920</v>
      </c>
      <c r="G70" t="s">
        <v>13</v>
      </c>
      <c r="H70" t="s">
        <v>205</v>
      </c>
      <c r="I70" s="6">
        <f ca="1">(TODAY()-staff[[#This Row],[Date Joined]])/365</f>
        <v>4.3698630136986303</v>
      </c>
      <c r="J70" s="16">
        <f ca="1">ROUNDUP(IF(staff[[#This Row],[Tenure]]&gt;2,3%,2%)*staff[[#This Row],[Salary]],0)</f>
        <v>1978</v>
      </c>
      <c r="K70" s="3">
        <f>_xlfn.XLOOKUP(staff[[#This Row],[Rating]],mapping!$B$2:$B$6,mapping!$C$2:$C$6)</f>
        <v>3</v>
      </c>
    </row>
    <row r="71" spans="1:11" x14ac:dyDescent="0.25">
      <c r="A71" s="3" t="s">
        <v>141</v>
      </c>
      <c r="B71" s="3" t="s">
        <v>15</v>
      </c>
      <c r="C71" s="3" t="s">
        <v>17</v>
      </c>
      <c r="D71">
        <v>21</v>
      </c>
      <c r="E71" s="4">
        <v>44256</v>
      </c>
      <c r="F71" s="17">
        <v>65920</v>
      </c>
      <c r="G71" t="s">
        <v>13</v>
      </c>
      <c r="H71" t="s">
        <v>206</v>
      </c>
      <c r="I71" s="6">
        <f ca="1">(TODAY()-staff[[#This Row],[Date Joined]])/365</f>
        <v>4.536986301369863</v>
      </c>
      <c r="J71" s="16">
        <f ca="1">ROUNDUP(IF(staff[[#This Row],[Tenure]]&gt;2,3%,2%)*staff[[#This Row],[Salary]],0)</f>
        <v>1978</v>
      </c>
      <c r="K71" s="3">
        <f>_xlfn.XLOOKUP(staff[[#This Row],[Rating]],mapping!$B$2:$B$6,mapping!$C$2:$C$6)</f>
        <v>3</v>
      </c>
    </row>
    <row r="72" spans="1:11" x14ac:dyDescent="0.25">
      <c r="A72" s="3" t="s">
        <v>38</v>
      </c>
      <c r="B72" s="3" t="s">
        <v>15</v>
      </c>
      <c r="C72" s="3" t="s">
        <v>17</v>
      </c>
      <c r="D72">
        <v>30</v>
      </c>
      <c r="E72" s="4">
        <v>44389</v>
      </c>
      <c r="F72" s="17">
        <v>67910</v>
      </c>
      <c r="G72" t="s">
        <v>18</v>
      </c>
      <c r="H72" t="s">
        <v>205</v>
      </c>
      <c r="I72" s="6">
        <f ca="1">(TODAY()-staff[[#This Row],[Date Joined]])/365</f>
        <v>4.1726027397260275</v>
      </c>
      <c r="J72" s="16">
        <f ca="1">ROUNDUP(IF(staff[[#This Row],[Tenure]]&gt;2,3%,2%)*staff[[#This Row],[Salary]],0)</f>
        <v>2038</v>
      </c>
      <c r="K72" s="3">
        <f>_xlfn.XLOOKUP(staff[[#This Row],[Rating]],mapping!$B$2:$B$6,mapping!$C$2:$C$6)</f>
        <v>2</v>
      </c>
    </row>
    <row r="73" spans="1:11" x14ac:dyDescent="0.25">
      <c r="A73" s="3" t="s">
        <v>181</v>
      </c>
      <c r="B73" s="3" t="s">
        <v>15</v>
      </c>
      <c r="C73" s="3" t="s">
        <v>17</v>
      </c>
      <c r="D73">
        <v>30</v>
      </c>
      <c r="E73" s="4">
        <v>44328</v>
      </c>
      <c r="F73" s="17">
        <v>67910</v>
      </c>
      <c r="G73" t="s">
        <v>18</v>
      </c>
      <c r="H73" t="s">
        <v>206</v>
      </c>
      <c r="I73" s="6">
        <f ca="1">(TODAY()-staff[[#This Row],[Date Joined]])/365</f>
        <v>4.3397260273972602</v>
      </c>
      <c r="J73" s="16">
        <f ca="1">ROUNDUP(IF(staff[[#This Row],[Tenure]]&gt;2,3%,2%)*staff[[#This Row],[Salary]],0)</f>
        <v>2038</v>
      </c>
      <c r="K73" s="3">
        <f>_xlfn.XLOOKUP(staff[[#This Row],[Rating]],mapping!$B$2:$B$6,mapping!$C$2:$C$6)</f>
        <v>2</v>
      </c>
    </row>
    <row r="74" spans="1:11" x14ac:dyDescent="0.25">
      <c r="A74" s="3" t="s">
        <v>107</v>
      </c>
      <c r="B74" s="3" t="s">
        <v>8</v>
      </c>
      <c r="C74" s="3" t="s">
        <v>12</v>
      </c>
      <c r="D74">
        <v>30</v>
      </c>
      <c r="E74" s="4">
        <v>44701</v>
      </c>
      <c r="F74" s="17">
        <v>67950</v>
      </c>
      <c r="G74" t="s">
        <v>13</v>
      </c>
      <c r="H74" t="s">
        <v>205</v>
      </c>
      <c r="I74" s="6">
        <f ca="1">(TODAY()-staff[[#This Row],[Date Joined]])/365</f>
        <v>3.3178082191780822</v>
      </c>
      <c r="J74" s="16">
        <f ca="1">ROUNDUP(IF(staff[[#This Row],[Tenure]]&gt;2,3%,2%)*staff[[#This Row],[Salary]],0)</f>
        <v>2039</v>
      </c>
      <c r="K74" s="3">
        <f>_xlfn.XLOOKUP(staff[[#This Row],[Rating]],mapping!$B$2:$B$6,mapping!$C$2:$C$6)</f>
        <v>3</v>
      </c>
    </row>
    <row r="75" spans="1:11" x14ac:dyDescent="0.25">
      <c r="A75" s="3" t="s">
        <v>189</v>
      </c>
      <c r="B75" s="3" t="s">
        <v>8</v>
      </c>
      <c r="C75" s="3" t="s">
        <v>12</v>
      </c>
      <c r="D75">
        <v>30</v>
      </c>
      <c r="E75" s="4">
        <v>44640</v>
      </c>
      <c r="F75" s="17">
        <v>67950</v>
      </c>
      <c r="G75" t="s">
        <v>13</v>
      </c>
      <c r="H75" t="s">
        <v>206</v>
      </c>
      <c r="I75" s="6">
        <f ca="1">(TODAY()-staff[[#This Row],[Date Joined]])/365</f>
        <v>3.484931506849315</v>
      </c>
      <c r="J75" s="16">
        <f ca="1">ROUNDUP(IF(staff[[#This Row],[Tenure]]&gt;2,3%,2%)*staff[[#This Row],[Salary]],0)</f>
        <v>2039</v>
      </c>
      <c r="K75" s="3">
        <f>_xlfn.XLOOKUP(staff[[#This Row],[Rating]],mapping!$B$2:$B$6,mapping!$C$2:$C$6)</f>
        <v>3</v>
      </c>
    </row>
    <row r="76" spans="1:11" x14ac:dyDescent="0.25">
      <c r="A76" s="3" t="s">
        <v>65</v>
      </c>
      <c r="B76" s="3" t="s">
        <v>15</v>
      </c>
      <c r="C76" s="3" t="s">
        <v>9</v>
      </c>
      <c r="D76">
        <v>20</v>
      </c>
      <c r="E76" s="4">
        <v>44537</v>
      </c>
      <c r="F76" s="17">
        <v>68900</v>
      </c>
      <c r="G76" t="s">
        <v>18</v>
      </c>
      <c r="H76" t="s">
        <v>205</v>
      </c>
      <c r="I76" s="6">
        <f ca="1">(TODAY()-staff[[#This Row],[Date Joined]])/365</f>
        <v>3.7671232876712328</v>
      </c>
      <c r="J76" s="16">
        <f ca="1">ROUNDUP(IF(staff[[#This Row],[Tenure]]&gt;2,3%,2%)*staff[[#This Row],[Salary]],0)</f>
        <v>2067</v>
      </c>
      <c r="K76" s="3">
        <f>_xlfn.XLOOKUP(staff[[#This Row],[Rating]],mapping!$B$2:$B$6,mapping!$C$2:$C$6)</f>
        <v>2</v>
      </c>
    </row>
    <row r="77" spans="1:11" x14ac:dyDescent="0.25">
      <c r="A77" s="3" t="s">
        <v>170</v>
      </c>
      <c r="B77" s="3" t="s">
        <v>15</v>
      </c>
      <c r="C77" s="3" t="s">
        <v>9</v>
      </c>
      <c r="D77">
        <v>20</v>
      </c>
      <c r="E77" s="4">
        <v>44476</v>
      </c>
      <c r="F77" s="17">
        <v>68900</v>
      </c>
      <c r="G77" t="s">
        <v>18</v>
      </c>
      <c r="H77" t="s">
        <v>206</v>
      </c>
      <c r="I77" s="6">
        <f ca="1">(TODAY()-staff[[#This Row],[Date Joined]])/365</f>
        <v>3.9342465753424656</v>
      </c>
      <c r="J77" s="16">
        <f ca="1">ROUNDUP(IF(staff[[#This Row],[Tenure]]&gt;2,3%,2%)*staff[[#This Row],[Salary]],0)</f>
        <v>2067</v>
      </c>
      <c r="K77" s="3">
        <f>_xlfn.XLOOKUP(staff[[#This Row],[Rating]],mapping!$B$2:$B$6,mapping!$C$2:$C$6)</f>
        <v>2</v>
      </c>
    </row>
    <row r="78" spans="1:11" x14ac:dyDescent="0.25">
      <c r="A78" s="3" t="s">
        <v>29</v>
      </c>
      <c r="B78" s="3" t="s">
        <v>8</v>
      </c>
      <c r="C78" s="3" t="s">
        <v>23</v>
      </c>
      <c r="D78">
        <v>37</v>
      </c>
      <c r="E78" s="4">
        <v>44701</v>
      </c>
      <c r="F78" s="17">
        <v>69070</v>
      </c>
      <c r="G78" t="s">
        <v>13</v>
      </c>
      <c r="H78" t="s">
        <v>205</v>
      </c>
      <c r="I78" s="6">
        <f ca="1">(TODAY()-staff[[#This Row],[Date Joined]])/365</f>
        <v>3.3178082191780822</v>
      </c>
      <c r="J78" s="16">
        <f ca="1">ROUNDUP(IF(staff[[#This Row],[Tenure]]&gt;2,3%,2%)*staff[[#This Row],[Salary]],0)</f>
        <v>2073</v>
      </c>
      <c r="K78" s="3">
        <f>_xlfn.XLOOKUP(staff[[#This Row],[Rating]],mapping!$B$2:$B$6,mapping!$C$2:$C$6)</f>
        <v>3</v>
      </c>
    </row>
    <row r="79" spans="1:11" x14ac:dyDescent="0.25">
      <c r="A79" s="3" t="s">
        <v>180</v>
      </c>
      <c r="B79" s="3" t="s">
        <v>8</v>
      </c>
      <c r="C79" s="3" t="s">
        <v>23</v>
      </c>
      <c r="D79">
        <v>37</v>
      </c>
      <c r="E79" s="4">
        <v>44640</v>
      </c>
      <c r="F79" s="17">
        <v>69070</v>
      </c>
      <c r="G79" t="s">
        <v>13</v>
      </c>
      <c r="H79" t="s">
        <v>206</v>
      </c>
      <c r="I79" s="6">
        <f ca="1">(TODAY()-staff[[#This Row],[Date Joined]])/365</f>
        <v>3.484931506849315</v>
      </c>
      <c r="J79" s="16">
        <f ca="1">ROUNDUP(IF(staff[[#This Row],[Tenure]]&gt;2,3%,2%)*staff[[#This Row],[Salary]],0)</f>
        <v>2073</v>
      </c>
      <c r="K79" s="3">
        <f>_xlfn.XLOOKUP(staff[[#This Row],[Rating]],mapping!$B$2:$B$6,mapping!$C$2:$C$6)</f>
        <v>3</v>
      </c>
    </row>
    <row r="80" spans="1:11" x14ac:dyDescent="0.25">
      <c r="A80" s="3" t="s">
        <v>76</v>
      </c>
      <c r="B80" s="3" t="s">
        <v>8</v>
      </c>
      <c r="C80" s="3" t="s">
        <v>23</v>
      </c>
      <c r="D80">
        <v>30</v>
      </c>
      <c r="E80" s="4">
        <v>44273</v>
      </c>
      <c r="F80" s="17">
        <v>69120</v>
      </c>
      <c r="G80" t="s">
        <v>13</v>
      </c>
      <c r="H80" t="s">
        <v>205</v>
      </c>
      <c r="I80" s="6">
        <f ca="1">(TODAY()-staff[[#This Row],[Date Joined]])/365</f>
        <v>4.4904109589041097</v>
      </c>
      <c r="J80" s="16">
        <f ca="1">ROUNDUP(IF(staff[[#This Row],[Tenure]]&gt;2,3%,2%)*staff[[#This Row],[Salary]],0)</f>
        <v>2074</v>
      </c>
      <c r="K80" s="3">
        <f>_xlfn.XLOOKUP(staff[[#This Row],[Rating]],mapping!$B$2:$B$6,mapping!$C$2:$C$6)</f>
        <v>3</v>
      </c>
    </row>
    <row r="81" spans="1:11" x14ac:dyDescent="0.25">
      <c r="A81" s="3" t="s">
        <v>182</v>
      </c>
      <c r="B81" s="3" t="s">
        <v>8</v>
      </c>
      <c r="C81" s="3" t="s">
        <v>23</v>
      </c>
      <c r="D81">
        <v>30</v>
      </c>
      <c r="E81" s="4">
        <v>44214</v>
      </c>
      <c r="F81" s="17">
        <v>69120</v>
      </c>
      <c r="G81" t="s">
        <v>13</v>
      </c>
      <c r="H81" t="s">
        <v>206</v>
      </c>
      <c r="I81" s="6">
        <f ca="1">(TODAY()-staff[[#This Row],[Date Joined]])/365</f>
        <v>4.6520547945205477</v>
      </c>
      <c r="J81" s="16">
        <f ca="1">ROUNDUP(IF(staff[[#This Row],[Tenure]]&gt;2,3%,2%)*staff[[#This Row],[Salary]],0)</f>
        <v>2074</v>
      </c>
      <c r="K81" s="3">
        <f>_xlfn.XLOOKUP(staff[[#This Row],[Rating]],mapping!$B$2:$B$6,mapping!$C$2:$C$6)</f>
        <v>3</v>
      </c>
    </row>
    <row r="82" spans="1:11" x14ac:dyDescent="0.25">
      <c r="A82" s="3" t="s">
        <v>72</v>
      </c>
      <c r="B82" s="3" t="s">
        <v>8</v>
      </c>
      <c r="C82" s="3" t="s">
        <v>23</v>
      </c>
      <c r="D82">
        <v>30</v>
      </c>
      <c r="E82" s="4">
        <v>44850</v>
      </c>
      <c r="F82" s="17">
        <v>69710</v>
      </c>
      <c r="G82" t="s">
        <v>13</v>
      </c>
      <c r="H82" t="s">
        <v>205</v>
      </c>
      <c r="I82" s="6">
        <f ca="1">(TODAY()-staff[[#This Row],[Date Joined]])/365</f>
        <v>2.9095890410958902</v>
      </c>
      <c r="J82" s="16">
        <f ca="1">ROUNDUP(IF(staff[[#This Row],[Tenure]]&gt;2,3%,2%)*staff[[#This Row],[Salary]],0)</f>
        <v>2092</v>
      </c>
      <c r="K82" s="3">
        <f>_xlfn.XLOOKUP(staff[[#This Row],[Rating]],mapping!$B$2:$B$6,mapping!$C$2:$C$6)</f>
        <v>3</v>
      </c>
    </row>
    <row r="83" spans="1:11" x14ac:dyDescent="0.25">
      <c r="A83" s="3" t="s">
        <v>127</v>
      </c>
      <c r="B83" s="3" t="s">
        <v>8</v>
      </c>
      <c r="C83" s="3" t="s">
        <v>23</v>
      </c>
      <c r="D83">
        <v>30</v>
      </c>
      <c r="E83" s="4">
        <v>44789</v>
      </c>
      <c r="F83" s="17">
        <v>69710</v>
      </c>
      <c r="G83" t="s">
        <v>13</v>
      </c>
      <c r="H83" t="s">
        <v>206</v>
      </c>
      <c r="I83" s="6">
        <f ca="1">(TODAY()-staff[[#This Row],[Date Joined]])/365</f>
        <v>3.0767123287671234</v>
      </c>
      <c r="J83" s="16">
        <f ca="1">ROUNDUP(IF(staff[[#This Row],[Tenure]]&gt;2,3%,2%)*staff[[#This Row],[Salary]],0)</f>
        <v>2092</v>
      </c>
      <c r="K83" s="3">
        <f>_xlfn.XLOOKUP(staff[[#This Row],[Rating]],mapping!$B$2:$B$6,mapping!$C$2:$C$6)</f>
        <v>3</v>
      </c>
    </row>
    <row r="84" spans="1:11" x14ac:dyDescent="0.25">
      <c r="A84" s="3" t="s">
        <v>108</v>
      </c>
      <c r="B84" s="3" t="s">
        <v>8</v>
      </c>
      <c r="C84" s="3" t="s">
        <v>17</v>
      </c>
      <c r="D84">
        <v>42</v>
      </c>
      <c r="E84" s="4">
        <v>44731</v>
      </c>
      <c r="F84" s="17">
        <v>70270</v>
      </c>
      <c r="G84" t="s">
        <v>18</v>
      </c>
      <c r="H84" t="s">
        <v>205</v>
      </c>
      <c r="I84" s="6">
        <f ca="1">(TODAY()-staff[[#This Row],[Date Joined]])/365</f>
        <v>3.2356164383561645</v>
      </c>
      <c r="J84" s="16">
        <f ca="1">ROUNDUP(IF(staff[[#This Row],[Tenure]]&gt;2,3%,2%)*staff[[#This Row],[Salary]],0)</f>
        <v>2109</v>
      </c>
      <c r="K84" s="3">
        <f>_xlfn.XLOOKUP(staff[[#This Row],[Rating]],mapping!$B$2:$B$6,mapping!$C$2:$C$6)</f>
        <v>2</v>
      </c>
    </row>
    <row r="85" spans="1:11" x14ac:dyDescent="0.25">
      <c r="A85" s="3" t="s">
        <v>159</v>
      </c>
      <c r="B85" s="3" t="s">
        <v>8</v>
      </c>
      <c r="C85" s="3" t="s">
        <v>17</v>
      </c>
      <c r="D85">
        <v>42</v>
      </c>
      <c r="E85" s="4">
        <v>44670</v>
      </c>
      <c r="F85" s="17">
        <v>70270</v>
      </c>
      <c r="G85" t="s">
        <v>18</v>
      </c>
      <c r="H85" t="s">
        <v>206</v>
      </c>
      <c r="I85" s="6">
        <f ca="1">(TODAY()-staff[[#This Row],[Date Joined]])/365</f>
        <v>3.4027397260273973</v>
      </c>
      <c r="J85" s="16">
        <f ca="1">ROUNDUP(IF(staff[[#This Row],[Tenure]]&gt;2,3%,2%)*staff[[#This Row],[Salary]],0)</f>
        <v>2109</v>
      </c>
      <c r="K85" s="3">
        <f>_xlfn.XLOOKUP(staff[[#This Row],[Rating]],mapping!$B$2:$B$6,mapping!$C$2:$C$6)</f>
        <v>2</v>
      </c>
    </row>
    <row r="86" spans="1:11" x14ac:dyDescent="0.25">
      <c r="A86" s="3" t="s">
        <v>11</v>
      </c>
      <c r="B86" s="3" t="s">
        <v>8</v>
      </c>
      <c r="C86" s="3" t="s">
        <v>12</v>
      </c>
      <c r="D86">
        <v>46</v>
      </c>
      <c r="E86" s="4">
        <v>44758</v>
      </c>
      <c r="F86" s="17">
        <v>70610</v>
      </c>
      <c r="G86" t="s">
        <v>13</v>
      </c>
      <c r="H86" t="s">
        <v>205</v>
      </c>
      <c r="I86" s="6">
        <f ca="1">(TODAY()-staff[[#This Row],[Date Joined]])/365</f>
        <v>3.1616438356164385</v>
      </c>
      <c r="J86" s="16">
        <f ca="1">ROUNDUP(IF(staff[[#This Row],[Tenure]]&gt;2,3%,2%)*staff[[#This Row],[Salary]],0)</f>
        <v>2119</v>
      </c>
      <c r="K86" s="3">
        <f>_xlfn.XLOOKUP(staff[[#This Row],[Rating]],mapping!$B$2:$B$6,mapping!$C$2:$C$6)</f>
        <v>3</v>
      </c>
    </row>
    <row r="87" spans="1:11" x14ac:dyDescent="0.25">
      <c r="A87" s="3" t="s">
        <v>198</v>
      </c>
      <c r="B87" s="3" t="s">
        <v>8</v>
      </c>
      <c r="C87" s="3" t="s">
        <v>12</v>
      </c>
      <c r="D87">
        <v>46</v>
      </c>
      <c r="E87" s="4">
        <v>44697</v>
      </c>
      <c r="F87" s="17">
        <v>70610</v>
      </c>
      <c r="G87" t="s">
        <v>13</v>
      </c>
      <c r="H87" t="s">
        <v>206</v>
      </c>
      <c r="I87" s="6">
        <f ca="1">(TODAY()-staff[[#This Row],[Date Joined]])/365</f>
        <v>3.3287671232876712</v>
      </c>
      <c r="J87" s="16">
        <f ca="1">ROUNDUP(IF(staff[[#This Row],[Tenure]]&gt;2,3%,2%)*staff[[#This Row],[Salary]],0)</f>
        <v>2119</v>
      </c>
      <c r="K87" s="3">
        <f>_xlfn.XLOOKUP(staff[[#This Row],[Rating]],mapping!$B$2:$B$6,mapping!$C$2:$C$6)</f>
        <v>3</v>
      </c>
    </row>
    <row r="88" spans="1:11" x14ac:dyDescent="0.25">
      <c r="A88" s="3" t="s">
        <v>73</v>
      </c>
      <c r="B88" s="3" t="s">
        <v>8</v>
      </c>
      <c r="C88" s="3" t="s">
        <v>17</v>
      </c>
      <c r="D88">
        <v>36</v>
      </c>
      <c r="E88" s="4">
        <v>44333</v>
      </c>
      <c r="F88" s="17">
        <v>71380</v>
      </c>
      <c r="G88" t="s">
        <v>13</v>
      </c>
      <c r="H88" t="s">
        <v>205</v>
      </c>
      <c r="I88" s="6">
        <f ca="1">(TODAY()-staff[[#This Row],[Date Joined]])/365</f>
        <v>4.3260273972602743</v>
      </c>
      <c r="J88" s="16">
        <f ca="1">ROUNDUP(IF(staff[[#This Row],[Tenure]]&gt;2,3%,2%)*staff[[#This Row],[Salary]],0)</f>
        <v>2142</v>
      </c>
      <c r="K88" s="3">
        <f>_xlfn.XLOOKUP(staff[[#This Row],[Rating]],mapping!$B$2:$B$6,mapping!$C$2:$C$6)</f>
        <v>3</v>
      </c>
    </row>
    <row r="89" spans="1:11" x14ac:dyDescent="0.25">
      <c r="A89" s="3" t="s">
        <v>176</v>
      </c>
      <c r="B89" s="3" t="s">
        <v>8</v>
      </c>
      <c r="C89" s="3" t="s">
        <v>17</v>
      </c>
      <c r="D89">
        <v>36</v>
      </c>
      <c r="E89" s="4">
        <v>44272</v>
      </c>
      <c r="F89" s="17">
        <v>71380</v>
      </c>
      <c r="G89" t="s">
        <v>13</v>
      </c>
      <c r="H89" t="s">
        <v>206</v>
      </c>
      <c r="I89" s="6">
        <f ca="1">(TODAY()-staff[[#This Row],[Date Joined]])/365</f>
        <v>4.493150684931507</v>
      </c>
      <c r="J89" s="16">
        <f ca="1">ROUNDUP(IF(staff[[#This Row],[Tenure]]&gt;2,3%,2%)*staff[[#This Row],[Salary]],0)</f>
        <v>2142</v>
      </c>
      <c r="K89" s="3">
        <f>_xlfn.XLOOKUP(staff[[#This Row],[Rating]],mapping!$B$2:$B$6,mapping!$C$2:$C$6)</f>
        <v>3</v>
      </c>
    </row>
    <row r="90" spans="1:11" x14ac:dyDescent="0.25">
      <c r="A90" s="3" t="s">
        <v>106</v>
      </c>
      <c r="B90" s="3" t="s">
        <v>8</v>
      </c>
      <c r="C90" s="3" t="s">
        <v>9</v>
      </c>
      <c r="D90">
        <v>33</v>
      </c>
      <c r="E90" s="4">
        <v>44385</v>
      </c>
      <c r="F90" s="17">
        <v>74550</v>
      </c>
      <c r="G90" t="s">
        <v>13</v>
      </c>
      <c r="H90" t="s">
        <v>205</v>
      </c>
      <c r="I90" s="6">
        <f ca="1">(TODAY()-staff[[#This Row],[Date Joined]])/365</f>
        <v>4.183561643835616</v>
      </c>
      <c r="J90" s="16">
        <f ca="1">ROUNDUP(IF(staff[[#This Row],[Tenure]]&gt;2,3%,2%)*staff[[#This Row],[Salary]],0)</f>
        <v>2237</v>
      </c>
      <c r="K90" s="3">
        <f>_xlfn.XLOOKUP(staff[[#This Row],[Rating]],mapping!$B$2:$B$6,mapping!$C$2:$C$6)</f>
        <v>3</v>
      </c>
    </row>
    <row r="91" spans="1:11" x14ac:dyDescent="0.25">
      <c r="A91" s="3" t="s">
        <v>118</v>
      </c>
      <c r="B91" s="3" t="s">
        <v>8</v>
      </c>
      <c r="C91" s="3" t="s">
        <v>9</v>
      </c>
      <c r="D91">
        <v>33</v>
      </c>
      <c r="E91" s="4">
        <v>44324</v>
      </c>
      <c r="F91" s="17">
        <v>74550</v>
      </c>
      <c r="G91" t="s">
        <v>13</v>
      </c>
      <c r="H91" t="s">
        <v>206</v>
      </c>
      <c r="I91" s="6">
        <f ca="1">(TODAY()-staff[[#This Row],[Date Joined]])/365</f>
        <v>4.3506849315068497</v>
      </c>
      <c r="J91" s="16">
        <f ca="1">ROUNDUP(IF(staff[[#This Row],[Tenure]]&gt;2,3%,2%)*staff[[#This Row],[Salary]],0)</f>
        <v>2237</v>
      </c>
      <c r="K91" s="3">
        <f>_xlfn.XLOOKUP(staff[[#This Row],[Rating]],mapping!$B$2:$B$6,mapping!$C$2:$C$6)</f>
        <v>3</v>
      </c>
    </row>
    <row r="92" spans="1:11" x14ac:dyDescent="0.25">
      <c r="A92" s="3" t="s">
        <v>42</v>
      </c>
      <c r="B92" s="3" t="s">
        <v>15</v>
      </c>
      <c r="C92" s="3" t="s">
        <v>12</v>
      </c>
      <c r="D92">
        <v>42</v>
      </c>
      <c r="E92" s="4">
        <v>44779</v>
      </c>
      <c r="F92" s="17">
        <v>75000</v>
      </c>
      <c r="G92" t="s">
        <v>43</v>
      </c>
      <c r="H92" t="s">
        <v>205</v>
      </c>
      <c r="I92" s="6">
        <f ca="1">(TODAY()-staff[[#This Row],[Date Joined]])/365</f>
        <v>3.1041095890410957</v>
      </c>
      <c r="J92" s="16">
        <f ca="1">ROUNDUP(IF(staff[[#This Row],[Tenure]]&gt;2,3%,2%)*staff[[#This Row],[Salary]],0)</f>
        <v>2250</v>
      </c>
      <c r="K92" s="3">
        <f>_xlfn.XLOOKUP(staff[[#This Row],[Rating]],mapping!$B$2:$B$6,mapping!$C$2:$C$6)</f>
        <v>5</v>
      </c>
    </row>
    <row r="93" spans="1:11" x14ac:dyDescent="0.25">
      <c r="A93" s="3" t="s">
        <v>133</v>
      </c>
      <c r="B93" s="3" t="s">
        <v>15</v>
      </c>
      <c r="C93" s="3" t="s">
        <v>12</v>
      </c>
      <c r="D93">
        <v>42</v>
      </c>
      <c r="E93" s="4">
        <v>44718</v>
      </c>
      <c r="F93" s="17">
        <v>75000</v>
      </c>
      <c r="G93" t="s">
        <v>43</v>
      </c>
      <c r="H93" t="s">
        <v>206</v>
      </c>
      <c r="I93" s="6">
        <f ca="1">(TODAY()-staff[[#This Row],[Date Joined]])/365</f>
        <v>3.2712328767123289</v>
      </c>
      <c r="J93" s="16">
        <f ca="1">ROUNDUP(IF(staff[[#This Row],[Tenure]]&gt;2,3%,2%)*staff[[#This Row],[Salary]],0)</f>
        <v>2250</v>
      </c>
      <c r="K93" s="3">
        <f>_xlfn.XLOOKUP(staff[[#This Row],[Rating]],mapping!$B$2:$B$6,mapping!$C$2:$C$6)</f>
        <v>5</v>
      </c>
    </row>
    <row r="94" spans="1:11" x14ac:dyDescent="0.25">
      <c r="A94" s="3" t="s">
        <v>105</v>
      </c>
      <c r="B94" s="3" t="s">
        <v>15</v>
      </c>
      <c r="C94" s="3" t="s">
        <v>23</v>
      </c>
      <c r="D94">
        <v>33</v>
      </c>
      <c r="E94" s="4">
        <v>44312</v>
      </c>
      <c r="F94" s="17">
        <v>75280</v>
      </c>
      <c r="G94" t="s">
        <v>13</v>
      </c>
      <c r="H94" t="s">
        <v>205</v>
      </c>
      <c r="I94" s="6">
        <f ca="1">(TODAY()-staff[[#This Row],[Date Joined]])/365</f>
        <v>4.3835616438356162</v>
      </c>
      <c r="J94" s="16">
        <f ca="1">ROUNDUP(IF(staff[[#This Row],[Tenure]]&gt;2,3%,2%)*staff[[#This Row],[Salary]],0)</f>
        <v>2259</v>
      </c>
      <c r="K94" s="3">
        <f>_xlfn.XLOOKUP(staff[[#This Row],[Rating]],mapping!$B$2:$B$6,mapping!$C$2:$C$6)</f>
        <v>3</v>
      </c>
    </row>
    <row r="95" spans="1:11" x14ac:dyDescent="0.25">
      <c r="A95" s="3" t="s">
        <v>154</v>
      </c>
      <c r="B95" s="3" t="s">
        <v>15</v>
      </c>
      <c r="C95" s="3" t="s">
        <v>23</v>
      </c>
      <c r="D95">
        <v>33</v>
      </c>
      <c r="E95" s="4">
        <v>44253</v>
      </c>
      <c r="F95" s="17">
        <v>75280</v>
      </c>
      <c r="G95" t="s">
        <v>13</v>
      </c>
      <c r="H95" t="s">
        <v>206</v>
      </c>
      <c r="I95" s="6">
        <f ca="1">(TODAY()-staff[[#This Row],[Date Joined]])/365</f>
        <v>4.5452054794520551</v>
      </c>
      <c r="J95" s="16">
        <f ca="1">ROUNDUP(IF(staff[[#This Row],[Tenure]]&gt;2,3%,2%)*staff[[#This Row],[Salary]],0)</f>
        <v>2259</v>
      </c>
      <c r="K95" s="3">
        <f>_xlfn.XLOOKUP(staff[[#This Row],[Rating]],mapping!$B$2:$B$6,mapping!$C$2:$C$6)</f>
        <v>3</v>
      </c>
    </row>
    <row r="96" spans="1:11" x14ac:dyDescent="0.25">
      <c r="A96" s="3" t="s">
        <v>48</v>
      </c>
      <c r="B96" s="3" t="s">
        <v>15</v>
      </c>
      <c r="C96" s="3" t="s">
        <v>23</v>
      </c>
      <c r="D96">
        <v>33</v>
      </c>
      <c r="E96" s="4">
        <v>44374</v>
      </c>
      <c r="F96" s="17">
        <v>75480</v>
      </c>
      <c r="G96" t="s">
        <v>49</v>
      </c>
      <c r="H96" t="s">
        <v>205</v>
      </c>
      <c r="I96" s="6">
        <f ca="1">(TODAY()-staff[[#This Row],[Date Joined]])/365</f>
        <v>4.2136986301369861</v>
      </c>
      <c r="J96" s="16">
        <f ca="1">ROUNDUP(IF(staff[[#This Row],[Tenure]]&gt;2,3%,2%)*staff[[#This Row],[Salary]],0)</f>
        <v>2265</v>
      </c>
      <c r="K96" s="3">
        <f>_xlfn.XLOOKUP(staff[[#This Row],[Rating]],mapping!$B$2:$B$6,mapping!$C$2:$C$6)</f>
        <v>1</v>
      </c>
    </row>
    <row r="97" spans="1:11" x14ac:dyDescent="0.25">
      <c r="A97" s="3" t="s">
        <v>194</v>
      </c>
      <c r="B97" s="3" t="s">
        <v>15</v>
      </c>
      <c r="C97" s="3" t="s">
        <v>23</v>
      </c>
      <c r="D97">
        <v>33</v>
      </c>
      <c r="E97" s="4">
        <v>44313</v>
      </c>
      <c r="F97" s="17">
        <v>75480</v>
      </c>
      <c r="G97" t="s">
        <v>49</v>
      </c>
      <c r="H97" t="s">
        <v>206</v>
      </c>
      <c r="I97" s="6">
        <f ca="1">(TODAY()-staff[[#This Row],[Date Joined]])/365</f>
        <v>4.3808219178082188</v>
      </c>
      <c r="J97" s="16">
        <f ca="1">ROUNDUP(IF(staff[[#This Row],[Tenure]]&gt;2,3%,2%)*staff[[#This Row],[Salary]],0)</f>
        <v>2265</v>
      </c>
      <c r="K97" s="3">
        <f>_xlfn.XLOOKUP(staff[[#This Row],[Rating]],mapping!$B$2:$B$6,mapping!$C$2:$C$6)</f>
        <v>1</v>
      </c>
    </row>
    <row r="98" spans="1:11" x14ac:dyDescent="0.25">
      <c r="A98" s="3" t="s">
        <v>36</v>
      </c>
      <c r="B98" s="3" t="s">
        <v>8</v>
      </c>
      <c r="C98" s="3" t="s">
        <v>26</v>
      </c>
      <c r="D98">
        <v>21</v>
      </c>
      <c r="E98" s="4">
        <v>44242</v>
      </c>
      <c r="F98" s="17">
        <v>75880</v>
      </c>
      <c r="G98" t="s">
        <v>13</v>
      </c>
      <c r="H98" t="s">
        <v>205</v>
      </c>
      <c r="I98" s="6">
        <f ca="1">(TODAY()-staff[[#This Row],[Date Joined]])/365</f>
        <v>4.5753424657534243</v>
      </c>
      <c r="J98" s="16">
        <f ca="1">ROUNDUP(IF(staff[[#This Row],[Tenure]]&gt;2,3%,2%)*staff[[#This Row],[Salary]],0)</f>
        <v>2277</v>
      </c>
      <c r="K98" s="3">
        <f>_xlfn.XLOOKUP(staff[[#This Row],[Rating]],mapping!$B$2:$B$6,mapping!$C$2:$C$6)</f>
        <v>3</v>
      </c>
    </row>
    <row r="99" spans="1:11" x14ac:dyDescent="0.25">
      <c r="A99" s="3" t="s">
        <v>150</v>
      </c>
      <c r="B99" s="3" t="s">
        <v>8</v>
      </c>
      <c r="C99" s="3" t="s">
        <v>26</v>
      </c>
      <c r="D99">
        <v>21</v>
      </c>
      <c r="E99" s="4">
        <v>44180</v>
      </c>
      <c r="F99" s="17">
        <v>75880</v>
      </c>
      <c r="G99" t="s">
        <v>13</v>
      </c>
      <c r="H99" t="s">
        <v>206</v>
      </c>
      <c r="I99" s="6">
        <f ca="1">(TODAY()-staff[[#This Row],[Date Joined]])/365</f>
        <v>4.7452054794520544</v>
      </c>
      <c r="J99" s="16">
        <f ca="1">ROUNDUP(IF(staff[[#This Row],[Tenure]]&gt;2,3%,2%)*staff[[#This Row],[Salary]],0)</f>
        <v>2277</v>
      </c>
      <c r="K99" s="3">
        <f>_xlfn.XLOOKUP(staff[[#This Row],[Rating]],mapping!$B$2:$B$6,mapping!$C$2:$C$6)</f>
        <v>3</v>
      </c>
    </row>
    <row r="100" spans="1:11" x14ac:dyDescent="0.25">
      <c r="A100" s="3" t="s">
        <v>46</v>
      </c>
      <c r="B100" s="3" t="s">
        <v>15</v>
      </c>
      <c r="C100" s="3" t="s">
        <v>17</v>
      </c>
      <c r="D100">
        <v>28</v>
      </c>
      <c r="E100" s="4">
        <v>44185</v>
      </c>
      <c r="F100" s="17">
        <v>75970</v>
      </c>
      <c r="G100" t="s">
        <v>13</v>
      </c>
      <c r="H100" t="s">
        <v>205</v>
      </c>
      <c r="I100" s="6">
        <f ca="1">(TODAY()-staff[[#This Row],[Date Joined]])/365</f>
        <v>4.7315068493150685</v>
      </c>
      <c r="J100" s="16">
        <f ca="1">ROUNDUP(IF(staff[[#This Row],[Tenure]]&gt;2,3%,2%)*staff[[#This Row],[Salary]],0)</f>
        <v>2280</v>
      </c>
      <c r="K100" s="3">
        <f>_xlfn.XLOOKUP(staff[[#This Row],[Rating]],mapping!$B$2:$B$6,mapping!$C$2:$C$6)</f>
        <v>3</v>
      </c>
    </row>
    <row r="101" spans="1:11" x14ac:dyDescent="0.25">
      <c r="A101" s="3" t="s">
        <v>160</v>
      </c>
      <c r="B101" s="3" t="s">
        <v>15</v>
      </c>
      <c r="C101" s="3" t="s">
        <v>17</v>
      </c>
      <c r="D101">
        <v>28</v>
      </c>
      <c r="E101" s="4">
        <v>44124</v>
      </c>
      <c r="F101" s="17">
        <v>75970</v>
      </c>
      <c r="G101" t="s">
        <v>13</v>
      </c>
      <c r="H101" t="s">
        <v>206</v>
      </c>
      <c r="I101" s="6">
        <f ca="1">(TODAY()-staff[[#This Row],[Date Joined]])/365</f>
        <v>4.8986301369863012</v>
      </c>
      <c r="J101" s="16">
        <f ca="1">ROUNDUP(IF(staff[[#This Row],[Tenure]]&gt;2,3%,2%)*staff[[#This Row],[Salary]],0)</f>
        <v>2280</v>
      </c>
      <c r="K101" s="3">
        <f>_xlfn.XLOOKUP(staff[[#This Row],[Rating]],mapping!$B$2:$B$6,mapping!$C$2:$C$6)</f>
        <v>3</v>
      </c>
    </row>
    <row r="102" spans="1:11" x14ac:dyDescent="0.25">
      <c r="A102" s="3" t="s">
        <v>78</v>
      </c>
      <c r="B102" s="3" t="s">
        <v>15</v>
      </c>
      <c r="C102" s="3" t="s">
        <v>12</v>
      </c>
      <c r="D102">
        <v>22</v>
      </c>
      <c r="E102" s="4">
        <v>44450</v>
      </c>
      <c r="F102" s="17">
        <v>76900</v>
      </c>
      <c r="G102" t="s">
        <v>10</v>
      </c>
      <c r="H102" t="s">
        <v>205</v>
      </c>
      <c r="I102" s="6">
        <f ca="1">(TODAY()-staff[[#This Row],[Date Joined]])/365</f>
        <v>4.0054794520547947</v>
      </c>
      <c r="J102" s="16">
        <f ca="1">ROUNDUP(IF(staff[[#This Row],[Tenure]]&gt;2,3%,2%)*staff[[#This Row],[Salary]],0)</f>
        <v>2307</v>
      </c>
      <c r="K102" s="3">
        <f>_xlfn.XLOOKUP(staff[[#This Row],[Rating]],mapping!$B$2:$B$6,mapping!$C$2:$C$6)</f>
        <v>4</v>
      </c>
    </row>
    <row r="103" spans="1:11" x14ac:dyDescent="0.25">
      <c r="A103" s="3" t="s">
        <v>129</v>
      </c>
      <c r="B103" s="3" t="s">
        <v>15</v>
      </c>
      <c r="C103" s="3" t="s">
        <v>12</v>
      </c>
      <c r="D103">
        <v>22</v>
      </c>
      <c r="E103" s="4">
        <v>44388</v>
      </c>
      <c r="F103" s="17">
        <v>76900</v>
      </c>
      <c r="G103" t="s">
        <v>10</v>
      </c>
      <c r="H103" t="s">
        <v>206</v>
      </c>
      <c r="I103" s="6">
        <f ca="1">(TODAY()-staff[[#This Row],[Date Joined]])/365</f>
        <v>4.1753424657534248</v>
      </c>
      <c r="J103" s="16">
        <f ca="1">ROUNDUP(IF(staff[[#This Row],[Tenure]]&gt;2,3%,2%)*staff[[#This Row],[Salary]],0)</f>
        <v>2307</v>
      </c>
      <c r="K103" s="3">
        <f>_xlfn.XLOOKUP(staff[[#This Row],[Rating]],mapping!$B$2:$B$6,mapping!$C$2:$C$6)</f>
        <v>4</v>
      </c>
    </row>
    <row r="104" spans="1:11" x14ac:dyDescent="0.25">
      <c r="A104" s="3" t="s">
        <v>59</v>
      </c>
      <c r="B104" s="3" t="s">
        <v>15</v>
      </c>
      <c r="C104" s="3" t="s">
        <v>12</v>
      </c>
      <c r="D104">
        <v>36</v>
      </c>
      <c r="E104" s="4">
        <v>44529</v>
      </c>
      <c r="F104" s="17">
        <v>78390</v>
      </c>
      <c r="G104" t="s">
        <v>13</v>
      </c>
      <c r="H104" t="s">
        <v>205</v>
      </c>
      <c r="I104" s="6">
        <f ca="1">(TODAY()-staff[[#This Row],[Date Joined]])/365</f>
        <v>3.7890410958904108</v>
      </c>
      <c r="J104" s="16">
        <f ca="1">ROUNDUP(IF(staff[[#This Row],[Tenure]]&gt;2,3%,2%)*staff[[#This Row],[Salary]],0)</f>
        <v>2352</v>
      </c>
      <c r="K104" s="3">
        <f>_xlfn.XLOOKUP(staff[[#This Row],[Rating]],mapping!$B$2:$B$6,mapping!$C$2:$C$6)</f>
        <v>3</v>
      </c>
    </row>
    <row r="105" spans="1:11" x14ac:dyDescent="0.25">
      <c r="A105" s="3" t="s">
        <v>186</v>
      </c>
      <c r="B105" s="3" t="s">
        <v>15</v>
      </c>
      <c r="C105" s="3" t="s">
        <v>12</v>
      </c>
      <c r="D105">
        <v>36</v>
      </c>
      <c r="E105" s="4">
        <v>44468</v>
      </c>
      <c r="F105" s="17">
        <v>78390</v>
      </c>
      <c r="G105" t="s">
        <v>13</v>
      </c>
      <c r="H105" t="s">
        <v>206</v>
      </c>
      <c r="I105" s="6">
        <f ca="1">(TODAY()-staff[[#This Row],[Date Joined]])/365</f>
        <v>3.956164383561644</v>
      </c>
      <c r="J105" s="16">
        <f ca="1">ROUNDUP(IF(staff[[#This Row],[Tenure]]&gt;2,3%,2%)*staff[[#This Row],[Salary]],0)</f>
        <v>2352</v>
      </c>
      <c r="K105" s="3">
        <f>_xlfn.XLOOKUP(staff[[#This Row],[Rating]],mapping!$B$2:$B$6,mapping!$C$2:$C$6)</f>
        <v>3</v>
      </c>
    </row>
    <row r="106" spans="1:11" x14ac:dyDescent="0.25">
      <c r="A106" s="3" t="s">
        <v>51</v>
      </c>
      <c r="B106" s="3" t="s">
        <v>15</v>
      </c>
      <c r="C106" s="3" t="s">
        <v>9</v>
      </c>
      <c r="D106">
        <v>36</v>
      </c>
      <c r="E106" s="4">
        <v>44494</v>
      </c>
      <c r="F106" s="17">
        <v>78540</v>
      </c>
      <c r="G106" t="s">
        <v>13</v>
      </c>
      <c r="H106" t="s">
        <v>205</v>
      </c>
      <c r="I106" s="6">
        <f ca="1">(TODAY()-staff[[#This Row],[Date Joined]])/365</f>
        <v>3.8849315068493149</v>
      </c>
      <c r="J106" s="16">
        <f ca="1">ROUNDUP(IF(staff[[#This Row],[Tenure]]&gt;2,3%,2%)*staff[[#This Row],[Salary]],0)</f>
        <v>2357</v>
      </c>
      <c r="K106" s="3">
        <f>_xlfn.XLOOKUP(staff[[#This Row],[Rating]],mapping!$B$2:$B$6,mapping!$C$2:$C$6)</f>
        <v>3</v>
      </c>
    </row>
    <row r="107" spans="1:11" x14ac:dyDescent="0.25">
      <c r="A107" s="3" t="s">
        <v>196</v>
      </c>
      <c r="B107" s="3" t="s">
        <v>15</v>
      </c>
      <c r="C107" s="3" t="s">
        <v>9</v>
      </c>
      <c r="D107">
        <v>36</v>
      </c>
      <c r="E107" s="4">
        <v>44433</v>
      </c>
      <c r="F107" s="17">
        <v>78540</v>
      </c>
      <c r="G107" t="s">
        <v>13</v>
      </c>
      <c r="H107" t="s">
        <v>206</v>
      </c>
      <c r="I107" s="6">
        <f ca="1">(TODAY()-staff[[#This Row],[Date Joined]])/365</f>
        <v>4.0520547945205481</v>
      </c>
      <c r="J107" s="16">
        <f ca="1">ROUNDUP(IF(staff[[#This Row],[Tenure]]&gt;2,3%,2%)*staff[[#This Row],[Salary]],0)</f>
        <v>2357</v>
      </c>
      <c r="K107" s="3">
        <f>_xlfn.XLOOKUP(staff[[#This Row],[Rating]],mapping!$B$2:$B$6,mapping!$C$2:$C$6)</f>
        <v>3</v>
      </c>
    </row>
    <row r="108" spans="1:11" x14ac:dyDescent="0.25">
      <c r="A108" s="3" t="s">
        <v>64</v>
      </c>
      <c r="B108" s="3" t="s">
        <v>8</v>
      </c>
      <c r="C108" s="3" t="s">
        <v>12</v>
      </c>
      <c r="D108">
        <v>20</v>
      </c>
      <c r="E108" s="4">
        <v>44744</v>
      </c>
      <c r="F108" s="17">
        <v>79570</v>
      </c>
      <c r="G108" t="s">
        <v>13</v>
      </c>
      <c r="H108" t="s">
        <v>205</v>
      </c>
      <c r="I108" s="6">
        <f ca="1">(TODAY()-staff[[#This Row],[Date Joined]])/365</f>
        <v>3.2</v>
      </c>
      <c r="J108" s="16">
        <f ca="1">ROUNDUP(IF(staff[[#This Row],[Tenure]]&gt;2,3%,2%)*staff[[#This Row],[Salary]],0)</f>
        <v>2388</v>
      </c>
      <c r="K108" s="3">
        <f>_xlfn.XLOOKUP(staff[[#This Row],[Rating]],mapping!$B$2:$B$6,mapping!$C$2:$C$6)</f>
        <v>3</v>
      </c>
    </row>
    <row r="109" spans="1:11" x14ac:dyDescent="0.25">
      <c r="A109" s="3" t="s">
        <v>128</v>
      </c>
      <c r="B109" s="3" t="s">
        <v>8</v>
      </c>
      <c r="C109" s="3" t="s">
        <v>12</v>
      </c>
      <c r="D109">
        <v>20</v>
      </c>
      <c r="E109" s="4">
        <v>44683</v>
      </c>
      <c r="F109" s="17">
        <v>79570</v>
      </c>
      <c r="G109" t="s">
        <v>13</v>
      </c>
      <c r="H109" t="s">
        <v>206</v>
      </c>
      <c r="I109" s="6">
        <f ca="1">(TODAY()-staff[[#This Row],[Date Joined]])/365</f>
        <v>3.3671232876712329</v>
      </c>
      <c r="J109" s="16">
        <f ca="1">ROUNDUP(IF(staff[[#This Row],[Tenure]]&gt;2,3%,2%)*staff[[#This Row],[Salary]],0)</f>
        <v>2388</v>
      </c>
      <c r="K109" s="3">
        <f>_xlfn.XLOOKUP(staff[[#This Row],[Rating]],mapping!$B$2:$B$6,mapping!$C$2:$C$6)</f>
        <v>3</v>
      </c>
    </row>
    <row r="110" spans="1:11" x14ac:dyDescent="0.25">
      <c r="A110" s="3" t="s">
        <v>66</v>
      </c>
      <c r="B110" s="3" t="s">
        <v>15</v>
      </c>
      <c r="C110" s="3" t="s">
        <v>23</v>
      </c>
      <c r="D110">
        <v>25</v>
      </c>
      <c r="E110" s="4">
        <v>44694</v>
      </c>
      <c r="F110" s="17">
        <v>80700</v>
      </c>
      <c r="G110" t="s">
        <v>10</v>
      </c>
      <c r="H110" t="s">
        <v>205</v>
      </c>
      <c r="I110" s="6">
        <f ca="1">(TODAY()-staff[[#This Row],[Date Joined]])/365</f>
        <v>3.3369863013698629</v>
      </c>
      <c r="J110" s="16">
        <f ca="1">ROUNDUP(IF(staff[[#This Row],[Tenure]]&gt;2,3%,2%)*staff[[#This Row],[Salary]],0)</f>
        <v>2421</v>
      </c>
      <c r="K110" s="3">
        <f>_xlfn.XLOOKUP(staff[[#This Row],[Rating]],mapping!$B$2:$B$6,mapping!$C$2:$C$6)</f>
        <v>4</v>
      </c>
    </row>
    <row r="111" spans="1:11" x14ac:dyDescent="0.25">
      <c r="A111" s="3" t="s">
        <v>143</v>
      </c>
      <c r="B111" s="3" t="s">
        <v>15</v>
      </c>
      <c r="C111" s="3" t="s">
        <v>23</v>
      </c>
      <c r="D111">
        <v>25</v>
      </c>
      <c r="E111" s="4">
        <v>44633</v>
      </c>
      <c r="F111" s="17">
        <v>80700</v>
      </c>
      <c r="G111" t="s">
        <v>10</v>
      </c>
      <c r="H111" t="s">
        <v>206</v>
      </c>
      <c r="I111" s="6">
        <f ca="1">(TODAY()-staff[[#This Row],[Date Joined]])/365</f>
        <v>3.504109589041096</v>
      </c>
      <c r="J111" s="16">
        <f ca="1">ROUNDUP(IF(staff[[#This Row],[Tenure]]&gt;2,3%,2%)*staff[[#This Row],[Salary]],0)</f>
        <v>2421</v>
      </c>
      <c r="K111" s="3">
        <f>_xlfn.XLOOKUP(staff[[#This Row],[Rating]],mapping!$B$2:$B$6,mapping!$C$2:$C$6)</f>
        <v>4</v>
      </c>
    </row>
    <row r="112" spans="1:11" x14ac:dyDescent="0.25">
      <c r="A112" s="3" t="s">
        <v>61</v>
      </c>
      <c r="B112" s="3" t="s">
        <v>15</v>
      </c>
      <c r="C112" s="3" t="s">
        <v>23</v>
      </c>
      <c r="D112">
        <v>27</v>
      </c>
      <c r="E112" s="4">
        <v>44686</v>
      </c>
      <c r="F112" s="17">
        <v>83750</v>
      </c>
      <c r="G112" t="s">
        <v>13</v>
      </c>
      <c r="H112" t="s">
        <v>205</v>
      </c>
      <c r="I112" s="6">
        <f ca="1">(TODAY()-staff[[#This Row],[Date Joined]])/365</f>
        <v>3.3589041095890413</v>
      </c>
      <c r="J112" s="16">
        <f ca="1">ROUNDUP(IF(staff[[#This Row],[Tenure]]&gt;2,3%,2%)*staff[[#This Row],[Salary]],0)</f>
        <v>2513</v>
      </c>
      <c r="K112" s="3">
        <f>_xlfn.XLOOKUP(staff[[#This Row],[Rating]],mapping!$B$2:$B$6,mapping!$C$2:$C$6)</f>
        <v>3</v>
      </c>
    </row>
    <row r="113" spans="1:11" x14ac:dyDescent="0.25">
      <c r="A113" s="3" t="s">
        <v>168</v>
      </c>
      <c r="B113" s="3" t="s">
        <v>15</v>
      </c>
      <c r="C113" s="3" t="s">
        <v>23</v>
      </c>
      <c r="D113">
        <v>27</v>
      </c>
      <c r="E113" s="4">
        <v>44625</v>
      </c>
      <c r="F113" s="17">
        <v>83750</v>
      </c>
      <c r="G113" t="s">
        <v>13</v>
      </c>
      <c r="H113" t="s">
        <v>206</v>
      </c>
      <c r="I113" s="6">
        <f ca="1">(TODAY()-staff[[#This Row],[Date Joined]])/365</f>
        <v>3.526027397260274</v>
      </c>
      <c r="J113" s="16">
        <f ca="1">ROUNDUP(IF(staff[[#This Row],[Tenure]]&gt;2,3%,2%)*staff[[#This Row],[Salary]],0)</f>
        <v>2513</v>
      </c>
      <c r="K113" s="3">
        <f>_xlfn.XLOOKUP(staff[[#This Row],[Rating]],mapping!$B$2:$B$6,mapping!$C$2:$C$6)</f>
        <v>3</v>
      </c>
    </row>
    <row r="114" spans="1:11" x14ac:dyDescent="0.25">
      <c r="A114" s="3" t="s">
        <v>100</v>
      </c>
      <c r="B114" s="3" t="s">
        <v>15</v>
      </c>
      <c r="C114" s="3" t="s">
        <v>17</v>
      </c>
      <c r="D114">
        <v>34</v>
      </c>
      <c r="E114" s="4">
        <v>44459</v>
      </c>
      <c r="F114" s="17">
        <v>85000</v>
      </c>
      <c r="G114" t="s">
        <v>13</v>
      </c>
      <c r="H114" t="s">
        <v>205</v>
      </c>
      <c r="I114" s="6">
        <f ca="1">(TODAY()-staff[[#This Row],[Date Joined]])/365</f>
        <v>3.9808219178082194</v>
      </c>
      <c r="J114" s="16">
        <f ca="1">ROUNDUP(IF(staff[[#This Row],[Tenure]]&gt;2,3%,2%)*staff[[#This Row],[Salary]],0)</f>
        <v>2550</v>
      </c>
      <c r="K114" s="3">
        <f>_xlfn.XLOOKUP(staff[[#This Row],[Rating]],mapping!$B$2:$B$6,mapping!$C$2:$C$6)</f>
        <v>3</v>
      </c>
    </row>
    <row r="115" spans="1:11" x14ac:dyDescent="0.25">
      <c r="A115" s="3" t="s">
        <v>152</v>
      </c>
      <c r="B115" s="3" t="s">
        <v>15</v>
      </c>
      <c r="C115" s="3" t="s">
        <v>17</v>
      </c>
      <c r="D115">
        <v>34</v>
      </c>
      <c r="E115" s="4">
        <v>44397</v>
      </c>
      <c r="F115" s="17">
        <v>85000</v>
      </c>
      <c r="G115" t="s">
        <v>13</v>
      </c>
      <c r="H115" t="s">
        <v>206</v>
      </c>
      <c r="I115" s="6">
        <f ca="1">(TODAY()-staff[[#This Row],[Date Joined]])/365</f>
        <v>4.1506849315068495</v>
      </c>
      <c r="J115" s="16">
        <f ca="1">ROUNDUP(IF(staff[[#This Row],[Tenure]]&gt;2,3%,2%)*staff[[#This Row],[Salary]],0)</f>
        <v>2550</v>
      </c>
      <c r="K115" s="3">
        <f>_xlfn.XLOOKUP(staff[[#This Row],[Rating]],mapping!$B$2:$B$6,mapping!$C$2:$C$6)</f>
        <v>3</v>
      </c>
    </row>
    <row r="116" spans="1:11" x14ac:dyDescent="0.25">
      <c r="A116" s="3" t="s">
        <v>60</v>
      </c>
      <c r="B116" s="3" t="s">
        <v>15</v>
      </c>
      <c r="C116" s="3" t="s">
        <v>17</v>
      </c>
      <c r="D116">
        <v>33</v>
      </c>
      <c r="E116" s="4">
        <v>44809</v>
      </c>
      <c r="F116" s="17">
        <v>86570</v>
      </c>
      <c r="G116" t="s">
        <v>13</v>
      </c>
      <c r="H116" t="s">
        <v>205</v>
      </c>
      <c r="I116" s="6">
        <f ca="1">(TODAY()-staff[[#This Row],[Date Joined]])/365</f>
        <v>3.021917808219178</v>
      </c>
      <c r="J116" s="16">
        <f ca="1">ROUNDUP(IF(staff[[#This Row],[Tenure]]&gt;2,3%,2%)*staff[[#This Row],[Salary]],0)</f>
        <v>2598</v>
      </c>
      <c r="K116" s="3">
        <f>_xlfn.XLOOKUP(staff[[#This Row],[Rating]],mapping!$B$2:$B$6,mapping!$C$2:$C$6)</f>
        <v>3</v>
      </c>
    </row>
    <row r="117" spans="1:11" x14ac:dyDescent="0.25">
      <c r="A117" s="3" t="s">
        <v>178</v>
      </c>
      <c r="B117" s="3" t="s">
        <v>15</v>
      </c>
      <c r="C117" s="3" t="s">
        <v>17</v>
      </c>
      <c r="D117">
        <v>33</v>
      </c>
      <c r="E117" s="4">
        <v>44747</v>
      </c>
      <c r="F117" s="17">
        <v>86570</v>
      </c>
      <c r="G117" t="s">
        <v>13</v>
      </c>
      <c r="H117" t="s">
        <v>206</v>
      </c>
      <c r="I117" s="6">
        <f ca="1">(TODAY()-staff[[#This Row],[Date Joined]])/365</f>
        <v>3.1917808219178081</v>
      </c>
      <c r="J117" s="16">
        <f ca="1">ROUNDUP(IF(staff[[#This Row],[Tenure]]&gt;2,3%,2%)*staff[[#This Row],[Salary]],0)</f>
        <v>2598</v>
      </c>
      <c r="K117" s="3">
        <f>_xlfn.XLOOKUP(staff[[#This Row],[Rating]],mapping!$B$2:$B$6,mapping!$C$2:$C$6)</f>
        <v>3</v>
      </c>
    </row>
    <row r="118" spans="1:11" x14ac:dyDescent="0.25">
      <c r="A118" s="3" t="s">
        <v>44</v>
      </c>
      <c r="B118" s="3" t="s">
        <v>15</v>
      </c>
      <c r="C118" s="3" t="s">
        <v>23</v>
      </c>
      <c r="D118">
        <v>40</v>
      </c>
      <c r="E118" s="4">
        <v>44337</v>
      </c>
      <c r="F118" s="17">
        <v>87620</v>
      </c>
      <c r="G118" t="s">
        <v>13</v>
      </c>
      <c r="H118" t="s">
        <v>205</v>
      </c>
      <c r="I118" s="6">
        <f ca="1">(TODAY()-staff[[#This Row],[Date Joined]])/365</f>
        <v>4.3150684931506849</v>
      </c>
      <c r="J118" s="16">
        <f ca="1">ROUNDUP(IF(staff[[#This Row],[Tenure]]&gt;2,3%,2%)*staff[[#This Row],[Salary]],0)</f>
        <v>2629</v>
      </c>
      <c r="K118" s="3">
        <f>_xlfn.XLOOKUP(staff[[#This Row],[Rating]],mapping!$B$2:$B$6,mapping!$C$2:$C$6)</f>
        <v>3</v>
      </c>
    </row>
    <row r="119" spans="1:11" x14ac:dyDescent="0.25">
      <c r="A119" s="3" t="s">
        <v>169</v>
      </c>
      <c r="B119" s="3" t="s">
        <v>15</v>
      </c>
      <c r="C119" s="3" t="s">
        <v>23</v>
      </c>
      <c r="D119">
        <v>40</v>
      </c>
      <c r="E119" s="4">
        <v>44276</v>
      </c>
      <c r="F119" s="17">
        <v>87620</v>
      </c>
      <c r="G119" t="s">
        <v>13</v>
      </c>
      <c r="H119" t="s">
        <v>206</v>
      </c>
      <c r="I119" s="6">
        <f ca="1">(TODAY()-staff[[#This Row],[Date Joined]])/365</f>
        <v>4.4821917808219176</v>
      </c>
      <c r="J119" s="16">
        <f ca="1">ROUNDUP(IF(staff[[#This Row],[Tenure]]&gt;2,3%,2%)*staff[[#This Row],[Salary]],0)</f>
        <v>2629</v>
      </c>
      <c r="K119" s="3">
        <f>_xlfn.XLOOKUP(staff[[#This Row],[Rating]],mapping!$B$2:$B$6,mapping!$C$2:$C$6)</f>
        <v>3</v>
      </c>
    </row>
    <row r="120" spans="1:11" x14ac:dyDescent="0.25">
      <c r="A120" s="3" t="s">
        <v>90</v>
      </c>
      <c r="B120" s="3" t="s">
        <v>8</v>
      </c>
      <c r="C120" s="3" t="s">
        <v>23</v>
      </c>
      <c r="D120">
        <v>37</v>
      </c>
      <c r="E120" s="4">
        <v>44338</v>
      </c>
      <c r="F120" s="17">
        <v>88050</v>
      </c>
      <c r="G120" t="s">
        <v>18</v>
      </c>
      <c r="H120" t="s">
        <v>205</v>
      </c>
      <c r="I120" s="6">
        <f ca="1">(TODAY()-staff[[#This Row],[Date Joined]])/365</f>
        <v>4.3123287671232875</v>
      </c>
      <c r="J120" s="16">
        <f ca="1">ROUNDUP(IF(staff[[#This Row],[Tenure]]&gt;2,3%,2%)*staff[[#This Row],[Salary]],0)</f>
        <v>2642</v>
      </c>
      <c r="K120" s="3">
        <f>_xlfn.XLOOKUP(staff[[#This Row],[Rating]],mapping!$B$2:$B$6,mapping!$C$2:$C$6)</f>
        <v>2</v>
      </c>
    </row>
    <row r="121" spans="1:11" x14ac:dyDescent="0.25">
      <c r="A121" s="3" t="s">
        <v>131</v>
      </c>
      <c r="B121" s="3" t="s">
        <v>8</v>
      </c>
      <c r="C121" s="3" t="s">
        <v>23</v>
      </c>
      <c r="D121">
        <v>37</v>
      </c>
      <c r="E121" s="4">
        <v>44277</v>
      </c>
      <c r="F121" s="17">
        <v>88050</v>
      </c>
      <c r="G121" t="s">
        <v>18</v>
      </c>
      <c r="H121" t="s">
        <v>206</v>
      </c>
      <c r="I121" s="6">
        <f ca="1">(TODAY()-staff[[#This Row],[Date Joined]])/365</f>
        <v>4.4794520547945202</v>
      </c>
      <c r="J121" s="16">
        <f ca="1">ROUNDUP(IF(staff[[#This Row],[Tenure]]&gt;2,3%,2%)*staff[[#This Row],[Salary]],0)</f>
        <v>2642</v>
      </c>
      <c r="K121" s="3">
        <f>_xlfn.XLOOKUP(staff[[#This Row],[Rating]],mapping!$B$2:$B$6,mapping!$C$2:$C$6)</f>
        <v>2</v>
      </c>
    </row>
    <row r="122" spans="1:11" x14ac:dyDescent="0.25">
      <c r="A122" s="3" t="s">
        <v>83</v>
      </c>
      <c r="B122" s="3" t="s">
        <v>207</v>
      </c>
      <c r="C122" s="3" t="s">
        <v>23</v>
      </c>
      <c r="D122">
        <v>26</v>
      </c>
      <c r="E122" s="4">
        <v>44271</v>
      </c>
      <c r="F122" s="17">
        <v>90700</v>
      </c>
      <c r="G122" t="s">
        <v>10</v>
      </c>
      <c r="H122" t="s">
        <v>205</v>
      </c>
      <c r="I122" s="6">
        <f ca="1">(TODAY()-staff[[#This Row],[Date Joined]])/365</f>
        <v>4.4958904109589044</v>
      </c>
      <c r="J122" s="16">
        <f ca="1">ROUNDUP(IF(staff[[#This Row],[Tenure]]&gt;2,3%,2%)*staff[[#This Row],[Salary]],0)</f>
        <v>2721</v>
      </c>
      <c r="K122" s="3">
        <f>_xlfn.XLOOKUP(staff[[#This Row],[Rating]],mapping!$B$2:$B$6,mapping!$C$2:$C$6)</f>
        <v>4</v>
      </c>
    </row>
    <row r="123" spans="1:11" x14ac:dyDescent="0.25">
      <c r="A123" s="3" t="s">
        <v>161</v>
      </c>
      <c r="B123" s="3" t="s">
        <v>207</v>
      </c>
      <c r="C123" s="3" t="s">
        <v>23</v>
      </c>
      <c r="D123">
        <v>27</v>
      </c>
      <c r="E123" s="4">
        <v>44212</v>
      </c>
      <c r="F123" s="17">
        <v>90700</v>
      </c>
      <c r="G123" t="s">
        <v>10</v>
      </c>
      <c r="H123" t="s">
        <v>206</v>
      </c>
      <c r="I123" s="6">
        <f ca="1">(TODAY()-staff[[#This Row],[Date Joined]])/365</f>
        <v>4.6575342465753424</v>
      </c>
      <c r="J123" s="16">
        <f ca="1">ROUNDUP(IF(staff[[#This Row],[Tenure]]&gt;2,3%,2%)*staff[[#This Row],[Salary]],0)</f>
        <v>2721</v>
      </c>
      <c r="K123" s="3">
        <f>_xlfn.XLOOKUP(staff[[#This Row],[Rating]],mapping!$B$2:$B$6,mapping!$C$2:$C$6)</f>
        <v>4</v>
      </c>
    </row>
    <row r="124" spans="1:11" x14ac:dyDescent="0.25">
      <c r="A124" s="3" t="s">
        <v>80</v>
      </c>
      <c r="B124" s="3" t="s">
        <v>207</v>
      </c>
      <c r="C124" s="3" t="s">
        <v>23</v>
      </c>
      <c r="D124">
        <v>32</v>
      </c>
      <c r="E124" s="4">
        <v>44774</v>
      </c>
      <c r="F124" s="17">
        <v>91310</v>
      </c>
      <c r="G124" t="s">
        <v>13</v>
      </c>
      <c r="H124" t="s">
        <v>205</v>
      </c>
      <c r="I124" s="6">
        <f ca="1">(TODAY()-staff[[#This Row],[Date Joined]])/365</f>
        <v>3.117808219178082</v>
      </c>
      <c r="J124" s="16">
        <f ca="1">ROUNDUP(IF(staff[[#This Row],[Tenure]]&gt;2,3%,2%)*staff[[#This Row],[Salary]],0)</f>
        <v>2740</v>
      </c>
      <c r="K124" s="3">
        <f>_xlfn.XLOOKUP(staff[[#This Row],[Rating]],mapping!$B$2:$B$6,mapping!$C$2:$C$6)</f>
        <v>3</v>
      </c>
    </row>
    <row r="125" spans="1:11" x14ac:dyDescent="0.25">
      <c r="A125" s="3" t="s">
        <v>117</v>
      </c>
      <c r="B125" s="3" t="s">
        <v>207</v>
      </c>
      <c r="C125" s="3" t="s">
        <v>23</v>
      </c>
      <c r="D125">
        <v>32</v>
      </c>
      <c r="E125" s="4">
        <v>44713</v>
      </c>
      <c r="F125" s="17">
        <v>91310</v>
      </c>
      <c r="G125" t="s">
        <v>13</v>
      </c>
      <c r="H125" t="s">
        <v>206</v>
      </c>
      <c r="I125" s="6">
        <f ca="1">(TODAY()-staff[[#This Row],[Date Joined]])/365</f>
        <v>3.2849315068493152</v>
      </c>
      <c r="J125" s="16">
        <f ca="1">ROUNDUP(IF(staff[[#This Row],[Tenure]]&gt;2,3%,2%)*staff[[#This Row],[Salary]],0)</f>
        <v>2740</v>
      </c>
      <c r="K125" s="3">
        <f>_xlfn.XLOOKUP(staff[[#This Row],[Rating]],mapping!$B$2:$B$6,mapping!$C$2:$C$6)</f>
        <v>3</v>
      </c>
    </row>
    <row r="126" spans="1:11" x14ac:dyDescent="0.25">
      <c r="A126" s="3" t="s">
        <v>96</v>
      </c>
      <c r="B126" s="3" t="s">
        <v>8</v>
      </c>
      <c r="C126" s="3" t="s">
        <v>17</v>
      </c>
      <c r="D126">
        <v>27</v>
      </c>
      <c r="E126" s="4">
        <v>44236</v>
      </c>
      <c r="F126" s="17">
        <v>91650</v>
      </c>
      <c r="G126" t="s">
        <v>10</v>
      </c>
      <c r="H126" t="s">
        <v>205</v>
      </c>
      <c r="I126" s="6">
        <f ca="1">(TODAY()-staff[[#This Row],[Date Joined]])/365</f>
        <v>4.5917808219178085</v>
      </c>
      <c r="J126" s="16">
        <f ca="1">ROUNDUP(IF(staff[[#This Row],[Tenure]]&gt;2,3%,2%)*staff[[#This Row],[Salary]],0)</f>
        <v>2750</v>
      </c>
      <c r="K126" s="3">
        <f>_xlfn.XLOOKUP(staff[[#This Row],[Rating]],mapping!$B$2:$B$6,mapping!$C$2:$C$6)</f>
        <v>4</v>
      </c>
    </row>
    <row r="127" spans="1:11" x14ac:dyDescent="0.25">
      <c r="A127" s="3" t="s">
        <v>158</v>
      </c>
      <c r="B127" s="3" t="s">
        <v>8</v>
      </c>
      <c r="C127" s="3" t="s">
        <v>17</v>
      </c>
      <c r="D127">
        <v>27</v>
      </c>
      <c r="E127" s="4">
        <v>44174</v>
      </c>
      <c r="F127" s="17">
        <v>91650</v>
      </c>
      <c r="G127" t="s">
        <v>10</v>
      </c>
      <c r="H127" t="s">
        <v>206</v>
      </c>
      <c r="I127" s="6">
        <f ca="1">(TODAY()-staff[[#This Row],[Date Joined]])/365</f>
        <v>4.7616438356164386</v>
      </c>
      <c r="J127" s="16">
        <f ca="1">ROUNDUP(IF(staff[[#This Row],[Tenure]]&gt;2,3%,2%)*staff[[#This Row],[Salary]],0)</f>
        <v>2750</v>
      </c>
      <c r="K127" s="3">
        <f>_xlfn.XLOOKUP(staff[[#This Row],[Rating]],mapping!$B$2:$B$6,mapping!$C$2:$C$6)</f>
        <v>4</v>
      </c>
    </row>
    <row r="128" spans="1:11" x14ac:dyDescent="0.25">
      <c r="A128" s="3" t="s">
        <v>62</v>
      </c>
      <c r="B128" s="3" t="s">
        <v>15</v>
      </c>
      <c r="C128" s="3" t="s">
        <v>17</v>
      </c>
      <c r="D128">
        <v>34</v>
      </c>
      <c r="E128" s="4">
        <v>44445</v>
      </c>
      <c r="F128" s="17">
        <v>92450</v>
      </c>
      <c r="G128" t="s">
        <v>13</v>
      </c>
      <c r="H128" t="s">
        <v>205</v>
      </c>
      <c r="I128" s="6">
        <f ca="1">(TODAY()-staff[[#This Row],[Date Joined]])/365</f>
        <v>4.0191780821917806</v>
      </c>
      <c r="J128" s="16">
        <f ca="1">ROUNDUP(IF(staff[[#This Row],[Tenure]]&gt;2,3%,2%)*staff[[#This Row],[Salary]],0)</f>
        <v>2774</v>
      </c>
      <c r="K128" s="3">
        <f>_xlfn.XLOOKUP(staff[[#This Row],[Rating]],mapping!$B$2:$B$6,mapping!$C$2:$C$6)</f>
        <v>3</v>
      </c>
    </row>
    <row r="129" spans="1:11" x14ac:dyDescent="0.25">
      <c r="A129" s="3" t="s">
        <v>166</v>
      </c>
      <c r="B129" s="3" t="s">
        <v>15</v>
      </c>
      <c r="C129" s="3" t="s">
        <v>17</v>
      </c>
      <c r="D129">
        <v>34</v>
      </c>
      <c r="E129" s="4">
        <v>44383</v>
      </c>
      <c r="F129" s="17">
        <v>92450</v>
      </c>
      <c r="G129" t="s">
        <v>13</v>
      </c>
      <c r="H129" t="s">
        <v>206</v>
      </c>
      <c r="I129" s="6">
        <f ca="1">(TODAY()-staff[[#This Row],[Date Joined]])/365</f>
        <v>4.1890410958904107</v>
      </c>
      <c r="J129" s="16">
        <f ca="1">ROUNDUP(IF(staff[[#This Row],[Tenure]]&gt;2,3%,2%)*staff[[#This Row],[Salary]],0)</f>
        <v>2774</v>
      </c>
      <c r="K129" s="3">
        <f>_xlfn.XLOOKUP(staff[[#This Row],[Rating]],mapping!$B$2:$B$6,mapping!$C$2:$C$6)</f>
        <v>3</v>
      </c>
    </row>
    <row r="130" spans="1:11" x14ac:dyDescent="0.25">
      <c r="A130" s="3" t="s">
        <v>85</v>
      </c>
      <c r="B130" s="3" t="s">
        <v>15</v>
      </c>
      <c r="C130" s="3" t="s">
        <v>9</v>
      </c>
      <c r="D130">
        <v>25</v>
      </c>
      <c r="E130" s="4">
        <v>44205</v>
      </c>
      <c r="F130" s="17">
        <v>92700</v>
      </c>
      <c r="G130" t="s">
        <v>13</v>
      </c>
      <c r="H130" t="s">
        <v>205</v>
      </c>
      <c r="I130" s="6">
        <f ca="1">(TODAY()-staff[[#This Row],[Date Joined]])/365</f>
        <v>4.6767123287671231</v>
      </c>
      <c r="J130" s="16">
        <f ca="1">ROUNDUP(IF(staff[[#This Row],[Tenure]]&gt;2,3%,2%)*staff[[#This Row],[Salary]],0)</f>
        <v>2781</v>
      </c>
      <c r="K130" s="3">
        <f>_xlfn.XLOOKUP(staff[[#This Row],[Rating]],mapping!$B$2:$B$6,mapping!$C$2:$C$6)</f>
        <v>3</v>
      </c>
    </row>
    <row r="131" spans="1:11" x14ac:dyDescent="0.25">
      <c r="A131" s="3" t="s">
        <v>116</v>
      </c>
      <c r="B131" s="3" t="s">
        <v>15</v>
      </c>
      <c r="C131" s="3" t="s">
        <v>9</v>
      </c>
      <c r="D131">
        <v>25</v>
      </c>
      <c r="E131" s="4">
        <v>44144</v>
      </c>
      <c r="F131" s="17">
        <v>92700</v>
      </c>
      <c r="G131" t="s">
        <v>13</v>
      </c>
      <c r="H131" t="s">
        <v>206</v>
      </c>
      <c r="I131" s="6">
        <f ca="1">(TODAY()-staff[[#This Row],[Date Joined]])/365</f>
        <v>4.8438356164383558</v>
      </c>
      <c r="J131" s="16">
        <f ca="1">ROUNDUP(IF(staff[[#This Row],[Tenure]]&gt;2,3%,2%)*staff[[#This Row],[Salary]],0)</f>
        <v>2781</v>
      </c>
      <c r="K131" s="3">
        <f>_xlfn.XLOOKUP(staff[[#This Row],[Rating]],mapping!$B$2:$B$6,mapping!$C$2:$C$6)</f>
        <v>3</v>
      </c>
    </row>
    <row r="132" spans="1:11" x14ac:dyDescent="0.25">
      <c r="A132" s="3" t="s">
        <v>55</v>
      </c>
      <c r="B132" s="3" t="s">
        <v>15</v>
      </c>
      <c r="C132" s="3" t="s">
        <v>23</v>
      </c>
      <c r="D132">
        <v>33</v>
      </c>
      <c r="E132" s="4">
        <v>44190</v>
      </c>
      <c r="F132" s="17">
        <v>96140</v>
      </c>
      <c r="G132" t="s">
        <v>13</v>
      </c>
      <c r="H132" t="s">
        <v>205</v>
      </c>
      <c r="I132" s="6">
        <f ca="1">(TODAY()-staff[[#This Row],[Date Joined]])/365</f>
        <v>4.7178082191780826</v>
      </c>
      <c r="J132" s="16">
        <f ca="1">ROUNDUP(IF(staff[[#This Row],[Tenure]]&gt;2,3%,2%)*staff[[#This Row],[Salary]],0)</f>
        <v>2885</v>
      </c>
      <c r="K132" s="3">
        <f>_xlfn.XLOOKUP(staff[[#This Row],[Rating]],mapping!$B$2:$B$6,mapping!$C$2:$C$6)</f>
        <v>3</v>
      </c>
    </row>
    <row r="133" spans="1:11" x14ac:dyDescent="0.25">
      <c r="A133" s="3" t="s">
        <v>201</v>
      </c>
      <c r="B133" s="3" t="s">
        <v>15</v>
      </c>
      <c r="C133" s="3" t="s">
        <v>23</v>
      </c>
      <c r="D133">
        <v>33</v>
      </c>
      <c r="E133" s="4">
        <v>44129</v>
      </c>
      <c r="F133" s="17">
        <v>96140</v>
      </c>
      <c r="G133" t="s">
        <v>13</v>
      </c>
      <c r="H133" t="s">
        <v>206</v>
      </c>
      <c r="I133" s="6">
        <f ca="1">(TODAY()-staff[[#This Row],[Date Joined]])/365</f>
        <v>4.8849315068493153</v>
      </c>
      <c r="J133" s="16">
        <f ca="1">ROUNDUP(IF(staff[[#This Row],[Tenure]]&gt;2,3%,2%)*staff[[#This Row],[Salary]],0)</f>
        <v>2885</v>
      </c>
      <c r="K133" s="3">
        <f>_xlfn.XLOOKUP(staff[[#This Row],[Rating]],mapping!$B$2:$B$6,mapping!$C$2:$C$6)</f>
        <v>3</v>
      </c>
    </row>
    <row r="134" spans="1:11" x14ac:dyDescent="0.25">
      <c r="A134" s="3" t="s">
        <v>99</v>
      </c>
      <c r="B134" s="3" t="s">
        <v>8</v>
      </c>
      <c r="C134" s="3" t="s">
        <v>17</v>
      </c>
      <c r="D134">
        <v>30</v>
      </c>
      <c r="E134" s="4">
        <v>44606</v>
      </c>
      <c r="F134" s="17">
        <v>96800</v>
      </c>
      <c r="G134" t="s">
        <v>13</v>
      </c>
      <c r="H134" t="s">
        <v>205</v>
      </c>
      <c r="I134" s="6">
        <f ca="1">(TODAY()-staff[[#This Row],[Date Joined]])/365</f>
        <v>3.5780821917808221</v>
      </c>
      <c r="J134" s="16">
        <f ca="1">ROUNDUP(IF(staff[[#This Row],[Tenure]]&gt;2,3%,2%)*staff[[#This Row],[Salary]],0)</f>
        <v>2904</v>
      </c>
      <c r="K134" s="3">
        <f>_xlfn.XLOOKUP(staff[[#This Row],[Rating]],mapping!$B$2:$B$6,mapping!$C$2:$C$6)</f>
        <v>3</v>
      </c>
    </row>
    <row r="135" spans="1:11" x14ac:dyDescent="0.25">
      <c r="A135" s="3" t="s">
        <v>121</v>
      </c>
      <c r="B135" s="3" t="s">
        <v>8</v>
      </c>
      <c r="C135" s="3" t="s">
        <v>17</v>
      </c>
      <c r="D135">
        <v>30</v>
      </c>
      <c r="E135" s="4">
        <v>44544</v>
      </c>
      <c r="F135" s="17">
        <v>96800</v>
      </c>
      <c r="G135" t="s">
        <v>13</v>
      </c>
      <c r="H135" t="s">
        <v>206</v>
      </c>
      <c r="I135" s="6">
        <f ca="1">(TODAY()-staff[[#This Row],[Date Joined]])/365</f>
        <v>3.7479452054794522</v>
      </c>
      <c r="J135" s="16">
        <f ca="1">ROUNDUP(IF(staff[[#This Row],[Tenure]]&gt;2,3%,2%)*staff[[#This Row],[Salary]],0)</f>
        <v>2904</v>
      </c>
      <c r="K135" s="3">
        <f>_xlfn.XLOOKUP(staff[[#This Row],[Rating]],mapping!$B$2:$B$6,mapping!$C$2:$C$6)</f>
        <v>3</v>
      </c>
    </row>
    <row r="136" spans="1:11" x14ac:dyDescent="0.25">
      <c r="A136" s="3" t="s">
        <v>32</v>
      </c>
      <c r="B136" s="3" t="s">
        <v>8</v>
      </c>
      <c r="C136" s="3" t="s">
        <v>12</v>
      </c>
      <c r="D136">
        <v>40</v>
      </c>
      <c r="E136" s="4">
        <v>44263</v>
      </c>
      <c r="F136" s="17">
        <v>99750</v>
      </c>
      <c r="G136" t="s">
        <v>13</v>
      </c>
      <c r="H136" t="s">
        <v>205</v>
      </c>
      <c r="I136" s="6">
        <f ca="1">(TODAY()-staff[[#This Row],[Date Joined]])/365</f>
        <v>4.5178082191780824</v>
      </c>
      <c r="J136" s="16">
        <f ca="1">ROUNDUP(IF(staff[[#This Row],[Tenure]]&gt;2,3%,2%)*staff[[#This Row],[Salary]],0)</f>
        <v>2993</v>
      </c>
      <c r="K136" s="3">
        <f>_xlfn.XLOOKUP(staff[[#This Row],[Rating]],mapping!$B$2:$B$6,mapping!$C$2:$C$6)</f>
        <v>3</v>
      </c>
    </row>
    <row r="137" spans="1:11" x14ac:dyDescent="0.25">
      <c r="A137" s="3" t="s">
        <v>174</v>
      </c>
      <c r="B137" s="3" t="s">
        <v>8</v>
      </c>
      <c r="C137" s="3" t="s">
        <v>12</v>
      </c>
      <c r="D137">
        <v>40</v>
      </c>
      <c r="E137" s="4">
        <v>44204</v>
      </c>
      <c r="F137" s="17">
        <v>99750</v>
      </c>
      <c r="G137" t="s">
        <v>13</v>
      </c>
      <c r="H137" t="s">
        <v>206</v>
      </c>
      <c r="I137" s="6">
        <f ca="1">(TODAY()-staff[[#This Row],[Date Joined]])/365</f>
        <v>4.6794520547945204</v>
      </c>
      <c r="J137" s="16">
        <f ca="1">ROUNDUP(IF(staff[[#This Row],[Tenure]]&gt;2,3%,2%)*staff[[#This Row],[Salary]],0)</f>
        <v>2993</v>
      </c>
      <c r="K137" s="3">
        <f>_xlfn.XLOOKUP(staff[[#This Row],[Rating]],mapping!$B$2:$B$6,mapping!$C$2:$C$6)</f>
        <v>3</v>
      </c>
    </row>
    <row r="138" spans="1:11" x14ac:dyDescent="0.25">
      <c r="A138" s="3" t="s">
        <v>54</v>
      </c>
      <c r="B138" s="3" t="s">
        <v>15</v>
      </c>
      <c r="C138" s="3" t="s">
        <v>12</v>
      </c>
      <c r="D138">
        <v>28</v>
      </c>
      <c r="E138" s="4">
        <v>44630</v>
      </c>
      <c r="F138" s="17">
        <v>99970</v>
      </c>
      <c r="G138" t="s">
        <v>13</v>
      </c>
      <c r="H138" t="s">
        <v>205</v>
      </c>
      <c r="I138" s="6">
        <f ca="1">(TODAY()-staff[[#This Row],[Date Joined]])/365</f>
        <v>3.5123287671232877</v>
      </c>
      <c r="J138" s="16">
        <f ca="1">ROUNDUP(IF(staff[[#This Row],[Tenure]]&gt;2,3%,2%)*staff[[#This Row],[Salary]],0)</f>
        <v>3000</v>
      </c>
      <c r="K138" s="3">
        <f>_xlfn.XLOOKUP(staff[[#This Row],[Rating]],mapping!$B$2:$B$6,mapping!$C$2:$C$6)</f>
        <v>3</v>
      </c>
    </row>
    <row r="139" spans="1:11" x14ac:dyDescent="0.25">
      <c r="A139" s="3" t="s">
        <v>142</v>
      </c>
      <c r="B139" s="3" t="s">
        <v>15</v>
      </c>
      <c r="C139" s="3" t="s">
        <v>12</v>
      </c>
      <c r="D139">
        <v>28</v>
      </c>
      <c r="E139" s="4">
        <v>44571</v>
      </c>
      <c r="F139" s="17">
        <v>99970</v>
      </c>
      <c r="G139" t="s">
        <v>13</v>
      </c>
      <c r="H139" t="s">
        <v>206</v>
      </c>
      <c r="I139" s="6">
        <f ca="1">(TODAY()-staff[[#This Row],[Date Joined]])/365</f>
        <v>3.6739726027397261</v>
      </c>
      <c r="J139" s="16">
        <f ca="1">ROUNDUP(IF(staff[[#This Row],[Tenure]]&gt;2,3%,2%)*staff[[#This Row],[Salary]],0)</f>
        <v>3000</v>
      </c>
      <c r="K139" s="3">
        <f>_xlfn.XLOOKUP(staff[[#This Row],[Rating]],mapping!$B$2:$B$6,mapping!$C$2:$C$6)</f>
        <v>3</v>
      </c>
    </row>
    <row r="140" spans="1:11" x14ac:dyDescent="0.25">
      <c r="A140" s="3" t="s">
        <v>91</v>
      </c>
      <c r="B140" s="3" t="s">
        <v>8</v>
      </c>
      <c r="C140" s="3" t="s">
        <v>23</v>
      </c>
      <c r="D140">
        <v>24</v>
      </c>
      <c r="E140" s="4">
        <v>44686</v>
      </c>
      <c r="F140" s="17">
        <v>100420</v>
      </c>
      <c r="G140" t="s">
        <v>13</v>
      </c>
      <c r="H140" t="s">
        <v>205</v>
      </c>
      <c r="I140" s="6">
        <f ca="1">(TODAY()-staff[[#This Row],[Date Joined]])/365</f>
        <v>3.3589041095890413</v>
      </c>
      <c r="J140" s="16">
        <f ca="1">ROUNDUP(IF(staff[[#This Row],[Tenure]]&gt;2,3%,2%)*staff[[#This Row],[Salary]],0)</f>
        <v>3013</v>
      </c>
      <c r="K140" s="3">
        <f>_xlfn.XLOOKUP(staff[[#This Row],[Rating]],mapping!$B$2:$B$6,mapping!$C$2:$C$6)</f>
        <v>3</v>
      </c>
    </row>
    <row r="141" spans="1:11" x14ac:dyDescent="0.25">
      <c r="A141" s="3" t="s">
        <v>135</v>
      </c>
      <c r="B141" s="3" t="s">
        <v>8</v>
      </c>
      <c r="C141" s="3" t="s">
        <v>23</v>
      </c>
      <c r="D141">
        <v>24</v>
      </c>
      <c r="E141" s="4">
        <v>44625</v>
      </c>
      <c r="F141" s="17">
        <v>100420</v>
      </c>
      <c r="G141" t="s">
        <v>13</v>
      </c>
      <c r="H141" t="s">
        <v>206</v>
      </c>
      <c r="I141" s="6">
        <f ca="1">(TODAY()-staff[[#This Row],[Date Joined]])/365</f>
        <v>3.526027397260274</v>
      </c>
      <c r="J141" s="16">
        <f ca="1">ROUNDUP(IF(staff[[#This Row],[Tenure]]&gt;2,3%,2%)*staff[[#This Row],[Salary]],0)</f>
        <v>3013</v>
      </c>
      <c r="K141" s="3">
        <f>_xlfn.XLOOKUP(staff[[#This Row],[Rating]],mapping!$B$2:$B$6,mapping!$C$2:$C$6)</f>
        <v>3</v>
      </c>
    </row>
    <row r="142" spans="1:11" x14ac:dyDescent="0.25">
      <c r="A142" s="3" t="s">
        <v>56</v>
      </c>
      <c r="B142" s="3" t="s">
        <v>8</v>
      </c>
      <c r="C142" s="3" t="s">
        <v>12</v>
      </c>
      <c r="D142">
        <v>31</v>
      </c>
      <c r="E142" s="4">
        <v>44724</v>
      </c>
      <c r="F142" s="17">
        <v>103550</v>
      </c>
      <c r="G142" t="s">
        <v>13</v>
      </c>
      <c r="H142" t="s">
        <v>205</v>
      </c>
      <c r="I142" s="6">
        <f ca="1">(TODAY()-staff[[#This Row],[Date Joined]])/365</f>
        <v>3.2547945205479452</v>
      </c>
      <c r="J142" s="16">
        <f ca="1">ROUNDUP(IF(staff[[#This Row],[Tenure]]&gt;2,3%,2%)*staff[[#This Row],[Salary]],0)</f>
        <v>3107</v>
      </c>
      <c r="K142" s="3">
        <f>_xlfn.XLOOKUP(staff[[#This Row],[Rating]],mapping!$B$2:$B$6,mapping!$C$2:$C$6)</f>
        <v>3</v>
      </c>
    </row>
    <row r="143" spans="1:11" x14ac:dyDescent="0.25">
      <c r="A143" s="3" t="s">
        <v>112</v>
      </c>
      <c r="B143" s="3" t="s">
        <v>8</v>
      </c>
      <c r="C143" s="3" t="s">
        <v>12</v>
      </c>
      <c r="D143">
        <v>31</v>
      </c>
      <c r="E143" s="4">
        <v>44663</v>
      </c>
      <c r="F143" s="17">
        <v>103550</v>
      </c>
      <c r="G143" t="s">
        <v>13</v>
      </c>
      <c r="H143" t="s">
        <v>206</v>
      </c>
      <c r="I143" s="6">
        <f ca="1">(TODAY()-staff[[#This Row],[Date Joined]])/365</f>
        <v>3.4219178082191779</v>
      </c>
      <c r="J143" s="16">
        <f ca="1">ROUNDUP(IF(staff[[#This Row],[Tenure]]&gt;2,3%,2%)*staff[[#This Row],[Salary]],0)</f>
        <v>3107</v>
      </c>
      <c r="K143" s="3">
        <f>_xlfn.XLOOKUP(staff[[#This Row],[Rating]],mapping!$B$2:$B$6,mapping!$C$2:$C$6)</f>
        <v>3</v>
      </c>
    </row>
    <row r="144" spans="1:11" x14ac:dyDescent="0.25">
      <c r="A144" s="3" t="s">
        <v>89</v>
      </c>
      <c r="B144" s="3" t="s">
        <v>15</v>
      </c>
      <c r="C144" s="3" t="s">
        <v>12</v>
      </c>
      <c r="D144">
        <v>28</v>
      </c>
      <c r="E144" s="4">
        <v>44649</v>
      </c>
      <c r="F144" s="17">
        <v>104120</v>
      </c>
      <c r="G144" t="s">
        <v>13</v>
      </c>
      <c r="H144" t="s">
        <v>205</v>
      </c>
      <c r="I144" s="6">
        <f ca="1">(TODAY()-staff[[#This Row],[Date Joined]])/365</f>
        <v>3.4602739726027396</v>
      </c>
      <c r="J144" s="16">
        <f ca="1">ROUNDUP(IF(staff[[#This Row],[Tenure]]&gt;2,3%,2%)*staff[[#This Row],[Salary]],0)</f>
        <v>3124</v>
      </c>
      <c r="K144" s="3">
        <f>_xlfn.XLOOKUP(staff[[#This Row],[Rating]],mapping!$B$2:$B$6,mapping!$C$2:$C$6)</f>
        <v>3</v>
      </c>
    </row>
    <row r="145" spans="1:11" x14ac:dyDescent="0.25">
      <c r="A145" s="3" t="s">
        <v>188</v>
      </c>
      <c r="B145" s="3" t="s">
        <v>15</v>
      </c>
      <c r="C145" s="3" t="s">
        <v>12</v>
      </c>
      <c r="D145">
        <v>28</v>
      </c>
      <c r="E145" s="4">
        <v>44590</v>
      </c>
      <c r="F145" s="17">
        <v>104120</v>
      </c>
      <c r="G145" t="s">
        <v>13</v>
      </c>
      <c r="H145" t="s">
        <v>206</v>
      </c>
      <c r="I145" s="6">
        <f ca="1">(TODAY()-staff[[#This Row],[Date Joined]])/365</f>
        <v>3.6219178082191781</v>
      </c>
      <c r="J145" s="16">
        <f ca="1">ROUNDUP(IF(staff[[#This Row],[Tenure]]&gt;2,3%,2%)*staff[[#This Row],[Salary]],0)</f>
        <v>3124</v>
      </c>
      <c r="K145" s="3">
        <f>_xlfn.XLOOKUP(staff[[#This Row],[Rating]],mapping!$B$2:$B$6,mapping!$C$2:$C$6)</f>
        <v>3</v>
      </c>
    </row>
    <row r="146" spans="1:11" x14ac:dyDescent="0.25">
      <c r="A146" s="3" t="s">
        <v>98</v>
      </c>
      <c r="B146" s="3" t="s">
        <v>15</v>
      </c>
      <c r="C146" s="3" t="s">
        <v>23</v>
      </c>
      <c r="D146">
        <v>40</v>
      </c>
      <c r="E146" s="4">
        <v>44381</v>
      </c>
      <c r="F146" s="17">
        <v>104410</v>
      </c>
      <c r="G146" t="s">
        <v>13</v>
      </c>
      <c r="H146" t="s">
        <v>205</v>
      </c>
      <c r="I146" s="6">
        <f ca="1">(TODAY()-staff[[#This Row],[Date Joined]])/365</f>
        <v>4.1945205479452055</v>
      </c>
      <c r="J146" s="16">
        <f ca="1">ROUNDUP(IF(staff[[#This Row],[Tenure]]&gt;2,3%,2%)*staff[[#This Row],[Salary]],0)</f>
        <v>3133</v>
      </c>
      <c r="K146" s="3">
        <f>_xlfn.XLOOKUP(staff[[#This Row],[Rating]],mapping!$B$2:$B$6,mapping!$C$2:$C$6)</f>
        <v>3</v>
      </c>
    </row>
    <row r="147" spans="1:11" x14ac:dyDescent="0.25">
      <c r="A147" s="3" t="s">
        <v>120</v>
      </c>
      <c r="B147" s="3" t="s">
        <v>15</v>
      </c>
      <c r="C147" s="3" t="s">
        <v>23</v>
      </c>
      <c r="D147">
        <v>40</v>
      </c>
      <c r="E147" s="4">
        <v>44320</v>
      </c>
      <c r="F147" s="17">
        <v>104410</v>
      </c>
      <c r="G147" t="s">
        <v>13</v>
      </c>
      <c r="H147" t="s">
        <v>206</v>
      </c>
      <c r="I147" s="6">
        <f ca="1">(TODAY()-staff[[#This Row],[Date Joined]])/365</f>
        <v>4.3616438356164382</v>
      </c>
      <c r="J147" s="16">
        <f ca="1">ROUNDUP(IF(staff[[#This Row],[Tenure]]&gt;2,3%,2%)*staff[[#This Row],[Salary]],0)</f>
        <v>3133</v>
      </c>
      <c r="K147" s="3">
        <f>_xlfn.XLOOKUP(staff[[#This Row],[Rating]],mapping!$B$2:$B$6,mapping!$C$2:$C$6)</f>
        <v>3</v>
      </c>
    </row>
    <row r="148" spans="1:11" x14ac:dyDescent="0.25">
      <c r="A148" s="3" t="s">
        <v>81</v>
      </c>
      <c r="B148" s="3" t="s">
        <v>15</v>
      </c>
      <c r="C148" s="3" t="s">
        <v>12</v>
      </c>
      <c r="D148">
        <v>28</v>
      </c>
      <c r="E148" s="4">
        <v>44486</v>
      </c>
      <c r="F148" s="17">
        <v>104770</v>
      </c>
      <c r="G148" t="s">
        <v>13</v>
      </c>
      <c r="H148" t="s">
        <v>205</v>
      </c>
      <c r="I148" s="6">
        <f ca="1">(TODAY()-staff[[#This Row],[Date Joined]])/365</f>
        <v>3.9068493150684933</v>
      </c>
      <c r="J148" s="16">
        <f ca="1">ROUNDUP(IF(staff[[#This Row],[Tenure]]&gt;2,3%,2%)*staff[[#This Row],[Salary]],0)</f>
        <v>3144</v>
      </c>
      <c r="K148" s="3">
        <f>_xlfn.XLOOKUP(staff[[#This Row],[Rating]],mapping!$B$2:$B$6,mapping!$C$2:$C$6)</f>
        <v>3</v>
      </c>
    </row>
    <row r="149" spans="1:11" x14ac:dyDescent="0.25">
      <c r="A149" s="3" t="s">
        <v>156</v>
      </c>
      <c r="B149" s="3" t="s">
        <v>15</v>
      </c>
      <c r="C149" s="3" t="s">
        <v>12</v>
      </c>
      <c r="D149">
        <v>28</v>
      </c>
      <c r="E149" s="4">
        <v>44425</v>
      </c>
      <c r="F149" s="17">
        <v>104770</v>
      </c>
      <c r="G149" t="s">
        <v>13</v>
      </c>
      <c r="H149" t="s">
        <v>206</v>
      </c>
      <c r="I149" s="6">
        <f ca="1">(TODAY()-staff[[#This Row],[Date Joined]])/365</f>
        <v>4.0739726027397261</v>
      </c>
      <c r="J149" s="16">
        <f ca="1">ROUNDUP(IF(staff[[#This Row],[Tenure]]&gt;2,3%,2%)*staff[[#This Row],[Salary]],0)</f>
        <v>3144</v>
      </c>
      <c r="K149" s="3">
        <f>_xlfn.XLOOKUP(staff[[#This Row],[Rating]],mapping!$B$2:$B$6,mapping!$C$2:$C$6)</f>
        <v>3</v>
      </c>
    </row>
    <row r="150" spans="1:11" x14ac:dyDescent="0.25">
      <c r="A150" s="3" t="s">
        <v>94</v>
      </c>
      <c r="B150" s="3" t="s">
        <v>8</v>
      </c>
      <c r="C150" s="3" t="s">
        <v>12</v>
      </c>
      <c r="D150">
        <v>23</v>
      </c>
      <c r="E150" s="4">
        <v>44440</v>
      </c>
      <c r="F150" s="17">
        <v>106460</v>
      </c>
      <c r="G150" t="s">
        <v>13</v>
      </c>
      <c r="H150" t="s">
        <v>205</v>
      </c>
      <c r="I150" s="6">
        <f ca="1">(TODAY()-staff[[#This Row],[Date Joined]])/365</f>
        <v>4.0328767123287674</v>
      </c>
      <c r="J150" s="16">
        <f ca="1">ROUNDUP(IF(staff[[#This Row],[Tenure]]&gt;2,3%,2%)*staff[[#This Row],[Salary]],0)</f>
        <v>3194</v>
      </c>
      <c r="K150" s="3">
        <f>_xlfn.XLOOKUP(staff[[#This Row],[Rating]],mapping!$B$2:$B$6,mapping!$C$2:$C$6)</f>
        <v>3</v>
      </c>
    </row>
    <row r="151" spans="1:11" x14ac:dyDescent="0.25">
      <c r="A151" s="3" t="s">
        <v>184</v>
      </c>
      <c r="B151" s="3" t="s">
        <v>8</v>
      </c>
      <c r="C151" s="3" t="s">
        <v>12</v>
      </c>
      <c r="D151">
        <v>23</v>
      </c>
      <c r="E151" s="4">
        <v>44378</v>
      </c>
      <c r="F151" s="17">
        <v>106460</v>
      </c>
      <c r="G151" t="s">
        <v>13</v>
      </c>
      <c r="H151" t="s">
        <v>206</v>
      </c>
      <c r="I151" s="6">
        <f ca="1">(TODAY()-staff[[#This Row],[Date Joined]])/365</f>
        <v>4.2027397260273975</v>
      </c>
      <c r="J151" s="16">
        <f ca="1">ROUNDUP(IF(staff[[#This Row],[Tenure]]&gt;2,3%,2%)*staff[[#This Row],[Salary]],0)</f>
        <v>3194</v>
      </c>
      <c r="K151" s="3">
        <f>_xlfn.XLOOKUP(staff[[#This Row],[Rating]],mapping!$B$2:$B$6,mapping!$C$2:$C$6)</f>
        <v>3</v>
      </c>
    </row>
    <row r="152" spans="1:11" x14ac:dyDescent="0.25">
      <c r="A152" s="3" t="s">
        <v>30</v>
      </c>
      <c r="B152" s="3" t="s">
        <v>8</v>
      </c>
      <c r="C152" s="3" t="s">
        <v>23</v>
      </c>
      <c r="D152">
        <v>20</v>
      </c>
      <c r="E152" s="4">
        <v>44459</v>
      </c>
      <c r="F152" s="17">
        <v>107700</v>
      </c>
      <c r="G152" t="s">
        <v>13</v>
      </c>
      <c r="H152" t="s">
        <v>205</v>
      </c>
      <c r="I152" s="6">
        <f ca="1">(TODAY()-staff[[#This Row],[Date Joined]])/365</f>
        <v>3.9808219178082194</v>
      </c>
      <c r="J152" s="16">
        <f ca="1">ROUNDUP(IF(staff[[#This Row],[Tenure]]&gt;2,3%,2%)*staff[[#This Row],[Salary]],0)</f>
        <v>3231</v>
      </c>
      <c r="K152" s="3">
        <f>_xlfn.XLOOKUP(staff[[#This Row],[Rating]],mapping!$B$2:$B$6,mapping!$C$2:$C$6)</f>
        <v>3</v>
      </c>
    </row>
    <row r="153" spans="1:11" x14ac:dyDescent="0.25">
      <c r="A153" s="3" t="s">
        <v>192</v>
      </c>
      <c r="B153" s="3" t="s">
        <v>8</v>
      </c>
      <c r="C153" s="3" t="s">
        <v>23</v>
      </c>
      <c r="D153">
        <v>20</v>
      </c>
      <c r="E153" s="4">
        <v>44397</v>
      </c>
      <c r="F153" s="17">
        <v>107700</v>
      </c>
      <c r="G153" t="s">
        <v>13</v>
      </c>
      <c r="H153" t="s">
        <v>206</v>
      </c>
      <c r="I153" s="6">
        <f ca="1">(TODAY()-staff[[#This Row],[Date Joined]])/365</f>
        <v>4.1506849315068495</v>
      </c>
      <c r="J153" s="16">
        <f ca="1">ROUNDUP(IF(staff[[#This Row],[Tenure]]&gt;2,3%,2%)*staff[[#This Row],[Salary]],0)</f>
        <v>3231</v>
      </c>
      <c r="K153" s="3">
        <f>_xlfn.XLOOKUP(staff[[#This Row],[Rating]],mapping!$B$2:$B$6,mapping!$C$2:$C$6)</f>
        <v>3</v>
      </c>
    </row>
    <row r="154" spans="1:11" x14ac:dyDescent="0.25">
      <c r="A154" s="3" t="s">
        <v>74</v>
      </c>
      <c r="B154" s="3" t="s">
        <v>15</v>
      </c>
      <c r="C154" s="3" t="s">
        <v>9</v>
      </c>
      <c r="D154">
        <v>38</v>
      </c>
      <c r="E154" s="4">
        <v>44377</v>
      </c>
      <c r="F154" s="17">
        <v>109160</v>
      </c>
      <c r="G154" t="s">
        <v>43</v>
      </c>
      <c r="H154" t="s">
        <v>205</v>
      </c>
      <c r="I154" s="6">
        <f ca="1">(TODAY()-staff[[#This Row],[Date Joined]])/365</f>
        <v>4.2054794520547949</v>
      </c>
      <c r="J154" s="16">
        <f ca="1">ROUNDUP(IF(staff[[#This Row],[Tenure]]&gt;2,3%,2%)*staff[[#This Row],[Salary]],0)</f>
        <v>3275</v>
      </c>
      <c r="K154" s="3">
        <f>_xlfn.XLOOKUP(staff[[#This Row],[Rating]],mapping!$B$2:$B$6,mapping!$C$2:$C$6)</f>
        <v>5</v>
      </c>
    </row>
    <row r="155" spans="1:11" x14ac:dyDescent="0.25">
      <c r="A155" s="3" t="s">
        <v>173</v>
      </c>
      <c r="B155" s="3" t="s">
        <v>15</v>
      </c>
      <c r="C155" s="3" t="s">
        <v>9</v>
      </c>
      <c r="D155">
        <v>38</v>
      </c>
      <c r="E155" s="4">
        <v>44316</v>
      </c>
      <c r="F155" s="17">
        <v>109160</v>
      </c>
      <c r="G155" t="s">
        <v>43</v>
      </c>
      <c r="H155" t="s">
        <v>206</v>
      </c>
      <c r="I155" s="6">
        <f ca="1">(TODAY()-staff[[#This Row],[Date Joined]])/365</f>
        <v>4.3726027397260276</v>
      </c>
      <c r="J155" s="16">
        <f ca="1">ROUNDUP(IF(staff[[#This Row],[Tenure]]&gt;2,3%,2%)*staff[[#This Row],[Salary]],0)</f>
        <v>3275</v>
      </c>
      <c r="K155" s="3">
        <f>_xlfn.XLOOKUP(staff[[#This Row],[Rating]],mapping!$B$2:$B$6,mapping!$C$2:$C$6)</f>
        <v>5</v>
      </c>
    </row>
    <row r="156" spans="1:11" x14ac:dyDescent="0.25">
      <c r="A156" s="3" t="s">
        <v>52</v>
      </c>
      <c r="B156" s="3" t="s">
        <v>8</v>
      </c>
      <c r="C156" s="3" t="s">
        <v>12</v>
      </c>
      <c r="D156">
        <v>25</v>
      </c>
      <c r="E156" s="4">
        <v>44726</v>
      </c>
      <c r="F156" s="17">
        <v>109190</v>
      </c>
      <c r="G156" t="s">
        <v>10</v>
      </c>
      <c r="H156" t="s">
        <v>205</v>
      </c>
      <c r="I156" s="6">
        <f ca="1">(TODAY()-staff[[#This Row],[Date Joined]])/365</f>
        <v>3.2493150684931509</v>
      </c>
      <c r="J156" s="16">
        <f ca="1">ROUNDUP(IF(staff[[#This Row],[Tenure]]&gt;2,3%,2%)*staff[[#This Row],[Salary]],0)</f>
        <v>3276</v>
      </c>
      <c r="K156" s="3">
        <f>_xlfn.XLOOKUP(staff[[#This Row],[Rating]],mapping!$B$2:$B$6,mapping!$C$2:$C$6)</f>
        <v>4</v>
      </c>
    </row>
    <row r="157" spans="1:11" x14ac:dyDescent="0.25">
      <c r="A157" s="3" t="s">
        <v>119</v>
      </c>
      <c r="B157" s="3" t="s">
        <v>8</v>
      </c>
      <c r="C157" s="3" t="s">
        <v>12</v>
      </c>
      <c r="D157">
        <v>25</v>
      </c>
      <c r="E157" s="4">
        <v>44665</v>
      </c>
      <c r="F157" s="17">
        <v>109190</v>
      </c>
      <c r="G157" t="s">
        <v>10</v>
      </c>
      <c r="H157" t="s">
        <v>206</v>
      </c>
      <c r="I157" s="6">
        <f ca="1">(TODAY()-staff[[#This Row],[Date Joined]])/365</f>
        <v>3.4164383561643836</v>
      </c>
      <c r="J157" s="16">
        <f ca="1">ROUNDUP(IF(staff[[#This Row],[Tenure]]&gt;2,3%,2%)*staff[[#This Row],[Salary]],0)</f>
        <v>3276</v>
      </c>
      <c r="K157" s="3">
        <f>_xlfn.XLOOKUP(staff[[#This Row],[Rating]],mapping!$B$2:$B$6,mapping!$C$2:$C$6)</f>
        <v>4</v>
      </c>
    </row>
    <row r="158" spans="1:11" x14ac:dyDescent="0.25">
      <c r="A158" s="3" t="s">
        <v>27</v>
      </c>
      <c r="B158" s="3" t="s">
        <v>8</v>
      </c>
      <c r="C158" s="3" t="s">
        <v>23</v>
      </c>
      <c r="D158">
        <v>29</v>
      </c>
      <c r="E158" s="4">
        <v>44180</v>
      </c>
      <c r="F158" s="17">
        <v>112110</v>
      </c>
      <c r="G158" t="s">
        <v>18</v>
      </c>
      <c r="H158" t="s">
        <v>205</v>
      </c>
      <c r="I158" s="6">
        <f ca="1">(TODAY()-staff[[#This Row],[Date Joined]])/365</f>
        <v>4.7452054794520544</v>
      </c>
      <c r="J158" s="16">
        <f ca="1">ROUNDUP(IF(staff[[#This Row],[Tenure]]&gt;2,3%,2%)*staff[[#This Row],[Salary]],0)</f>
        <v>3364</v>
      </c>
      <c r="K158" s="3">
        <f>_xlfn.XLOOKUP(staff[[#This Row],[Rating]],mapping!$B$2:$B$6,mapping!$C$2:$C$6)</f>
        <v>2</v>
      </c>
    </row>
    <row r="159" spans="1:11" x14ac:dyDescent="0.25">
      <c r="A159" s="3" t="s">
        <v>145</v>
      </c>
      <c r="B159" s="3" t="s">
        <v>8</v>
      </c>
      <c r="C159" s="3" t="s">
        <v>23</v>
      </c>
      <c r="D159">
        <v>29</v>
      </c>
      <c r="E159" s="4">
        <v>44119</v>
      </c>
      <c r="F159" s="17">
        <v>112110</v>
      </c>
      <c r="G159" t="s">
        <v>18</v>
      </c>
      <c r="H159" t="s">
        <v>206</v>
      </c>
      <c r="I159" s="6">
        <f ca="1">(TODAY()-staff[[#This Row],[Date Joined]])/365</f>
        <v>4.912328767123288</v>
      </c>
      <c r="J159" s="16">
        <f ca="1">ROUNDUP(IF(staff[[#This Row],[Tenure]]&gt;2,3%,2%)*staff[[#This Row],[Salary]],0)</f>
        <v>3364</v>
      </c>
      <c r="K159" s="3">
        <f>_xlfn.XLOOKUP(staff[[#This Row],[Rating]],mapping!$B$2:$B$6,mapping!$C$2:$C$6)</f>
        <v>2</v>
      </c>
    </row>
    <row r="160" spans="1:11" x14ac:dyDescent="0.25">
      <c r="A160" s="3" t="s">
        <v>20</v>
      </c>
      <c r="B160" s="3" t="s">
        <v>15</v>
      </c>
      <c r="C160" s="3" t="s">
        <v>12</v>
      </c>
      <c r="D160">
        <v>30</v>
      </c>
      <c r="E160" s="4">
        <v>44861</v>
      </c>
      <c r="F160" s="17">
        <v>112570</v>
      </c>
      <c r="G160" t="s">
        <v>13</v>
      </c>
      <c r="H160" t="s">
        <v>205</v>
      </c>
      <c r="I160" s="6">
        <f ca="1">(TODAY()-staff[[#This Row],[Date Joined]])/365</f>
        <v>2.8794520547945206</v>
      </c>
      <c r="J160" s="16">
        <f ca="1">ROUNDUP(IF(staff[[#This Row],[Tenure]]&gt;2,3%,2%)*staff[[#This Row],[Salary]],0)</f>
        <v>3378</v>
      </c>
      <c r="K160" s="3">
        <f>_xlfn.XLOOKUP(staff[[#This Row],[Rating]],mapping!$B$2:$B$6,mapping!$C$2:$C$6)</f>
        <v>3</v>
      </c>
    </row>
    <row r="161" spans="1:11" x14ac:dyDescent="0.25">
      <c r="A161" s="3" t="s">
        <v>139</v>
      </c>
      <c r="B161" s="3" t="s">
        <v>15</v>
      </c>
      <c r="C161" s="3" t="s">
        <v>12</v>
      </c>
      <c r="D161">
        <v>30</v>
      </c>
      <c r="E161" s="4">
        <v>44800</v>
      </c>
      <c r="F161" s="17">
        <v>112570</v>
      </c>
      <c r="G161" t="s">
        <v>13</v>
      </c>
      <c r="H161" t="s">
        <v>206</v>
      </c>
      <c r="I161" s="6">
        <f ca="1">(TODAY()-staff[[#This Row],[Date Joined]])/365</f>
        <v>3.0465753424657533</v>
      </c>
      <c r="J161" s="16">
        <f ca="1">ROUNDUP(IF(staff[[#This Row],[Tenure]]&gt;2,3%,2%)*staff[[#This Row],[Salary]],0)</f>
        <v>3378</v>
      </c>
      <c r="K161" s="3">
        <f>_xlfn.XLOOKUP(staff[[#This Row],[Rating]],mapping!$B$2:$B$6,mapping!$C$2:$C$6)</f>
        <v>3</v>
      </c>
    </row>
    <row r="162" spans="1:11" x14ac:dyDescent="0.25">
      <c r="A162" s="3" t="s">
        <v>63</v>
      </c>
      <c r="B162" s="3" t="s">
        <v>8</v>
      </c>
      <c r="C162" s="3" t="s">
        <v>23</v>
      </c>
      <c r="D162">
        <v>20</v>
      </c>
      <c r="E162" s="4">
        <v>44183</v>
      </c>
      <c r="F162" s="17">
        <v>112650</v>
      </c>
      <c r="G162" t="s">
        <v>13</v>
      </c>
      <c r="H162" t="s">
        <v>205</v>
      </c>
      <c r="I162" s="6">
        <f ca="1">(TODAY()-staff[[#This Row],[Date Joined]])/365</f>
        <v>4.7369863013698632</v>
      </c>
      <c r="J162" s="16">
        <f ca="1">ROUNDUP(IF(staff[[#This Row],[Tenure]]&gt;2,3%,2%)*staff[[#This Row],[Salary]],0)</f>
        <v>3380</v>
      </c>
      <c r="K162" s="3">
        <f>_xlfn.XLOOKUP(staff[[#This Row],[Rating]],mapping!$B$2:$B$6,mapping!$C$2:$C$6)</f>
        <v>3</v>
      </c>
    </row>
    <row r="163" spans="1:11" x14ac:dyDescent="0.25">
      <c r="A163" s="3" t="s">
        <v>110</v>
      </c>
      <c r="B163" s="3" t="s">
        <v>8</v>
      </c>
      <c r="C163" s="3" t="s">
        <v>23</v>
      </c>
      <c r="D163">
        <v>20</v>
      </c>
      <c r="E163" s="4">
        <v>44122</v>
      </c>
      <c r="F163" s="17">
        <v>112650</v>
      </c>
      <c r="G163" t="s">
        <v>13</v>
      </c>
      <c r="H163" t="s">
        <v>206</v>
      </c>
      <c r="I163" s="6">
        <f ca="1">(TODAY()-staff[[#This Row],[Date Joined]])/365</f>
        <v>4.904109589041096</v>
      </c>
      <c r="J163" s="16">
        <f ca="1">ROUNDUP(IF(staff[[#This Row],[Tenure]]&gt;2,3%,2%)*staff[[#This Row],[Salary]],0)</f>
        <v>3380</v>
      </c>
      <c r="K163" s="3">
        <f>_xlfn.XLOOKUP(staff[[#This Row],[Rating]],mapping!$B$2:$B$6,mapping!$C$2:$C$6)</f>
        <v>3</v>
      </c>
    </row>
    <row r="164" spans="1:11" x14ac:dyDescent="0.25">
      <c r="A164" s="3" t="s">
        <v>124</v>
      </c>
      <c r="B164" s="3" t="s">
        <v>8</v>
      </c>
      <c r="C164" s="3" t="s">
        <v>12</v>
      </c>
      <c r="D164">
        <v>34</v>
      </c>
      <c r="E164" s="4">
        <v>44642</v>
      </c>
      <c r="F164" s="17">
        <v>112650</v>
      </c>
      <c r="G164" t="s">
        <v>13</v>
      </c>
      <c r="H164" t="s">
        <v>206</v>
      </c>
      <c r="I164" s="6">
        <f ca="1">(TODAY()-staff[[#This Row],[Date Joined]])/365</f>
        <v>3.4794520547945207</v>
      </c>
      <c r="J164" s="16">
        <f ca="1">ROUNDUP(IF(staff[[#This Row],[Tenure]]&gt;2,3%,2%)*staff[[#This Row],[Salary]],0)</f>
        <v>3380</v>
      </c>
      <c r="K164" s="3">
        <f>_xlfn.XLOOKUP(staff[[#This Row],[Rating]],mapping!$B$2:$B$6,mapping!$C$2:$C$6)</f>
        <v>3</v>
      </c>
    </row>
    <row r="165" spans="1:11" x14ac:dyDescent="0.25">
      <c r="A165" s="3" t="s">
        <v>7</v>
      </c>
      <c r="B165" s="3" t="s">
        <v>8</v>
      </c>
      <c r="C165" s="3" t="s">
        <v>9</v>
      </c>
      <c r="D165">
        <v>22</v>
      </c>
      <c r="E165" s="4">
        <v>44446</v>
      </c>
      <c r="F165" s="17">
        <v>112780</v>
      </c>
      <c r="G165" t="s">
        <v>10</v>
      </c>
      <c r="H165" t="s">
        <v>205</v>
      </c>
      <c r="I165" s="6">
        <f ca="1">(TODAY()-staff[[#This Row],[Date Joined]])/365</f>
        <v>4.0164383561643833</v>
      </c>
      <c r="J165" s="16">
        <f ca="1">ROUNDUP(IF(staff[[#This Row],[Tenure]]&gt;2,3%,2%)*staff[[#This Row],[Salary]],0)</f>
        <v>3384</v>
      </c>
      <c r="K165" s="3">
        <f>_xlfn.XLOOKUP(staff[[#This Row],[Rating]],mapping!$B$2:$B$6,mapping!$C$2:$C$6)</f>
        <v>4</v>
      </c>
    </row>
    <row r="166" spans="1:11" x14ac:dyDescent="0.25">
      <c r="A166" s="3" t="s">
        <v>147</v>
      </c>
      <c r="B166" s="3" t="s">
        <v>8</v>
      </c>
      <c r="C166" s="3" t="s">
        <v>9</v>
      </c>
      <c r="D166">
        <v>22</v>
      </c>
      <c r="E166" s="4">
        <v>44384</v>
      </c>
      <c r="F166" s="17">
        <v>112780</v>
      </c>
      <c r="G166" t="s">
        <v>10</v>
      </c>
      <c r="H166" t="s">
        <v>206</v>
      </c>
      <c r="I166" s="6">
        <f ca="1">(TODAY()-staff[[#This Row],[Date Joined]])/365</f>
        <v>4.1863013698630134</v>
      </c>
      <c r="J166" s="16">
        <f ca="1">ROUNDUP(IF(staff[[#This Row],[Tenure]]&gt;2,3%,2%)*staff[[#This Row],[Salary]],0)</f>
        <v>3384</v>
      </c>
      <c r="K166" s="3">
        <f>_xlfn.XLOOKUP(staff[[#This Row],[Rating]],mapping!$B$2:$B$6,mapping!$C$2:$C$6)</f>
        <v>4</v>
      </c>
    </row>
    <row r="167" spans="1:11" x14ac:dyDescent="0.25">
      <c r="A167" s="3" t="s">
        <v>75</v>
      </c>
      <c r="B167" s="3" t="s">
        <v>8</v>
      </c>
      <c r="C167" s="3" t="s">
        <v>12</v>
      </c>
      <c r="D167">
        <v>27</v>
      </c>
      <c r="E167" s="4">
        <v>44609</v>
      </c>
      <c r="F167" s="17">
        <v>113280</v>
      </c>
      <c r="G167" t="s">
        <v>49</v>
      </c>
      <c r="H167" t="s">
        <v>205</v>
      </c>
      <c r="I167" s="6">
        <f ca="1">(TODAY()-staff[[#This Row],[Date Joined]])/365</f>
        <v>3.56986301369863</v>
      </c>
      <c r="J167" s="16">
        <f ca="1">ROUNDUP(IF(staff[[#This Row],[Tenure]]&gt;2,3%,2%)*staff[[#This Row],[Salary]],0)</f>
        <v>3399</v>
      </c>
      <c r="K167" s="3">
        <f>_xlfn.XLOOKUP(staff[[#This Row],[Rating]],mapping!$B$2:$B$6,mapping!$C$2:$C$6)</f>
        <v>1</v>
      </c>
    </row>
    <row r="168" spans="1:11" x14ac:dyDescent="0.25">
      <c r="A168" s="3" t="s">
        <v>177</v>
      </c>
      <c r="B168" s="3" t="s">
        <v>8</v>
      </c>
      <c r="C168" s="3" t="s">
        <v>12</v>
      </c>
      <c r="D168">
        <v>27</v>
      </c>
      <c r="E168" s="4">
        <v>44547</v>
      </c>
      <c r="F168" s="17">
        <v>113280</v>
      </c>
      <c r="G168" t="s">
        <v>49</v>
      </c>
      <c r="H168" t="s">
        <v>206</v>
      </c>
      <c r="I168" s="6">
        <f ca="1">(TODAY()-staff[[#This Row],[Date Joined]])/365</f>
        <v>3.7397260273972601</v>
      </c>
      <c r="J168" s="16">
        <f ca="1">ROUNDUP(IF(staff[[#This Row],[Tenure]]&gt;2,3%,2%)*staff[[#This Row],[Salary]],0)</f>
        <v>3399</v>
      </c>
      <c r="K168" s="3">
        <f>_xlfn.XLOOKUP(staff[[#This Row],[Rating]],mapping!$B$2:$B$6,mapping!$C$2:$C$6)</f>
        <v>1</v>
      </c>
    </row>
    <row r="169" spans="1:11" x14ac:dyDescent="0.25">
      <c r="A169" s="3" t="s">
        <v>92</v>
      </c>
      <c r="B169" s="3" t="s">
        <v>15</v>
      </c>
      <c r="C169" s="3" t="s">
        <v>12</v>
      </c>
      <c r="D169">
        <v>30</v>
      </c>
      <c r="E169" s="4">
        <v>44850</v>
      </c>
      <c r="F169" s="17">
        <v>114180</v>
      </c>
      <c r="G169" t="s">
        <v>13</v>
      </c>
      <c r="H169" t="s">
        <v>205</v>
      </c>
      <c r="I169" s="6">
        <f ca="1">(TODAY()-staff[[#This Row],[Date Joined]])/365</f>
        <v>2.9095890410958902</v>
      </c>
      <c r="J169" s="16">
        <f ca="1">ROUNDUP(IF(staff[[#This Row],[Tenure]]&gt;2,3%,2%)*staff[[#This Row],[Salary]],0)</f>
        <v>3426</v>
      </c>
      <c r="K169" s="3">
        <f>_xlfn.XLOOKUP(staff[[#This Row],[Rating]],mapping!$B$2:$B$6,mapping!$C$2:$C$6)</f>
        <v>3</v>
      </c>
    </row>
    <row r="170" spans="1:11" x14ac:dyDescent="0.25">
      <c r="A170" s="3" t="s">
        <v>187</v>
      </c>
      <c r="B170" s="3" t="s">
        <v>15</v>
      </c>
      <c r="C170" s="3" t="s">
        <v>12</v>
      </c>
      <c r="D170">
        <v>30</v>
      </c>
      <c r="E170" s="4">
        <v>44789</v>
      </c>
      <c r="F170" s="17">
        <v>114180</v>
      </c>
      <c r="G170" t="s">
        <v>13</v>
      </c>
      <c r="H170" t="s">
        <v>206</v>
      </c>
      <c r="I170" s="6">
        <f ca="1">(TODAY()-staff[[#This Row],[Date Joined]])/365</f>
        <v>3.0767123287671234</v>
      </c>
      <c r="J170" s="16">
        <f ca="1">ROUNDUP(IF(staff[[#This Row],[Tenure]]&gt;2,3%,2%)*staff[[#This Row],[Salary]],0)</f>
        <v>3426</v>
      </c>
      <c r="K170" s="3">
        <f>_xlfn.XLOOKUP(staff[[#This Row],[Rating]],mapping!$B$2:$B$6,mapping!$C$2:$C$6)</f>
        <v>3</v>
      </c>
    </row>
    <row r="171" spans="1:11" x14ac:dyDescent="0.25">
      <c r="A171" s="3" t="s">
        <v>79</v>
      </c>
      <c r="B171" s="3" t="s">
        <v>15</v>
      </c>
      <c r="C171" s="3" t="s">
        <v>23</v>
      </c>
      <c r="D171">
        <v>43</v>
      </c>
      <c r="E171" s="4">
        <v>45045</v>
      </c>
      <c r="F171" s="17">
        <v>114870</v>
      </c>
      <c r="G171" t="s">
        <v>13</v>
      </c>
      <c r="H171" t="s">
        <v>205</v>
      </c>
      <c r="I171" s="6">
        <f ca="1">(TODAY()-staff[[#This Row],[Date Joined]])/365</f>
        <v>2.3753424657534246</v>
      </c>
      <c r="J171" s="16">
        <f ca="1">ROUNDUP(IF(staff[[#This Row],[Tenure]]&gt;2,3%,2%)*staff[[#This Row],[Salary]],0)</f>
        <v>3447</v>
      </c>
      <c r="K171" s="3">
        <f>_xlfn.XLOOKUP(staff[[#This Row],[Rating]],mapping!$B$2:$B$6,mapping!$C$2:$C$6)</f>
        <v>3</v>
      </c>
    </row>
    <row r="172" spans="1:11" x14ac:dyDescent="0.25">
      <c r="A172" s="3" t="s">
        <v>137</v>
      </c>
      <c r="B172" s="3" t="s">
        <v>15</v>
      </c>
      <c r="C172" s="3" t="s">
        <v>23</v>
      </c>
      <c r="D172">
        <v>44</v>
      </c>
      <c r="E172" s="4">
        <v>44985</v>
      </c>
      <c r="F172" s="17">
        <v>114870</v>
      </c>
      <c r="G172" t="s">
        <v>13</v>
      </c>
      <c r="H172" t="s">
        <v>206</v>
      </c>
      <c r="I172" s="6">
        <f ca="1">(TODAY()-staff[[#This Row],[Date Joined]])/365</f>
        <v>2.5397260273972604</v>
      </c>
      <c r="J172" s="16">
        <f ca="1">ROUNDUP(IF(staff[[#This Row],[Tenure]]&gt;2,3%,2%)*staff[[#This Row],[Salary]],0)</f>
        <v>3447</v>
      </c>
      <c r="K172" s="3">
        <f>_xlfn.XLOOKUP(staff[[#This Row],[Rating]],mapping!$B$2:$B$6,mapping!$C$2:$C$6)</f>
        <v>3</v>
      </c>
    </row>
    <row r="173" spans="1:11" x14ac:dyDescent="0.25">
      <c r="A173" s="3" t="s">
        <v>71</v>
      </c>
      <c r="B173" s="3" t="s">
        <v>15</v>
      </c>
      <c r="C173" s="3" t="s">
        <v>12</v>
      </c>
      <c r="D173">
        <v>36</v>
      </c>
      <c r="E173" s="4">
        <v>44085</v>
      </c>
      <c r="F173" s="17">
        <v>114890</v>
      </c>
      <c r="G173" t="s">
        <v>13</v>
      </c>
      <c r="H173" t="s">
        <v>205</v>
      </c>
      <c r="I173" s="6">
        <f ca="1">(TODAY()-staff[[#This Row],[Date Joined]])/365</f>
        <v>5.0054794520547947</v>
      </c>
      <c r="J173" s="16">
        <f ca="1">ROUNDUP(IF(staff[[#This Row],[Tenure]]&gt;2,3%,2%)*staff[[#This Row],[Salary]],0)</f>
        <v>3447</v>
      </c>
      <c r="K173" s="3">
        <f>_xlfn.XLOOKUP(staff[[#This Row],[Rating]],mapping!$B$2:$B$6,mapping!$C$2:$C$6)</f>
        <v>3</v>
      </c>
    </row>
    <row r="174" spans="1:11" x14ac:dyDescent="0.25">
      <c r="A174" s="3" t="s">
        <v>148</v>
      </c>
      <c r="B174" s="3" t="s">
        <v>15</v>
      </c>
      <c r="C174" s="3" t="s">
        <v>12</v>
      </c>
      <c r="D174">
        <v>36</v>
      </c>
      <c r="E174" s="4">
        <v>44023</v>
      </c>
      <c r="F174" s="17">
        <v>114890</v>
      </c>
      <c r="G174" t="s">
        <v>13</v>
      </c>
      <c r="H174" t="s">
        <v>206</v>
      </c>
      <c r="I174" s="6">
        <f ca="1">(TODAY()-staff[[#This Row],[Date Joined]])/365</f>
        <v>5.1753424657534248</v>
      </c>
      <c r="J174" s="16">
        <f ca="1">ROUNDUP(IF(staff[[#This Row],[Tenure]]&gt;2,3%,2%)*staff[[#This Row],[Salary]],0)</f>
        <v>3447</v>
      </c>
      <c r="K174" s="3">
        <f>_xlfn.XLOOKUP(staff[[#This Row],[Rating]],mapping!$B$2:$B$6,mapping!$C$2:$C$6)</f>
        <v>3</v>
      </c>
    </row>
    <row r="175" spans="1:11" x14ac:dyDescent="0.25">
      <c r="A175" s="3" t="s">
        <v>16</v>
      </c>
      <c r="B175" s="3" t="s">
        <v>207</v>
      </c>
      <c r="C175" s="3" t="s">
        <v>17</v>
      </c>
      <c r="D175">
        <v>37</v>
      </c>
      <c r="E175" s="4">
        <v>44146</v>
      </c>
      <c r="F175" s="17">
        <v>115440</v>
      </c>
      <c r="G175" t="s">
        <v>18</v>
      </c>
      <c r="H175" t="s">
        <v>205</v>
      </c>
      <c r="I175" s="6">
        <f ca="1">(TODAY()-staff[[#This Row],[Date Joined]])/365</f>
        <v>4.838356164383562</v>
      </c>
      <c r="J175" s="16">
        <f ca="1">ROUNDUP(IF(staff[[#This Row],[Tenure]]&gt;2,3%,2%)*staff[[#This Row],[Salary]],0)</f>
        <v>3464</v>
      </c>
      <c r="K175" s="3">
        <f>_xlfn.XLOOKUP(staff[[#This Row],[Rating]],mapping!$B$2:$B$6,mapping!$C$2:$C$6)</f>
        <v>2</v>
      </c>
    </row>
    <row r="176" spans="1:11" x14ac:dyDescent="0.25">
      <c r="A176" s="3" t="s">
        <v>114</v>
      </c>
      <c r="B176" s="3" t="s">
        <v>207</v>
      </c>
      <c r="C176" s="3" t="s">
        <v>17</v>
      </c>
      <c r="D176">
        <v>37</v>
      </c>
      <c r="E176" s="4">
        <v>44085</v>
      </c>
      <c r="F176" s="17">
        <v>115440</v>
      </c>
      <c r="G176" t="s">
        <v>18</v>
      </c>
      <c r="H176" t="s">
        <v>206</v>
      </c>
      <c r="I176" s="6">
        <f ca="1">(TODAY()-staff[[#This Row],[Date Joined]])/365</f>
        <v>5.0054794520547947</v>
      </c>
      <c r="J176" s="16">
        <f ca="1">ROUNDUP(IF(staff[[#This Row],[Tenure]]&gt;2,3%,2%)*staff[[#This Row],[Salary]],0)</f>
        <v>3464</v>
      </c>
      <c r="K176" s="3">
        <f>_xlfn.XLOOKUP(staff[[#This Row],[Rating]],mapping!$B$2:$B$6,mapping!$C$2:$C$6)</f>
        <v>2</v>
      </c>
    </row>
    <row r="177" spans="1:11" x14ac:dyDescent="0.25">
      <c r="A177" s="3" t="s">
        <v>50</v>
      </c>
      <c r="B177" s="3" t="s">
        <v>8</v>
      </c>
      <c r="C177" s="3" t="s">
        <v>12</v>
      </c>
      <c r="D177">
        <v>33</v>
      </c>
      <c r="E177" s="4">
        <v>44164</v>
      </c>
      <c r="F177" s="17">
        <v>115920</v>
      </c>
      <c r="G177" t="s">
        <v>13</v>
      </c>
      <c r="H177" t="s">
        <v>205</v>
      </c>
      <c r="I177" s="6">
        <f ca="1">(TODAY()-staff[[#This Row],[Date Joined]])/365</f>
        <v>4.7890410958904113</v>
      </c>
      <c r="J177" s="16">
        <f ca="1">ROUNDUP(IF(staff[[#This Row],[Tenure]]&gt;2,3%,2%)*staff[[#This Row],[Salary]],0)</f>
        <v>3478</v>
      </c>
      <c r="K177" s="3">
        <f>_xlfn.XLOOKUP(staff[[#This Row],[Rating]],mapping!$B$2:$B$6,mapping!$C$2:$C$6)</f>
        <v>3</v>
      </c>
    </row>
    <row r="178" spans="1:11" x14ac:dyDescent="0.25">
      <c r="A178" s="3" t="s">
        <v>163</v>
      </c>
      <c r="B178" s="3" t="s">
        <v>8</v>
      </c>
      <c r="C178" s="3" t="s">
        <v>12</v>
      </c>
      <c r="D178">
        <v>33</v>
      </c>
      <c r="E178" s="4">
        <v>44103</v>
      </c>
      <c r="F178" s="17">
        <v>115920</v>
      </c>
      <c r="G178" t="s">
        <v>13</v>
      </c>
      <c r="H178" t="s">
        <v>206</v>
      </c>
      <c r="I178" s="6">
        <f ca="1">(TODAY()-staff[[#This Row],[Date Joined]])/365</f>
        <v>4.956164383561644</v>
      </c>
      <c r="J178" s="16">
        <f ca="1">ROUNDUP(IF(staff[[#This Row],[Tenure]]&gt;2,3%,2%)*staff[[#This Row],[Salary]],0)</f>
        <v>3478</v>
      </c>
      <c r="K178" s="3">
        <f>_xlfn.XLOOKUP(staff[[#This Row],[Rating]],mapping!$B$2:$B$6,mapping!$C$2:$C$6)</f>
        <v>3</v>
      </c>
    </row>
    <row r="179" spans="1:11" x14ac:dyDescent="0.25">
      <c r="A179" s="3" t="s">
        <v>77</v>
      </c>
      <c r="B179" s="3" t="s">
        <v>15</v>
      </c>
      <c r="C179" s="3" t="s">
        <v>26</v>
      </c>
      <c r="D179">
        <v>37</v>
      </c>
      <c r="E179" s="4">
        <v>44451</v>
      </c>
      <c r="F179" s="17">
        <v>118100</v>
      </c>
      <c r="G179" t="s">
        <v>13</v>
      </c>
      <c r="H179" t="s">
        <v>205</v>
      </c>
      <c r="I179" s="6">
        <f ca="1">(TODAY()-staff[[#This Row],[Date Joined]])/365</f>
        <v>4.0027397260273974</v>
      </c>
      <c r="J179" s="16">
        <f ca="1">ROUNDUP(IF(staff[[#This Row],[Tenure]]&gt;2,3%,2%)*staff[[#This Row],[Salary]],0)</f>
        <v>3543</v>
      </c>
      <c r="K179" s="3">
        <f>_xlfn.XLOOKUP(staff[[#This Row],[Rating]],mapping!$B$2:$B$6,mapping!$C$2:$C$6)</f>
        <v>3</v>
      </c>
    </row>
    <row r="180" spans="1:11" x14ac:dyDescent="0.25">
      <c r="A180" s="3" t="s">
        <v>185</v>
      </c>
      <c r="B180" s="3" t="s">
        <v>15</v>
      </c>
      <c r="C180" s="3" t="s">
        <v>26</v>
      </c>
      <c r="D180">
        <v>37</v>
      </c>
      <c r="E180" s="4">
        <v>44389</v>
      </c>
      <c r="F180" s="17">
        <v>118100</v>
      </c>
      <c r="G180" t="s">
        <v>13</v>
      </c>
      <c r="H180" t="s">
        <v>206</v>
      </c>
      <c r="I180" s="6">
        <f ca="1">(TODAY()-staff[[#This Row],[Date Joined]])/365</f>
        <v>4.1726027397260275</v>
      </c>
      <c r="J180" s="16">
        <f ca="1">ROUNDUP(IF(staff[[#This Row],[Tenure]]&gt;2,3%,2%)*staff[[#This Row],[Salary]],0)</f>
        <v>3543</v>
      </c>
      <c r="K180" s="3">
        <f>_xlfn.XLOOKUP(staff[[#This Row],[Rating]],mapping!$B$2:$B$6,mapping!$C$2:$C$6)</f>
        <v>3</v>
      </c>
    </row>
    <row r="181" spans="1:11" x14ac:dyDescent="0.25">
      <c r="A181" s="3" t="s">
        <v>68</v>
      </c>
      <c r="B181" s="3" t="s">
        <v>8</v>
      </c>
      <c r="C181" s="3" t="s">
        <v>23</v>
      </c>
      <c r="D181">
        <v>36</v>
      </c>
      <c r="E181" s="4">
        <v>44019</v>
      </c>
      <c r="F181" s="17">
        <v>118840</v>
      </c>
      <c r="G181" t="s">
        <v>13</v>
      </c>
      <c r="H181" t="s">
        <v>205</v>
      </c>
      <c r="I181" s="6">
        <f ca="1">(TODAY()-staff[[#This Row],[Date Joined]])/365</f>
        <v>5.1863013698630134</v>
      </c>
      <c r="J181" s="16">
        <f ca="1">ROUNDUP(IF(staff[[#This Row],[Tenure]]&gt;2,3%,2%)*staff[[#This Row],[Salary]],0)</f>
        <v>3566</v>
      </c>
      <c r="K181" s="3">
        <f>_xlfn.XLOOKUP(staff[[#This Row],[Rating]],mapping!$B$2:$B$6,mapping!$C$2:$C$6)</f>
        <v>3</v>
      </c>
    </row>
    <row r="182" spans="1:11" x14ac:dyDescent="0.25">
      <c r="A182" s="3" t="s">
        <v>126</v>
      </c>
      <c r="B182" s="3" t="s">
        <v>8</v>
      </c>
      <c r="C182" s="3" t="s">
        <v>23</v>
      </c>
      <c r="D182">
        <v>36</v>
      </c>
      <c r="E182" s="4">
        <v>43958</v>
      </c>
      <c r="F182" s="17">
        <v>118840</v>
      </c>
      <c r="G182" t="s">
        <v>13</v>
      </c>
      <c r="H182" t="s">
        <v>206</v>
      </c>
      <c r="I182" s="6">
        <f ca="1">(TODAY()-staff[[#This Row],[Date Joined]])/365</f>
        <v>5.353424657534247</v>
      </c>
      <c r="J182" s="16">
        <f ca="1">ROUNDUP(IF(staff[[#This Row],[Tenure]]&gt;2,3%,2%)*staff[[#This Row],[Salary]],0)</f>
        <v>3566</v>
      </c>
      <c r="K182" s="3">
        <f>_xlfn.XLOOKUP(staff[[#This Row],[Rating]],mapping!$B$2:$B$6,mapping!$C$2:$C$6)</f>
        <v>3</v>
      </c>
    </row>
    <row r="183" spans="1:11" x14ac:dyDescent="0.25">
      <c r="A183" s="3" t="s">
        <v>25</v>
      </c>
      <c r="B183" s="3" t="s">
        <v>15</v>
      </c>
      <c r="C183" s="3" t="s">
        <v>26</v>
      </c>
      <c r="D183">
        <v>27</v>
      </c>
      <c r="E183" s="4">
        <v>44122</v>
      </c>
      <c r="F183" s="17">
        <v>119110</v>
      </c>
      <c r="G183" t="s">
        <v>13</v>
      </c>
      <c r="H183" t="s">
        <v>205</v>
      </c>
      <c r="I183" s="6">
        <f ca="1">(TODAY()-staff[[#This Row],[Date Joined]])/365</f>
        <v>4.904109589041096</v>
      </c>
      <c r="J183" s="16">
        <f ca="1">ROUNDUP(IF(staff[[#This Row],[Tenure]]&gt;2,3%,2%)*staff[[#This Row],[Salary]],0)</f>
        <v>3574</v>
      </c>
      <c r="K183" s="3">
        <f>_xlfn.XLOOKUP(staff[[#This Row],[Rating]],mapping!$B$2:$B$6,mapping!$C$2:$C$6)</f>
        <v>3</v>
      </c>
    </row>
    <row r="184" spans="1:11" x14ac:dyDescent="0.25">
      <c r="A184" s="3" t="s">
        <v>146</v>
      </c>
      <c r="B184" s="3" t="s">
        <v>15</v>
      </c>
      <c r="C184" s="3" t="s">
        <v>26</v>
      </c>
      <c r="D184">
        <v>27</v>
      </c>
      <c r="E184" s="4">
        <v>44061</v>
      </c>
      <c r="F184" s="17">
        <v>119110</v>
      </c>
      <c r="G184" t="s">
        <v>13</v>
      </c>
      <c r="H184" t="s">
        <v>206</v>
      </c>
      <c r="I184" s="6">
        <f ca="1">(TODAY()-staff[[#This Row],[Date Joined]])/365</f>
        <v>5.0712328767123287</v>
      </c>
      <c r="J184" s="16">
        <f ca="1">ROUNDUP(IF(staff[[#This Row],[Tenure]]&gt;2,3%,2%)*staff[[#This Row],[Salary]],0)</f>
        <v>3574</v>
      </c>
      <c r="K184" s="3">
        <f>_xlfn.XLOOKUP(staff[[#This Row],[Rating]],mapping!$B$2:$B$6,mapping!$C$2:$C$6)</f>
        <v>3</v>
      </c>
    </row>
  </sheetData>
  <conditionalFormatting sqref="F1:F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E64FA-6938-4D3B-AD56-6B3ACBFC8D12}">
  <dimension ref="B2:U40"/>
  <sheetViews>
    <sheetView topLeftCell="R1" zoomScaleNormal="100" workbookViewId="0">
      <selection activeCell="V14" sqref="V14"/>
    </sheetView>
  </sheetViews>
  <sheetFormatPr defaultRowHeight="15" x14ac:dyDescent="0.25"/>
  <cols>
    <col min="2" max="2" width="13.42578125" bestFit="1" customWidth="1"/>
    <col min="3" max="3" width="14.7109375" bestFit="1" customWidth="1"/>
    <col min="19" max="19" width="9.140625" style="1"/>
    <col min="20" max="20" width="10.5703125" bestFit="1" customWidth="1"/>
    <col min="21" max="21" width="12.7109375" bestFit="1" customWidth="1"/>
  </cols>
  <sheetData>
    <row r="2" spans="2:21" x14ac:dyDescent="0.25">
      <c r="B2" s="14" t="s">
        <v>229</v>
      </c>
      <c r="C2" t="s">
        <v>223</v>
      </c>
    </row>
    <row r="3" spans="2:21" x14ac:dyDescent="0.25">
      <c r="B3" s="10" t="s">
        <v>231</v>
      </c>
      <c r="C3" s="3"/>
    </row>
    <row r="4" spans="2:21" x14ac:dyDescent="0.25">
      <c r="B4" s="23" t="s">
        <v>235</v>
      </c>
      <c r="C4" s="3">
        <v>3</v>
      </c>
      <c r="S4" s="1" t="s">
        <v>247</v>
      </c>
      <c r="T4" t="s">
        <v>248</v>
      </c>
      <c r="U4" t="s">
        <v>249</v>
      </c>
    </row>
    <row r="5" spans="2:21" x14ac:dyDescent="0.25">
      <c r="B5" s="23" t="s">
        <v>236</v>
      </c>
      <c r="C5" s="3">
        <v>4</v>
      </c>
      <c r="R5" cm="1">
        <f t="array" ref="R5:R40">_xlfn.SEQUENCE(36)</f>
        <v>1</v>
      </c>
      <c r="S5" s="1" cm="1">
        <f t="array" ref="S5:S40">EDATE(DATE(2020,4,1),_xlfn.ANCHORARRAY(R5)+0)</f>
        <v>43952</v>
      </c>
      <c r="T5">
        <f>COUNTIFS(staff[Date Joined],"&gt;="&amp;S5,staff[Date Joined],"&lt;="&amp;EOMONTH(S5,0))</f>
        <v>3</v>
      </c>
      <c r="U5">
        <f>SUM($T$5:T5)</f>
        <v>3</v>
      </c>
    </row>
    <row r="6" spans="2:21" x14ac:dyDescent="0.25">
      <c r="B6" s="23" t="s">
        <v>237</v>
      </c>
      <c r="C6" s="3">
        <v>9</v>
      </c>
      <c r="R6">
        <v>2</v>
      </c>
      <c r="S6" s="1">
        <v>43983</v>
      </c>
      <c r="T6">
        <f>COUNTIFS(staff[Date Joined],"&gt;="&amp;S6,staff[Date Joined],"&lt;="&amp;EOMONTH(S6,0))</f>
        <v>1</v>
      </c>
      <c r="U6">
        <f>SUM($T$5:T6)</f>
        <v>4</v>
      </c>
    </row>
    <row r="7" spans="2:21" x14ac:dyDescent="0.25">
      <c r="B7" s="23" t="s">
        <v>238</v>
      </c>
      <c r="C7" s="3">
        <v>12</v>
      </c>
      <c r="R7">
        <v>3</v>
      </c>
      <c r="S7" s="1">
        <v>44013</v>
      </c>
      <c r="T7">
        <f>COUNTIFS(staff[Date Joined],"&gt;="&amp;S7,staff[Date Joined],"&lt;="&amp;EOMONTH(S7,0))</f>
        <v>5</v>
      </c>
      <c r="U7">
        <f>SUM($T$5:T7)</f>
        <v>9</v>
      </c>
    </row>
    <row r="8" spans="2:21" x14ac:dyDescent="0.25">
      <c r="B8" s="23" t="s">
        <v>239</v>
      </c>
      <c r="C8" s="3">
        <v>18</v>
      </c>
      <c r="R8">
        <v>4</v>
      </c>
      <c r="S8" s="1">
        <v>44044</v>
      </c>
      <c r="T8">
        <f>COUNTIFS(staff[Date Joined],"&gt;="&amp;S8,staff[Date Joined],"&lt;="&amp;EOMONTH(S8,0))</f>
        <v>3</v>
      </c>
      <c r="U8">
        <f>SUM($T$5:T8)</f>
        <v>12</v>
      </c>
    </row>
    <row r="9" spans="2:21" x14ac:dyDescent="0.25">
      <c r="B9" s="23" t="s">
        <v>240</v>
      </c>
      <c r="C9" s="3">
        <v>24</v>
      </c>
      <c r="R9">
        <v>5</v>
      </c>
      <c r="S9" s="1">
        <v>44075</v>
      </c>
      <c r="T9">
        <f>COUNTIFS(staff[Date Joined],"&gt;="&amp;S9,staff[Date Joined],"&lt;="&amp;EOMONTH(S9,0))</f>
        <v>6</v>
      </c>
      <c r="U9">
        <f>SUM($T$5:T9)</f>
        <v>18</v>
      </c>
    </row>
    <row r="10" spans="2:21" x14ac:dyDescent="0.25">
      <c r="B10" s="23" t="s">
        <v>241</v>
      </c>
      <c r="C10" s="3">
        <v>30</v>
      </c>
      <c r="R10">
        <v>6</v>
      </c>
      <c r="S10" s="1">
        <v>44105</v>
      </c>
      <c r="T10">
        <f>COUNTIFS(staff[Date Joined],"&gt;="&amp;S10,staff[Date Joined],"&lt;="&amp;EOMONTH(S10,0))</f>
        <v>6</v>
      </c>
      <c r="U10">
        <f>SUM($T$5:T10)</f>
        <v>24</v>
      </c>
    </row>
    <row r="11" spans="2:21" x14ac:dyDescent="0.25">
      <c r="B11" s="23" t="s">
        <v>242</v>
      </c>
      <c r="C11" s="3">
        <v>37</v>
      </c>
      <c r="R11">
        <v>7</v>
      </c>
      <c r="S11" s="1">
        <v>44136</v>
      </c>
      <c r="T11">
        <f>COUNTIFS(staff[Date Joined],"&gt;="&amp;S11,staff[Date Joined],"&lt;="&amp;EOMONTH(S11,0))</f>
        <v>6</v>
      </c>
      <c r="U11">
        <f>SUM($T$5:T11)</f>
        <v>30</v>
      </c>
    </row>
    <row r="12" spans="2:21" x14ac:dyDescent="0.25">
      <c r="B12" s="10" t="s">
        <v>232</v>
      </c>
      <c r="C12" s="3"/>
      <c r="R12">
        <v>8</v>
      </c>
      <c r="S12" s="1">
        <v>44166</v>
      </c>
      <c r="T12">
        <f>COUNTIFS(staff[Date Joined],"&gt;="&amp;S12,staff[Date Joined],"&lt;="&amp;EOMONTH(S12,0))</f>
        <v>7</v>
      </c>
      <c r="U12">
        <f>SUM($T$5:T12)</f>
        <v>37</v>
      </c>
    </row>
    <row r="13" spans="2:21" x14ac:dyDescent="0.25">
      <c r="B13" s="23" t="s">
        <v>243</v>
      </c>
      <c r="C13" s="3">
        <v>6</v>
      </c>
      <c r="R13">
        <v>9</v>
      </c>
      <c r="S13" s="1">
        <v>44197</v>
      </c>
      <c r="T13">
        <f>COUNTIFS(staff[Date Joined],"&gt;="&amp;S13,staff[Date Joined],"&lt;="&amp;EOMONTH(S13,0))</f>
        <v>6</v>
      </c>
      <c r="U13">
        <f>SUM($T$5:T13)</f>
        <v>43</v>
      </c>
    </row>
    <row r="14" spans="2:21" x14ac:dyDescent="0.25">
      <c r="B14" s="23" t="s">
        <v>244</v>
      </c>
      <c r="C14" s="3">
        <v>10</v>
      </c>
      <c r="R14">
        <v>10</v>
      </c>
      <c r="S14" s="1">
        <v>44228</v>
      </c>
      <c r="T14">
        <f>COUNTIFS(staff[Date Joined],"&gt;="&amp;S14,staff[Date Joined],"&lt;="&amp;EOMONTH(S14,0))</f>
        <v>4</v>
      </c>
      <c r="U14">
        <f>SUM($T$5:T14)</f>
        <v>47</v>
      </c>
    </row>
    <row r="15" spans="2:21" x14ac:dyDescent="0.25">
      <c r="B15" s="23" t="s">
        <v>245</v>
      </c>
      <c r="C15" s="3">
        <v>19</v>
      </c>
      <c r="R15">
        <v>11</v>
      </c>
      <c r="S15" s="1">
        <v>44256</v>
      </c>
      <c r="T15">
        <f>COUNTIFS(staff[Date Joined],"&gt;="&amp;S15,staff[Date Joined],"&lt;="&amp;EOMONTH(S15,0))</f>
        <v>9</v>
      </c>
      <c r="U15">
        <f>SUM($T$5:T15)</f>
        <v>56</v>
      </c>
    </row>
    <row r="16" spans="2:21" x14ac:dyDescent="0.25">
      <c r="B16" s="23" t="s">
        <v>246</v>
      </c>
      <c r="C16" s="3">
        <v>24</v>
      </c>
      <c r="R16">
        <v>12</v>
      </c>
      <c r="S16" s="1">
        <v>44287</v>
      </c>
      <c r="T16">
        <f>COUNTIFS(staff[Date Joined],"&gt;="&amp;S16,staff[Date Joined],"&lt;="&amp;EOMONTH(S16,0))</f>
        <v>5</v>
      </c>
      <c r="U16">
        <f>SUM($T$5:T16)</f>
        <v>61</v>
      </c>
    </row>
    <row r="17" spans="2:21" x14ac:dyDescent="0.25">
      <c r="B17" s="23" t="s">
        <v>235</v>
      </c>
      <c r="C17" s="3">
        <v>34</v>
      </c>
      <c r="R17">
        <v>13</v>
      </c>
      <c r="S17" s="1">
        <v>44317</v>
      </c>
      <c r="T17">
        <f>COUNTIFS(staff[Date Joined],"&gt;="&amp;S17,staff[Date Joined],"&lt;="&amp;EOMONTH(S17,0))</f>
        <v>10</v>
      </c>
      <c r="U17">
        <f>SUM($T$5:T17)</f>
        <v>71</v>
      </c>
    </row>
    <row r="18" spans="2:21" x14ac:dyDescent="0.25">
      <c r="B18" s="23" t="s">
        <v>236</v>
      </c>
      <c r="C18" s="3">
        <v>40</v>
      </c>
      <c r="R18">
        <v>14</v>
      </c>
      <c r="S18" s="1">
        <v>44348</v>
      </c>
      <c r="T18">
        <f>COUNTIFS(staff[Date Joined],"&gt;="&amp;S18,staff[Date Joined],"&lt;="&amp;EOMONTH(S18,0))</f>
        <v>6</v>
      </c>
      <c r="U18">
        <f>SUM($T$5:T18)</f>
        <v>77</v>
      </c>
    </row>
    <row r="19" spans="2:21" x14ac:dyDescent="0.25">
      <c r="B19" s="23" t="s">
        <v>237</v>
      </c>
      <c r="C19" s="3">
        <v>53</v>
      </c>
      <c r="R19">
        <v>15</v>
      </c>
      <c r="S19" s="1">
        <v>44378</v>
      </c>
      <c r="T19">
        <f>COUNTIFS(staff[Date Joined],"&gt;="&amp;S19,staff[Date Joined],"&lt;="&amp;EOMONTH(S19,0))</f>
        <v>13</v>
      </c>
      <c r="U19">
        <f>SUM($T$5:T19)</f>
        <v>90</v>
      </c>
    </row>
    <row r="20" spans="2:21" x14ac:dyDescent="0.25">
      <c r="B20" s="23" t="s">
        <v>238</v>
      </c>
      <c r="C20" s="3">
        <v>57</v>
      </c>
      <c r="R20">
        <v>16</v>
      </c>
      <c r="S20" s="1">
        <v>44409</v>
      </c>
      <c r="T20">
        <f>COUNTIFS(staff[Date Joined],"&gt;="&amp;S20,staff[Date Joined],"&lt;="&amp;EOMONTH(S20,0))</f>
        <v>4</v>
      </c>
      <c r="U20">
        <f>SUM($T$5:T20)</f>
        <v>94</v>
      </c>
    </row>
    <row r="21" spans="2:21" x14ac:dyDescent="0.25">
      <c r="B21" s="23" t="s">
        <v>239</v>
      </c>
      <c r="C21" s="3">
        <v>68</v>
      </c>
      <c r="R21">
        <v>17</v>
      </c>
      <c r="S21" s="1">
        <v>44440</v>
      </c>
      <c r="T21">
        <f>COUNTIFS(staff[Date Joined],"&gt;="&amp;S21,staff[Date Joined],"&lt;="&amp;EOMONTH(S21,0))</f>
        <v>11</v>
      </c>
      <c r="U21">
        <f>SUM($T$5:T21)</f>
        <v>105</v>
      </c>
    </row>
    <row r="22" spans="2:21" x14ac:dyDescent="0.25">
      <c r="B22" s="23" t="s">
        <v>240</v>
      </c>
      <c r="C22" s="3">
        <v>71</v>
      </c>
      <c r="R22">
        <v>18</v>
      </c>
      <c r="S22" s="1">
        <v>44470</v>
      </c>
      <c r="T22">
        <f>COUNTIFS(staff[Date Joined],"&gt;="&amp;S22,staff[Date Joined],"&lt;="&amp;EOMONTH(S22,0))</f>
        <v>3</v>
      </c>
      <c r="U22">
        <f>SUM($T$5:T22)</f>
        <v>108</v>
      </c>
    </row>
    <row r="23" spans="2:21" x14ac:dyDescent="0.25">
      <c r="B23" s="23" t="s">
        <v>241</v>
      </c>
      <c r="C23" s="3">
        <v>75</v>
      </c>
      <c r="R23">
        <v>19</v>
      </c>
      <c r="S23" s="1">
        <v>44501</v>
      </c>
      <c r="T23">
        <f>COUNTIFS(staff[Date Joined],"&gt;="&amp;S23,staff[Date Joined],"&lt;="&amp;EOMONTH(S23,0))</f>
        <v>4</v>
      </c>
      <c r="U23">
        <f>SUM($T$5:T23)</f>
        <v>112</v>
      </c>
    </row>
    <row r="24" spans="2:21" x14ac:dyDescent="0.25">
      <c r="B24" s="23" t="s">
        <v>242</v>
      </c>
      <c r="C24" s="3">
        <v>82</v>
      </c>
      <c r="R24">
        <v>20</v>
      </c>
      <c r="S24" s="1">
        <v>44531</v>
      </c>
      <c r="T24">
        <f>COUNTIFS(staff[Date Joined],"&gt;="&amp;S24,staff[Date Joined],"&lt;="&amp;EOMONTH(S24,0))</f>
        <v>7</v>
      </c>
      <c r="U24">
        <f>SUM($T$5:T24)</f>
        <v>119</v>
      </c>
    </row>
    <row r="25" spans="2:21" x14ac:dyDescent="0.25">
      <c r="B25" s="10" t="s">
        <v>233</v>
      </c>
      <c r="C25" s="3"/>
      <c r="R25">
        <v>21</v>
      </c>
      <c r="S25" s="1">
        <v>44562</v>
      </c>
      <c r="T25">
        <f>COUNTIFS(staff[Date Joined],"&gt;="&amp;S25,staff[Date Joined],"&lt;="&amp;EOMONTH(S25,0))</f>
        <v>3</v>
      </c>
      <c r="U25">
        <f>SUM($T$5:T25)</f>
        <v>122</v>
      </c>
    </row>
    <row r="26" spans="2:21" x14ac:dyDescent="0.25">
      <c r="B26" s="23" t="s">
        <v>243</v>
      </c>
      <c r="C26" s="3">
        <v>3</v>
      </c>
      <c r="R26">
        <v>22</v>
      </c>
      <c r="S26" s="1">
        <v>44593</v>
      </c>
      <c r="T26">
        <f>COUNTIFS(staff[Date Joined],"&gt;="&amp;S26,staff[Date Joined],"&lt;="&amp;EOMONTH(S26,0))</f>
        <v>10</v>
      </c>
      <c r="U26">
        <f>SUM($T$5:T26)</f>
        <v>132</v>
      </c>
    </row>
    <row r="27" spans="2:21" x14ac:dyDescent="0.25">
      <c r="B27" s="23" t="s">
        <v>244</v>
      </c>
      <c r="C27" s="3">
        <v>13</v>
      </c>
      <c r="R27">
        <v>23</v>
      </c>
      <c r="S27" s="1">
        <v>44621</v>
      </c>
      <c r="T27">
        <f>COUNTIFS(staff[Date Joined],"&gt;="&amp;S27,staff[Date Joined],"&lt;="&amp;EOMONTH(S27,0))</f>
        <v>9</v>
      </c>
      <c r="U27">
        <f>SUM($T$5:T27)</f>
        <v>141</v>
      </c>
    </row>
    <row r="28" spans="2:21" x14ac:dyDescent="0.25">
      <c r="B28" s="23" t="s">
        <v>245</v>
      </c>
      <c r="C28" s="3">
        <v>22</v>
      </c>
      <c r="R28">
        <v>24</v>
      </c>
      <c r="S28" s="1">
        <v>44652</v>
      </c>
      <c r="T28">
        <f>COUNTIFS(staff[Date Joined],"&gt;="&amp;S28,staff[Date Joined],"&lt;="&amp;EOMONTH(S28,0))</f>
        <v>9</v>
      </c>
      <c r="U28">
        <f>SUM($T$5:T28)</f>
        <v>150</v>
      </c>
    </row>
    <row r="29" spans="2:21" x14ac:dyDescent="0.25">
      <c r="B29" s="23" t="s">
        <v>246</v>
      </c>
      <c r="C29" s="3">
        <v>31</v>
      </c>
      <c r="R29">
        <v>25</v>
      </c>
      <c r="S29" s="1">
        <v>44682</v>
      </c>
      <c r="T29">
        <f>COUNTIFS(staff[Date Joined],"&gt;="&amp;S29,staff[Date Joined],"&lt;="&amp;EOMONTH(S29,0))</f>
        <v>9</v>
      </c>
      <c r="U29">
        <f>SUM($T$5:T29)</f>
        <v>159</v>
      </c>
    </row>
    <row r="30" spans="2:21" x14ac:dyDescent="0.25">
      <c r="B30" s="23" t="s">
        <v>235</v>
      </c>
      <c r="C30" s="3">
        <v>40</v>
      </c>
      <c r="R30">
        <v>26</v>
      </c>
      <c r="S30" s="1">
        <v>44713</v>
      </c>
      <c r="T30">
        <f>COUNTIFS(staff[Date Joined],"&gt;="&amp;S30,staff[Date Joined],"&lt;="&amp;EOMONTH(S30,0))</f>
        <v>7</v>
      </c>
      <c r="U30">
        <f>SUM($T$5:T30)</f>
        <v>166</v>
      </c>
    </row>
    <row r="31" spans="2:21" x14ac:dyDescent="0.25">
      <c r="B31" s="23" t="s">
        <v>236</v>
      </c>
      <c r="C31" s="3">
        <v>47</v>
      </c>
      <c r="R31">
        <v>27</v>
      </c>
      <c r="S31" s="1">
        <v>44743</v>
      </c>
      <c r="T31">
        <f>COUNTIFS(staff[Date Joined],"&gt;="&amp;S31,staff[Date Joined],"&lt;="&amp;EOMONTH(S31,0))</f>
        <v>5</v>
      </c>
      <c r="U31">
        <f>SUM($T$5:T31)</f>
        <v>171</v>
      </c>
    </row>
    <row r="32" spans="2:21" x14ac:dyDescent="0.25">
      <c r="B32" s="23" t="s">
        <v>237</v>
      </c>
      <c r="C32" s="3">
        <v>52</v>
      </c>
      <c r="R32">
        <v>28</v>
      </c>
      <c r="S32" s="1">
        <v>44774</v>
      </c>
      <c r="T32">
        <f>COUNTIFS(staff[Date Joined],"&gt;="&amp;S32,staff[Date Joined],"&lt;="&amp;EOMONTH(S32,0))</f>
        <v>5</v>
      </c>
      <c r="U32">
        <f>SUM($T$5:T32)</f>
        <v>176</v>
      </c>
    </row>
    <row r="33" spans="2:21" x14ac:dyDescent="0.25">
      <c r="B33" s="23" t="s">
        <v>238</v>
      </c>
      <c r="C33" s="3">
        <v>57</v>
      </c>
      <c r="R33">
        <v>29</v>
      </c>
      <c r="S33" s="1">
        <v>44805</v>
      </c>
      <c r="T33">
        <f>COUNTIFS(staff[Date Joined],"&gt;="&amp;S33,staff[Date Joined],"&lt;="&amp;EOMONTH(S33,0))</f>
        <v>2</v>
      </c>
      <c r="U33">
        <f>SUM($T$5:T33)</f>
        <v>178</v>
      </c>
    </row>
    <row r="34" spans="2:21" x14ac:dyDescent="0.25">
      <c r="B34" s="23" t="s">
        <v>239</v>
      </c>
      <c r="C34" s="3">
        <v>59</v>
      </c>
      <c r="R34">
        <v>30</v>
      </c>
      <c r="S34" s="1">
        <v>44835</v>
      </c>
      <c r="T34">
        <f>COUNTIFS(staff[Date Joined],"&gt;="&amp;S34,staff[Date Joined],"&lt;="&amp;EOMONTH(S34,0))</f>
        <v>3</v>
      </c>
      <c r="U34">
        <f>SUM($T$5:T34)</f>
        <v>181</v>
      </c>
    </row>
    <row r="35" spans="2:21" x14ac:dyDescent="0.25">
      <c r="B35" s="23" t="s">
        <v>240</v>
      </c>
      <c r="C35" s="3">
        <v>62</v>
      </c>
      <c r="R35">
        <v>31</v>
      </c>
      <c r="S35" s="1">
        <v>44866</v>
      </c>
      <c r="T35">
        <f>COUNTIFS(staff[Date Joined],"&gt;="&amp;S35,staff[Date Joined],"&lt;="&amp;EOMONTH(S35,0))</f>
        <v>0</v>
      </c>
      <c r="U35">
        <f>SUM($T$5:T35)</f>
        <v>181</v>
      </c>
    </row>
    <row r="36" spans="2:21" x14ac:dyDescent="0.25">
      <c r="B36" s="10" t="s">
        <v>234</v>
      </c>
      <c r="C36" s="3"/>
      <c r="R36">
        <v>32</v>
      </c>
      <c r="S36" s="1">
        <v>44896</v>
      </c>
      <c r="T36">
        <f>COUNTIFS(staff[Date Joined],"&gt;="&amp;S36,staff[Date Joined],"&lt;="&amp;EOMONTH(S36,0))</f>
        <v>0</v>
      </c>
      <c r="U36">
        <f>SUM($T$5:T36)</f>
        <v>181</v>
      </c>
    </row>
    <row r="37" spans="2:21" x14ac:dyDescent="0.25">
      <c r="B37" s="23" t="s">
        <v>244</v>
      </c>
      <c r="C37" s="3">
        <v>1</v>
      </c>
      <c r="R37">
        <v>33</v>
      </c>
      <c r="S37" s="1">
        <v>44927</v>
      </c>
      <c r="T37">
        <f>COUNTIFS(staff[Date Joined],"&gt;="&amp;S37,staff[Date Joined],"&lt;="&amp;EOMONTH(S37,0))</f>
        <v>0</v>
      </c>
      <c r="U37">
        <f>SUM($T$5:T37)</f>
        <v>181</v>
      </c>
    </row>
    <row r="38" spans="2:21" x14ac:dyDescent="0.25">
      <c r="B38" s="23" t="s">
        <v>246</v>
      </c>
      <c r="C38" s="3">
        <v>2</v>
      </c>
      <c r="R38">
        <v>34</v>
      </c>
      <c r="S38" s="1">
        <v>44958</v>
      </c>
      <c r="T38">
        <f>COUNTIFS(staff[Date Joined],"&gt;="&amp;S38,staff[Date Joined],"&lt;="&amp;EOMONTH(S38,0))</f>
        <v>1</v>
      </c>
      <c r="U38">
        <f>SUM($T$5:T38)</f>
        <v>182</v>
      </c>
    </row>
    <row r="39" spans="2:21" x14ac:dyDescent="0.25">
      <c r="B39" s="10" t="s">
        <v>222</v>
      </c>
      <c r="C39" s="3"/>
      <c r="R39">
        <v>35</v>
      </c>
      <c r="S39" s="1">
        <v>44986</v>
      </c>
      <c r="T39">
        <f>COUNTIFS(staff[Date Joined],"&gt;="&amp;S39,staff[Date Joined],"&lt;="&amp;EOMONTH(S39,0))</f>
        <v>0</v>
      </c>
      <c r="U39">
        <f>SUM($T$5:T39)</f>
        <v>182</v>
      </c>
    </row>
    <row r="40" spans="2:21" x14ac:dyDescent="0.25">
      <c r="R40">
        <v>36</v>
      </c>
      <c r="S40" s="1">
        <v>45017</v>
      </c>
      <c r="T40">
        <f>COUNTIFS(staff[Date Joined],"&gt;="&amp;S40,staff[Date Joined],"&lt;="&amp;EOMONTH(S40,0))</f>
        <v>1</v>
      </c>
      <c r="U40">
        <f>SUM($T$5:T40)</f>
        <v>183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9CD4-6DE2-4649-961E-72C10A104FDF}">
  <dimension ref="C2:N24"/>
  <sheetViews>
    <sheetView tabSelected="1" zoomScale="81" workbookViewId="0">
      <selection activeCell="H4" sqref="H4"/>
    </sheetView>
  </sheetViews>
  <sheetFormatPr defaultRowHeight="15" x14ac:dyDescent="0.25"/>
  <cols>
    <col min="3" max="3" width="19.5703125" customWidth="1"/>
    <col min="4" max="4" width="2.85546875" customWidth="1"/>
    <col min="5" max="5" width="19.7109375" customWidth="1"/>
    <col min="6" max="6" width="3" customWidth="1"/>
    <col min="7" max="7" width="19.7109375" customWidth="1"/>
    <col min="10" max="10" width="19.5703125" customWidth="1"/>
    <col min="11" max="11" width="2.85546875" customWidth="1"/>
    <col min="12" max="12" width="19.7109375" customWidth="1"/>
    <col min="13" max="13" width="3" customWidth="1"/>
    <col min="14" max="14" width="19.7109375" customWidth="1"/>
  </cols>
  <sheetData>
    <row r="2" spans="3:14" x14ac:dyDescent="0.25">
      <c r="E2" s="28" t="s">
        <v>251</v>
      </c>
      <c r="L2" s="36" t="s">
        <v>206</v>
      </c>
    </row>
    <row r="4" spans="3:14" ht="109.5" customHeight="1" x14ac:dyDescent="0.25">
      <c r="C4" s="30">
        <f>COUNTIF(staff[country],"NZ")</f>
        <v>91</v>
      </c>
      <c r="E4" s="31">
        <f>COUNTIFS(staff[country],"NZ", staff[Gender],"Female")/C4</f>
        <v>0.47252747252747251</v>
      </c>
      <c r="G4" s="32">
        <f>AVERAGEIFS(staff[Salary], staff[country],"NZ")</f>
        <v>76978.791208791212</v>
      </c>
      <c r="J4" s="33">
        <f>COUNTIF(staff[country],"INDIA")</f>
        <v>92</v>
      </c>
      <c r="L4" s="34">
        <f>COUNTIFS(staff[country],"INDIA", staff[Gender],"Female")/J4</f>
        <v>0.46739130434782611</v>
      </c>
      <c r="N4" s="35">
        <f>AVERAGEIFS(staff[Salary], staff[country],"INDIA")</f>
        <v>77366.521739130432</v>
      </c>
    </row>
    <row r="7" spans="3:14" s="18" customFormat="1" ht="26.25" customHeight="1" x14ac:dyDescent="0.25">
      <c r="C7" s="29" t="s">
        <v>250</v>
      </c>
      <c r="D7" s="29"/>
      <c r="E7" s="29"/>
      <c r="F7" s="29"/>
      <c r="G7" s="29"/>
      <c r="H7" s="29"/>
      <c r="I7" s="29"/>
      <c r="J7" s="29"/>
      <c r="K7" s="29"/>
      <c r="L7" s="29"/>
      <c r="M7" s="29"/>
      <c r="N7" s="29"/>
    </row>
    <row r="9" spans="3:14" x14ac:dyDescent="0.25">
      <c r="C9" s="24"/>
      <c r="D9" s="18"/>
      <c r="E9" s="18"/>
      <c r="F9" s="18"/>
      <c r="G9" s="25"/>
      <c r="J9" s="24"/>
      <c r="K9" s="18"/>
      <c r="L9" s="18"/>
      <c r="M9" s="18"/>
      <c r="N9" s="25"/>
    </row>
    <row r="10" spans="3:14" x14ac:dyDescent="0.25">
      <c r="C10" s="24"/>
      <c r="D10" s="18"/>
      <c r="E10" s="18"/>
      <c r="F10" s="18"/>
      <c r="G10" s="25"/>
      <c r="J10" s="24"/>
      <c r="K10" s="18"/>
      <c r="L10" s="18"/>
      <c r="M10" s="18"/>
      <c r="N10" s="25"/>
    </row>
    <row r="11" spans="3:14" x14ac:dyDescent="0.25">
      <c r="C11" s="24"/>
      <c r="D11" s="18"/>
      <c r="E11" s="18"/>
      <c r="F11" s="18"/>
      <c r="G11" s="25"/>
      <c r="J11" s="24"/>
      <c r="K11" s="18"/>
      <c r="L11" s="18"/>
      <c r="M11" s="18"/>
      <c r="N11" s="25"/>
    </row>
    <row r="12" spans="3:14" x14ac:dyDescent="0.25">
      <c r="C12" s="24"/>
      <c r="D12" s="18"/>
      <c r="E12" s="18"/>
      <c r="F12" s="18"/>
      <c r="G12" s="25"/>
      <c r="J12" s="24"/>
      <c r="K12" s="18"/>
      <c r="L12" s="18"/>
      <c r="M12" s="18"/>
      <c r="N12" s="25"/>
    </row>
    <row r="13" spans="3:14" x14ac:dyDescent="0.25">
      <c r="C13" s="24"/>
      <c r="D13" s="18"/>
      <c r="E13" s="18"/>
      <c r="F13" s="18"/>
      <c r="G13" s="25"/>
      <c r="J13" s="24"/>
      <c r="K13" s="18"/>
      <c r="L13" s="18"/>
      <c r="M13" s="18"/>
      <c r="N13" s="25"/>
    </row>
    <row r="14" spans="3:14" x14ac:dyDescent="0.25">
      <c r="C14" s="24"/>
      <c r="D14" s="18"/>
      <c r="E14" s="18"/>
      <c r="F14" s="18"/>
      <c r="G14" s="25"/>
      <c r="J14" s="24"/>
      <c r="K14" s="18"/>
      <c r="L14" s="18"/>
      <c r="M14" s="18"/>
      <c r="N14" s="25"/>
    </row>
    <row r="15" spans="3:14" x14ac:dyDescent="0.25">
      <c r="C15" s="24"/>
      <c r="D15" s="18"/>
      <c r="E15" s="18"/>
      <c r="F15" s="18"/>
      <c r="G15" s="25"/>
      <c r="J15" s="24"/>
      <c r="K15" s="18"/>
      <c r="L15" s="18"/>
      <c r="M15" s="18"/>
      <c r="N15" s="25"/>
    </row>
    <row r="16" spans="3:14" x14ac:dyDescent="0.25">
      <c r="C16" s="24"/>
      <c r="D16" s="18"/>
      <c r="E16" s="18"/>
      <c r="F16" s="18"/>
      <c r="G16" s="25"/>
      <c r="J16" s="24"/>
      <c r="K16" s="18"/>
      <c r="L16" s="18"/>
      <c r="M16" s="18"/>
      <c r="N16" s="25"/>
    </row>
    <row r="17" spans="3:14" x14ac:dyDescent="0.25">
      <c r="C17" s="24"/>
      <c r="D17" s="18"/>
      <c r="E17" s="18"/>
      <c r="F17" s="18"/>
      <c r="G17" s="25"/>
      <c r="J17" s="24"/>
      <c r="K17" s="18"/>
      <c r="L17" s="18"/>
      <c r="M17" s="18"/>
      <c r="N17" s="25"/>
    </row>
    <row r="18" spans="3:14" x14ac:dyDescent="0.25">
      <c r="C18" s="24"/>
      <c r="D18" s="18"/>
      <c r="E18" s="18"/>
      <c r="F18" s="18"/>
      <c r="G18" s="25"/>
      <c r="J18" s="24"/>
      <c r="K18" s="18"/>
      <c r="L18" s="18"/>
      <c r="M18" s="18"/>
      <c r="N18" s="25"/>
    </row>
    <row r="19" spans="3:14" x14ac:dyDescent="0.25">
      <c r="C19" s="24"/>
      <c r="D19" s="18"/>
      <c r="E19" s="18"/>
      <c r="F19" s="18"/>
      <c r="G19" s="25"/>
      <c r="J19" s="24"/>
      <c r="K19" s="18"/>
      <c r="L19" s="18"/>
      <c r="M19" s="18"/>
      <c r="N19" s="25"/>
    </row>
    <row r="20" spans="3:14" x14ac:dyDescent="0.25">
      <c r="C20" s="24"/>
      <c r="D20" s="18"/>
      <c r="E20" s="18"/>
      <c r="F20" s="18"/>
      <c r="G20" s="25"/>
      <c r="J20" s="24"/>
      <c r="K20" s="18"/>
      <c r="L20" s="18"/>
      <c r="M20" s="18"/>
      <c r="N20" s="25"/>
    </row>
    <row r="21" spans="3:14" x14ac:dyDescent="0.25">
      <c r="C21" s="24"/>
      <c r="D21" s="18"/>
      <c r="E21" s="18"/>
      <c r="F21" s="18"/>
      <c r="G21" s="25"/>
      <c r="J21" s="24"/>
      <c r="K21" s="18"/>
      <c r="L21" s="18"/>
      <c r="M21" s="18"/>
      <c r="N21" s="25"/>
    </row>
    <row r="22" spans="3:14" x14ac:dyDescent="0.25">
      <c r="C22" s="24"/>
      <c r="D22" s="18"/>
      <c r="E22" s="18"/>
      <c r="F22" s="18"/>
      <c r="G22" s="25"/>
      <c r="J22" s="24"/>
      <c r="K22" s="18"/>
      <c r="L22" s="18"/>
      <c r="M22" s="18"/>
      <c r="N22" s="25"/>
    </row>
    <row r="23" spans="3:14" x14ac:dyDescent="0.25">
      <c r="C23" s="24"/>
      <c r="D23" s="18"/>
      <c r="E23" s="18"/>
      <c r="F23" s="18"/>
      <c r="G23" s="25"/>
      <c r="J23" s="24"/>
      <c r="K23" s="18"/>
      <c r="L23" s="18"/>
      <c r="M23" s="18"/>
      <c r="N23" s="25"/>
    </row>
    <row r="24" spans="3:14" x14ac:dyDescent="0.25">
      <c r="C24" s="26"/>
      <c r="D24" s="19"/>
      <c r="E24" s="19"/>
      <c r="F24" s="19"/>
      <c r="G24" s="27"/>
      <c r="J24" s="26"/>
      <c r="K24" s="19"/>
      <c r="L24" s="19"/>
      <c r="M24" s="19"/>
      <c r="N24" s="27"/>
    </row>
  </sheetData>
  <mergeCells count="1">
    <mergeCell ref="C7:N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887BF-E1FD-4E6F-8B2B-559DCA69F078}">
  <dimension ref="A1:E9"/>
  <sheetViews>
    <sheetView workbookViewId="0">
      <selection activeCell="E14" sqref="E14"/>
    </sheetView>
  </sheetViews>
  <sheetFormatPr defaultRowHeight="15" x14ac:dyDescent="0.25"/>
  <cols>
    <col min="1" max="1" width="13.42578125" bestFit="1" customWidth="1"/>
    <col min="2" max="2" width="14.7109375" bestFit="1" customWidth="1"/>
    <col min="4" max="4" width="13.42578125" bestFit="1" customWidth="1"/>
    <col min="5" max="5" width="14.7109375" bestFit="1" customWidth="1"/>
  </cols>
  <sheetData>
    <row r="1" spans="1:5" x14ac:dyDescent="0.25">
      <c r="A1" s="14" t="s">
        <v>204</v>
      </c>
      <c r="B1" t="s" vm="1">
        <v>206</v>
      </c>
      <c r="D1" s="14" t="s">
        <v>204</v>
      </c>
      <c r="E1" t="s" vm="2">
        <v>205</v>
      </c>
    </row>
    <row r="3" spans="1:5" x14ac:dyDescent="0.25">
      <c r="A3" s="14" t="s">
        <v>229</v>
      </c>
      <c r="B3" t="s">
        <v>223</v>
      </c>
      <c r="D3" s="14" t="s">
        <v>229</v>
      </c>
      <c r="E3" t="s">
        <v>223</v>
      </c>
    </row>
    <row r="4" spans="1:5" x14ac:dyDescent="0.25">
      <c r="A4" s="10" t="s">
        <v>12</v>
      </c>
      <c r="B4" s="3">
        <v>28</v>
      </c>
      <c r="D4" s="10" t="s">
        <v>23</v>
      </c>
      <c r="E4" s="3">
        <v>27</v>
      </c>
    </row>
    <row r="5" spans="1:5" x14ac:dyDescent="0.25">
      <c r="A5" s="10" t="s">
        <v>23</v>
      </c>
      <c r="B5" s="3">
        <v>27</v>
      </c>
      <c r="D5" s="10" t="s">
        <v>12</v>
      </c>
      <c r="E5" s="3">
        <v>27</v>
      </c>
    </row>
    <row r="6" spans="1:5" x14ac:dyDescent="0.25">
      <c r="A6" s="10" t="s">
        <v>17</v>
      </c>
      <c r="B6" s="3">
        <v>19</v>
      </c>
      <c r="D6" s="10" t="s">
        <v>17</v>
      </c>
      <c r="E6" s="3">
        <v>19</v>
      </c>
    </row>
    <row r="7" spans="1:5" x14ac:dyDescent="0.25">
      <c r="A7" s="10" t="s">
        <v>9</v>
      </c>
      <c r="B7" s="3">
        <v>14</v>
      </c>
      <c r="D7" s="10" t="s">
        <v>9</v>
      </c>
      <c r="E7" s="3">
        <v>14</v>
      </c>
    </row>
    <row r="8" spans="1:5" x14ac:dyDescent="0.25">
      <c r="A8" s="10" t="s">
        <v>26</v>
      </c>
      <c r="B8" s="3">
        <v>4</v>
      </c>
      <c r="D8" s="10" t="s">
        <v>26</v>
      </c>
      <c r="E8" s="3">
        <v>4</v>
      </c>
    </row>
    <row r="9" spans="1:5" x14ac:dyDescent="0.25">
      <c r="A9" s="10" t="s">
        <v>222</v>
      </c>
      <c r="B9" s="3">
        <v>92</v>
      </c>
      <c r="D9" s="10" t="s">
        <v>222</v>
      </c>
      <c r="E9" s="3">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CDDE-9F02-4216-B2A5-6A55F078BA6A}">
  <dimension ref="B2:C6"/>
  <sheetViews>
    <sheetView workbookViewId="0">
      <selection activeCell="D4" sqref="D4"/>
    </sheetView>
  </sheetViews>
  <sheetFormatPr defaultRowHeight="15" x14ac:dyDescent="0.25"/>
  <cols>
    <col min="2" max="2" width="13.7109375" bestFit="1" customWidth="1"/>
  </cols>
  <sheetData>
    <row r="2" spans="2:3" x14ac:dyDescent="0.25">
      <c r="B2" s="21" t="s">
        <v>43</v>
      </c>
      <c r="C2" s="20">
        <v>5</v>
      </c>
    </row>
    <row r="3" spans="2:3" x14ac:dyDescent="0.25">
      <c r="B3" s="21" t="s">
        <v>10</v>
      </c>
      <c r="C3" s="20">
        <v>4</v>
      </c>
    </row>
    <row r="4" spans="2:3" x14ac:dyDescent="0.25">
      <c r="B4" s="21" t="s">
        <v>13</v>
      </c>
      <c r="C4" s="20">
        <v>3</v>
      </c>
    </row>
    <row r="5" spans="2:3" x14ac:dyDescent="0.25">
      <c r="B5" s="21" t="s">
        <v>18</v>
      </c>
      <c r="C5" s="20">
        <v>2</v>
      </c>
    </row>
    <row r="6" spans="2:3" x14ac:dyDescent="0.25">
      <c r="B6" s="21" t="s">
        <v>49</v>
      </c>
      <c r="C6" s="2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3BEC-5554-4567-8232-5D430C8EE5A5}">
  <sheetPr>
    <tabColor rgb="FF7030A0"/>
  </sheetPr>
  <dimension ref="B2:D8"/>
  <sheetViews>
    <sheetView workbookViewId="0">
      <selection activeCell="F2" sqref="F2"/>
    </sheetView>
  </sheetViews>
  <sheetFormatPr defaultRowHeight="15" x14ac:dyDescent="0.25"/>
  <cols>
    <col min="2" max="2" width="13.7109375" bestFit="1" customWidth="1"/>
    <col min="3" max="3" width="14.7109375" bestFit="1" customWidth="1"/>
    <col min="4" max="4" width="16.42578125" style="17" bestFit="1" customWidth="1"/>
  </cols>
  <sheetData>
    <row r="2" spans="2:4" x14ac:dyDescent="0.25">
      <c r="B2" s="14" t="s">
        <v>229</v>
      </c>
      <c r="C2" t="s">
        <v>223</v>
      </c>
      <c r="D2" s="17" t="s">
        <v>226</v>
      </c>
    </row>
    <row r="3" spans="2:4" x14ac:dyDescent="0.25">
      <c r="B3" s="10" t="s">
        <v>43</v>
      </c>
      <c r="C3" s="3">
        <v>4</v>
      </c>
      <c r="D3" s="17">
        <v>92080</v>
      </c>
    </row>
    <row r="4" spans="2:4" x14ac:dyDescent="0.25">
      <c r="B4" s="10" t="s">
        <v>10</v>
      </c>
      <c r="C4" s="3">
        <v>20</v>
      </c>
      <c r="D4" s="17">
        <v>75933</v>
      </c>
    </row>
    <row r="5" spans="2:4" x14ac:dyDescent="0.25">
      <c r="B5" s="10" t="s">
        <v>13</v>
      </c>
      <c r="C5" s="3">
        <v>137</v>
      </c>
      <c r="D5" s="17">
        <v>76798.759124087592</v>
      </c>
    </row>
    <row r="6" spans="2:4" x14ac:dyDescent="0.25">
      <c r="B6" s="10" t="s">
        <v>18</v>
      </c>
      <c r="C6" s="3">
        <v>16</v>
      </c>
      <c r="D6" s="17">
        <v>78115</v>
      </c>
    </row>
    <row r="7" spans="2:4" x14ac:dyDescent="0.25">
      <c r="B7" s="10" t="s">
        <v>49</v>
      </c>
      <c r="C7" s="3">
        <v>6</v>
      </c>
      <c r="D7" s="17">
        <v>77423.333333333328</v>
      </c>
    </row>
    <row r="8" spans="2:4" x14ac:dyDescent="0.25">
      <c r="B8" s="10" t="s">
        <v>222</v>
      </c>
      <c r="C8" s="3">
        <v>183</v>
      </c>
      <c r="D8" s="17">
        <v>77173.715846994543</v>
      </c>
    </row>
  </sheetData>
  <conditionalFormatting pivot="1" sqref="D3:D7">
    <cfRule type="dataBar" priority="1">
      <dataBar>
        <cfvo type="min"/>
        <cfvo type="max"/>
        <color rgb="FF638EC6"/>
      </dataBar>
      <extLst>
        <ext xmlns:x14="http://schemas.microsoft.com/office/spreadsheetml/2009/9/main" uri="{B025F937-C7B1-47D3-B67F-A62EFF666E3E}">
          <x14:id>{3BA83A58-8B37-42A5-BE3D-234B48E9A909}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BA83A58-8B37-42A5-BE3D-234B48E9A909}">
            <x14:dataBar minLength="0" maxLength="100" border="1" negativeBarBorderColorSameAsPositive="0">
              <x14:cfvo type="autoMin"/>
              <x14:cfvo type="autoMax"/>
              <x14:borderColor rgb="FF638EC6"/>
              <x14:negativeFillColor rgb="FFFF0000"/>
              <x14:negativeBorderColor rgb="FFFF0000"/>
              <x14:axisColor rgb="FF000000"/>
            </x14:dataBar>
          </x14:cfRule>
          <xm:sqref>D3:D7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0BC8B-006D-461A-9677-FB7DB65E8AB9}">
  <sheetPr>
    <tabColor theme="3"/>
  </sheetPr>
  <dimension ref="B2:D36"/>
  <sheetViews>
    <sheetView topLeftCell="A3" workbookViewId="0">
      <selection activeCell="C13" sqref="C13"/>
    </sheetView>
  </sheetViews>
  <sheetFormatPr defaultRowHeight="15" x14ac:dyDescent="0.25"/>
  <cols>
    <col min="2" max="2" width="17.42578125" customWidth="1"/>
    <col min="3" max="3" width="17.7109375" bestFit="1" customWidth="1"/>
  </cols>
  <sheetData>
    <row r="2" spans="2:4" x14ac:dyDescent="0.25">
      <c r="B2" s="11">
        <v>3</v>
      </c>
      <c r="C2" t="s">
        <v>217</v>
      </c>
    </row>
    <row r="5" spans="2:4" x14ac:dyDescent="0.25">
      <c r="B5" t="s">
        <v>218</v>
      </c>
      <c r="C5" s="12" t="s">
        <v>9</v>
      </c>
    </row>
    <row r="7" spans="2:4" x14ac:dyDescent="0.25">
      <c r="B7" t="s">
        <v>219</v>
      </c>
      <c r="C7">
        <f>COUNTIFS(staff[Department],C5)</f>
        <v>28</v>
      </c>
    </row>
    <row r="9" spans="2:4" x14ac:dyDescent="0.25">
      <c r="B9" s="20" t="str" cm="1">
        <f t="array" aca="1" ref="B9:D36" ca="1">_xlfn._xlws.SORT(_xlfn.CHOOSECOLS(_xlfn._xlws.FILTER(staff[], staff[Department]=C5),1,6,4),2,-1)</f>
        <v>Lindy Guillet</v>
      </c>
      <c r="C9" s="20">
        <f ca="1"/>
        <v>112780</v>
      </c>
      <c r="D9" s="20">
        <f ca="1"/>
        <v>22</v>
      </c>
    </row>
    <row r="10" spans="2:4" x14ac:dyDescent="0.25">
      <c r="B10" s="20" t="str">
        <f ca="1"/>
        <v>Krishnakanta Vellanki</v>
      </c>
      <c r="C10" s="20">
        <f ca="1"/>
        <v>112780</v>
      </c>
      <c r="D10" s="20">
        <f ca="1"/>
        <v>22</v>
      </c>
    </row>
    <row r="11" spans="2:4" x14ac:dyDescent="0.25">
      <c r="B11" s="20" t="str">
        <f ca="1"/>
        <v>Rafaelita Blaksland</v>
      </c>
      <c r="C11" s="20">
        <f ca="1"/>
        <v>109160</v>
      </c>
      <c r="D11" s="20">
        <f ca="1"/>
        <v>38</v>
      </c>
    </row>
    <row r="12" spans="2:4" x14ac:dyDescent="0.25">
      <c r="B12" s="20" t="str">
        <f ca="1"/>
        <v>Sawini Chandan</v>
      </c>
      <c r="C12" s="20">
        <f ca="1"/>
        <v>109160</v>
      </c>
      <c r="D12" s="20">
        <f ca="1"/>
        <v>38</v>
      </c>
    </row>
    <row r="13" spans="2:4" x14ac:dyDescent="0.25">
      <c r="B13" s="20" t="str">
        <f ca="1"/>
        <v>Hinda Label</v>
      </c>
      <c r="C13" s="20">
        <f ca="1"/>
        <v>92700</v>
      </c>
      <c r="D13" s="20">
        <f ca="1"/>
        <v>25</v>
      </c>
    </row>
    <row r="14" spans="2:4" x14ac:dyDescent="0.25">
      <c r="B14" s="20" t="str">
        <f ca="1"/>
        <v>Purnendu Vijayarangan</v>
      </c>
      <c r="C14" s="20">
        <f ca="1"/>
        <v>92700</v>
      </c>
      <c r="D14" s="20">
        <f ca="1"/>
        <v>25</v>
      </c>
    </row>
    <row r="15" spans="2:4" x14ac:dyDescent="0.25">
      <c r="B15" s="20" t="str">
        <f ca="1"/>
        <v>Gray Seamon</v>
      </c>
      <c r="C15" s="20">
        <f ca="1"/>
        <v>78540</v>
      </c>
      <c r="D15" s="20">
        <f ca="1"/>
        <v>36</v>
      </c>
    </row>
    <row r="16" spans="2:4" x14ac:dyDescent="0.25">
      <c r="B16" s="20" t="str">
        <f ca="1"/>
        <v>Shulabh Qutub Sundaramoorthy</v>
      </c>
      <c r="C16" s="20">
        <f ca="1"/>
        <v>78540</v>
      </c>
      <c r="D16" s="20">
        <f ca="1"/>
        <v>36</v>
      </c>
    </row>
    <row r="17" spans="2:4" x14ac:dyDescent="0.25">
      <c r="B17" s="20" t="str">
        <f ca="1"/>
        <v>Gigi Bohling</v>
      </c>
      <c r="C17" s="20">
        <f ca="1"/>
        <v>74550</v>
      </c>
      <c r="D17" s="20">
        <f ca="1"/>
        <v>33</v>
      </c>
    </row>
    <row r="18" spans="2:4" x14ac:dyDescent="0.25">
      <c r="B18" s="20" t="str">
        <f ca="1"/>
        <v>Yauvani Tarpa</v>
      </c>
      <c r="C18" s="20">
        <f ca="1"/>
        <v>74550</v>
      </c>
      <c r="D18" s="20">
        <f ca="1"/>
        <v>33</v>
      </c>
    </row>
    <row r="19" spans="2:4" x14ac:dyDescent="0.25">
      <c r="B19" s="20" t="str">
        <f ca="1"/>
        <v>Hyacinthie Braybrooke</v>
      </c>
      <c r="C19" s="20">
        <f ca="1"/>
        <v>68900</v>
      </c>
      <c r="D19" s="20">
        <f ca="1"/>
        <v>20</v>
      </c>
    </row>
    <row r="20" spans="2:4" x14ac:dyDescent="0.25">
      <c r="B20" s="20" t="str">
        <f ca="1"/>
        <v>Devasree Fullara Saurin</v>
      </c>
      <c r="C20" s="20">
        <f ca="1"/>
        <v>68900</v>
      </c>
      <c r="D20" s="20">
        <f ca="1"/>
        <v>20</v>
      </c>
    </row>
    <row r="21" spans="2:4" x14ac:dyDescent="0.25">
      <c r="B21" s="20" t="str">
        <f ca="1"/>
        <v>Kath Bletsoe</v>
      </c>
      <c r="C21" s="20">
        <f ca="1"/>
        <v>65700</v>
      </c>
      <c r="D21" s="20">
        <f ca="1"/>
        <v>25</v>
      </c>
    </row>
    <row r="22" spans="2:4" x14ac:dyDescent="0.25">
      <c r="B22" s="20" t="str">
        <f ca="1"/>
        <v>Abhaya Priyavardhan</v>
      </c>
      <c r="C22" s="20">
        <f ca="1"/>
        <v>65700</v>
      </c>
      <c r="D22" s="20">
        <f ca="1"/>
        <v>25</v>
      </c>
    </row>
    <row r="23" spans="2:4" x14ac:dyDescent="0.25">
      <c r="B23" s="20" t="str">
        <f ca="1"/>
        <v>Oran Buxcy</v>
      </c>
      <c r="C23" s="20">
        <f ca="1"/>
        <v>56870</v>
      </c>
      <c r="D23" s="20">
        <f ca="1"/>
        <v>38</v>
      </c>
    </row>
    <row r="24" spans="2:4" x14ac:dyDescent="0.25">
      <c r="B24" s="20" t="str">
        <f ca="1"/>
        <v>Mirium Seemantini Shivakumar</v>
      </c>
      <c r="C24" s="20">
        <f ca="1"/>
        <v>56870</v>
      </c>
      <c r="D24" s="20">
        <f ca="1"/>
        <v>38</v>
      </c>
    </row>
    <row r="25" spans="2:4" x14ac:dyDescent="0.25">
      <c r="B25" s="20" t="str">
        <f ca="1"/>
        <v>Alta Kaszper</v>
      </c>
      <c r="C25" s="20">
        <f ca="1"/>
        <v>54970</v>
      </c>
      <c r="D25" s="20">
        <f ca="1"/>
        <v>27</v>
      </c>
    </row>
    <row r="26" spans="2:4" x14ac:dyDescent="0.25">
      <c r="B26" s="20" t="str">
        <f ca="1"/>
        <v>Sanchali Shirish</v>
      </c>
      <c r="C26" s="20">
        <f ca="1"/>
        <v>54970</v>
      </c>
      <c r="D26" s="20">
        <f ca="1"/>
        <v>27</v>
      </c>
    </row>
    <row r="27" spans="2:4" x14ac:dyDescent="0.25">
      <c r="B27" s="20" t="str">
        <f ca="1"/>
        <v>Hoyt D'Alesco</v>
      </c>
      <c r="C27" s="20">
        <f ca="1"/>
        <v>53540</v>
      </c>
      <c r="D27" s="20">
        <f ca="1"/>
        <v>32</v>
      </c>
    </row>
    <row r="28" spans="2:4" x14ac:dyDescent="0.25">
      <c r="B28" s="20" t="str">
        <f ca="1"/>
        <v>Geena Raghavanpillai</v>
      </c>
      <c r="C28" s="20">
        <f ca="1"/>
        <v>53540</v>
      </c>
      <c r="D28" s="20">
        <f ca="1"/>
        <v>32</v>
      </c>
    </row>
    <row r="29" spans="2:4" x14ac:dyDescent="0.25">
      <c r="B29" s="20" t="str">
        <f ca="1"/>
        <v>Tatum Hush</v>
      </c>
      <c r="C29" s="20">
        <f ca="1"/>
        <v>53240</v>
      </c>
      <c r="D29" s="20">
        <f ca="1"/>
        <v>28</v>
      </c>
    </row>
    <row r="30" spans="2:4" x14ac:dyDescent="0.25">
      <c r="B30" s="20" t="str">
        <f ca="1"/>
        <v>Anumati Shyamari Meherhomji</v>
      </c>
      <c r="C30" s="20">
        <f ca="1"/>
        <v>53240</v>
      </c>
      <c r="D30" s="20">
        <f ca="1"/>
        <v>28</v>
      </c>
    </row>
    <row r="31" spans="2:4" x14ac:dyDescent="0.25">
      <c r="B31" s="20" t="str">
        <f ca="1"/>
        <v>Violante Courtonne</v>
      </c>
      <c r="C31" s="20">
        <f ca="1"/>
        <v>49630</v>
      </c>
      <c r="D31" s="20">
        <f ca="1"/>
        <v>34</v>
      </c>
    </row>
    <row r="32" spans="2:4" x14ac:dyDescent="0.25">
      <c r="B32" s="20" t="str">
        <f ca="1"/>
        <v>Daruka Ghazali</v>
      </c>
      <c r="C32" s="20">
        <f ca="1"/>
        <v>49630</v>
      </c>
      <c r="D32" s="20">
        <f ca="1"/>
        <v>34</v>
      </c>
    </row>
    <row r="33" spans="2:4" x14ac:dyDescent="0.25">
      <c r="B33" s="20" t="str">
        <f ca="1"/>
        <v>Drusy MacCombe</v>
      </c>
      <c r="C33" s="20">
        <f ca="1"/>
        <v>43510</v>
      </c>
      <c r="D33" s="20">
        <f ca="1"/>
        <v>28</v>
      </c>
    </row>
    <row r="34" spans="2:4" x14ac:dyDescent="0.25">
      <c r="B34" s="20" t="str">
        <f ca="1"/>
        <v>Rupak Mehra</v>
      </c>
      <c r="C34" s="20">
        <f ca="1"/>
        <v>43510</v>
      </c>
      <c r="D34" s="20">
        <f ca="1"/>
        <v>28</v>
      </c>
    </row>
    <row r="35" spans="2:4" x14ac:dyDescent="0.25">
      <c r="B35" s="20" t="str">
        <f ca="1"/>
        <v>Bili Sizey</v>
      </c>
      <c r="C35" s="20">
        <f ca="1"/>
        <v>36040</v>
      </c>
      <c r="D35" s="20">
        <f ca="1"/>
        <v>43</v>
      </c>
    </row>
    <row r="36" spans="2:4" x14ac:dyDescent="0.25">
      <c r="B36" s="20" t="str">
        <f ca="1"/>
        <v>Waheeda Vasuman</v>
      </c>
      <c r="C36" s="20">
        <f ca="1"/>
        <v>36040</v>
      </c>
      <c r="D36" s="20">
        <f ca="1"/>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2922-1FF4-4A7F-A51B-EE1EE8399955}">
  <sheetPr>
    <tabColor theme="1" tint="4.9989318521683403E-2"/>
  </sheetPr>
  <dimension ref="B2:D10"/>
  <sheetViews>
    <sheetView workbookViewId="0">
      <selection activeCell="C10" sqref="C10"/>
    </sheetView>
  </sheetViews>
  <sheetFormatPr defaultRowHeight="15" x14ac:dyDescent="0.25"/>
  <cols>
    <col min="2" max="2" width="16.5703125" bestFit="1" customWidth="1"/>
    <col min="3" max="3" width="16.85546875" bestFit="1" customWidth="1"/>
    <col min="4" max="5" width="7.5703125" bestFit="1" customWidth="1"/>
    <col min="6" max="6" width="11.28515625" bestFit="1" customWidth="1"/>
    <col min="7" max="7" width="16.85546875" bestFit="1" customWidth="1"/>
    <col min="8" max="8" width="19.7109375" bestFit="1" customWidth="1"/>
    <col min="9" max="9" width="19.28515625" bestFit="1" customWidth="1"/>
  </cols>
  <sheetData>
    <row r="2" spans="2:4" x14ac:dyDescent="0.25">
      <c r="B2" s="13">
        <v>4</v>
      </c>
      <c r="C2" t="s">
        <v>220</v>
      </c>
    </row>
    <row r="5" spans="2:4" x14ac:dyDescent="0.25">
      <c r="C5" s="14" t="s">
        <v>221</v>
      </c>
    </row>
    <row r="6" spans="2:4" x14ac:dyDescent="0.25">
      <c r="B6" s="14" t="s">
        <v>225</v>
      </c>
      <c r="C6" t="s">
        <v>15</v>
      </c>
      <c r="D6" t="s">
        <v>8</v>
      </c>
    </row>
    <row r="7" spans="2:4" x14ac:dyDescent="0.25">
      <c r="B7" s="10" t="s">
        <v>223</v>
      </c>
      <c r="C7" s="3">
        <v>43</v>
      </c>
      <c r="D7" s="3">
        <v>45</v>
      </c>
    </row>
    <row r="8" spans="2:4" x14ac:dyDescent="0.25">
      <c r="B8" s="10" t="s">
        <v>224</v>
      </c>
      <c r="C8" s="15">
        <v>31.418604651162791</v>
      </c>
      <c r="D8" s="15">
        <v>29.444444444444443</v>
      </c>
    </row>
    <row r="9" spans="2:4" x14ac:dyDescent="0.25">
      <c r="B9" s="10" t="s">
        <v>226</v>
      </c>
      <c r="C9" s="15">
        <v>78284.186046511633</v>
      </c>
      <c r="D9" s="15">
        <v>75334.444444444438</v>
      </c>
    </row>
    <row r="10" spans="2:4" x14ac:dyDescent="0.25">
      <c r="B10" s="10" t="s">
        <v>227</v>
      </c>
      <c r="C10" s="15">
        <v>4.1379420197515131</v>
      </c>
      <c r="D10" s="15">
        <v>4.1209741248097398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800B4-AE41-4D71-B731-90A36788D35B}">
  <sheetPr>
    <tabColor rgb="FF00B050"/>
  </sheetPr>
  <dimension ref="A1"/>
  <sheetViews>
    <sheetView zoomScale="81" workbookViewId="0">
      <selection activeCell="P22" sqref="P22"/>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501A9-4AC3-482C-85B4-AC79BF728C6A}">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A987-61F8-48B3-9DDC-57BEDC2C8B4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36C3E-5CD0-47E6-9374-E711884564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india</vt:lpstr>
      <vt:lpstr>ALL_Staff</vt:lpstr>
      <vt:lpstr>Emploee Trend</vt:lpstr>
      <vt:lpstr>ind vs nz</vt:lpstr>
      <vt:lpstr>Sheet17</vt:lpstr>
      <vt:lpstr>mapping</vt:lpstr>
      <vt:lpstr>Salary vs, Rating</vt:lpstr>
      <vt:lpstr>inf_finder</vt:lpstr>
      <vt:lpstr>Male vs Female</vt:lpstr>
      <vt:lpstr>Salary Spread</vt:lpstr>
      <vt:lpstr>Sheet15</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Bindu Chalasani</dc:creator>
  <cp:lastModifiedBy>Bindu Chalasani</cp:lastModifiedBy>
  <dcterms:created xsi:type="dcterms:W3CDTF">2025-09-12T22:11:30Z</dcterms:created>
  <dcterms:modified xsi:type="dcterms:W3CDTF">2025-09-13T01:43:46Z</dcterms:modified>
</cp:coreProperties>
</file>