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Model\"/>
    </mc:Choice>
  </mc:AlternateContent>
  <xr:revisionPtr revIDLastSave="0" documentId="13_ncr:1_{910E6290-1DBA-418F-9577-8F216ACB8F6D}" xr6:coauthVersionLast="47" xr6:coauthVersionMax="47" xr10:uidLastSave="{00000000-0000-0000-0000-000000000000}"/>
  <bookViews>
    <workbookView xWindow="28800" yWindow="0" windowWidth="28800" windowHeight="156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2" l="1"/>
  <c r="U21" i="2"/>
  <c r="U22" i="2" s="1"/>
  <c r="U24" i="2" s="1"/>
  <c r="V19" i="2"/>
  <c r="V22" i="2" s="1"/>
  <c r="V24" i="2" s="1"/>
  <c r="V17" i="2"/>
  <c r="I37" i="2"/>
  <c r="I36" i="2"/>
  <c r="I35" i="2"/>
  <c r="H35" i="2"/>
  <c r="G35" i="2"/>
  <c r="F35" i="2"/>
  <c r="E35" i="2"/>
  <c r="H27" i="2"/>
  <c r="H28" i="2"/>
  <c r="H29" i="2"/>
  <c r="H31" i="2"/>
  <c r="H32" i="2"/>
  <c r="H33" i="2"/>
  <c r="I33" i="2"/>
  <c r="G33" i="2"/>
  <c r="F33" i="2"/>
  <c r="E33" i="2"/>
  <c r="I32" i="2"/>
  <c r="G32" i="2"/>
  <c r="F32" i="2"/>
  <c r="E32" i="2"/>
  <c r="I31" i="2"/>
  <c r="G31" i="2"/>
  <c r="F31" i="2"/>
  <c r="E31" i="2"/>
  <c r="I29" i="2"/>
  <c r="G29" i="2"/>
  <c r="F29" i="2"/>
  <c r="E29" i="2"/>
  <c r="I28" i="2"/>
  <c r="G28" i="2"/>
  <c r="F28" i="2"/>
  <c r="E28" i="2"/>
  <c r="I27" i="2"/>
  <c r="G27" i="2"/>
  <c r="F27" i="2"/>
  <c r="E27" i="2"/>
  <c r="V20" i="2"/>
  <c r="U19" i="2"/>
  <c r="V5" i="2"/>
  <c r="W5" i="2" s="1"/>
  <c r="W4" i="2"/>
  <c r="V4" i="2"/>
  <c r="U12" i="2"/>
  <c r="U6" i="2" s="1"/>
  <c r="V6" i="2" s="1"/>
  <c r="W6" i="2" s="1"/>
  <c r="T12" i="2"/>
  <c r="U10" i="2"/>
  <c r="T10" i="2"/>
  <c r="V2" i="2"/>
  <c r="W2" i="2" s="1"/>
  <c r="C19" i="2"/>
  <c r="C23" i="2"/>
  <c r="D25" i="2"/>
  <c r="F25" i="2" s="1"/>
  <c r="D24" i="2"/>
  <c r="D23" i="2" s="1"/>
  <c r="D21" i="2"/>
  <c r="F21" i="2" s="1"/>
  <c r="D20" i="2"/>
  <c r="F20" i="2" s="1"/>
  <c r="D16" i="2"/>
  <c r="F16" i="2" s="1"/>
  <c r="V14" i="2" s="1"/>
  <c r="D15" i="2"/>
  <c r="F15" i="2" s="1"/>
  <c r="D4" i="2"/>
  <c r="F4" i="2" s="1"/>
  <c r="H25" i="2"/>
  <c r="H24" i="2"/>
  <c r="H21" i="2"/>
  <c r="H20" i="2"/>
  <c r="H16" i="2"/>
  <c r="H15" i="2"/>
  <c r="H4" i="2"/>
  <c r="I23" i="2"/>
  <c r="E23" i="2"/>
  <c r="I19" i="2"/>
  <c r="E19" i="2"/>
  <c r="G2" i="2"/>
  <c r="W15" i="2" l="1"/>
  <c r="V15" i="2"/>
  <c r="U14" i="2"/>
  <c r="U15" i="2" s="1"/>
  <c r="F19" i="2"/>
  <c r="H19" i="2"/>
  <c r="H23" i="2"/>
  <c r="F24" i="2"/>
  <c r="F23" i="2" s="1"/>
  <c r="D19" i="2"/>
  <c r="K2" i="2"/>
  <c r="O2" i="2" s="1"/>
  <c r="P2" i="2" s="1"/>
  <c r="Q2" i="2" s="1"/>
</calcChain>
</file>

<file path=xl/sharedStrings.xml><?xml version="1.0" encoding="utf-8"?>
<sst xmlns="http://schemas.openxmlformats.org/spreadsheetml/2006/main" count="49" uniqueCount="30">
  <si>
    <t>Q1</t>
  </si>
  <si>
    <t>Q2</t>
  </si>
  <si>
    <t>Q3</t>
  </si>
  <si>
    <t>Q4</t>
  </si>
  <si>
    <t>-</t>
  </si>
  <si>
    <t>Revenue</t>
  </si>
  <si>
    <t>COGS</t>
  </si>
  <si>
    <t>Net Income</t>
  </si>
  <si>
    <t>Revenue by Geography</t>
  </si>
  <si>
    <t>United States</t>
  </si>
  <si>
    <t>Other</t>
  </si>
  <si>
    <t>Revenue Sources</t>
  </si>
  <si>
    <t>Transaction</t>
  </si>
  <si>
    <t>Advertising and other</t>
  </si>
  <si>
    <t>10-K they reached 95% of household in the US??</t>
  </si>
  <si>
    <t>Capital Expenditure</t>
  </si>
  <si>
    <t>Change in NWC</t>
  </si>
  <si>
    <t>D&amp;A</t>
  </si>
  <si>
    <t>Toggle:</t>
  </si>
  <si>
    <t>Current Assets</t>
  </si>
  <si>
    <t>Cash</t>
  </si>
  <si>
    <t>Current Liabilities</t>
  </si>
  <si>
    <t>Net CA</t>
  </si>
  <si>
    <t>Shares Outstanding</t>
  </si>
  <si>
    <t>Price</t>
  </si>
  <si>
    <t>LT Debt</t>
  </si>
  <si>
    <t>Net</t>
  </si>
  <si>
    <t>EV</t>
  </si>
  <si>
    <t>FCFF Yield</t>
  </si>
  <si>
    <t>Real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</si>
</sst>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 applyAlignment="1">
      <alignment horizontal="right"/>
    </xf>
    <xf numFmtId="0" fontId="0" fillId="0" borderId="1" xfId="0" applyBorder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2" xfId="1" applyFont="1" applyBorder="1"/>
    <xf numFmtId="43" fontId="0" fillId="0" borderId="2" xfId="1" applyFont="1" applyBorder="1" applyAlignment="1">
      <alignment horizontal="right"/>
    </xf>
    <xf numFmtId="0" fontId="0" fillId="0" borderId="0" xfId="0" applyAlignment="1">
      <alignment horizontal="left" indent="1"/>
    </xf>
    <xf numFmtId="43" fontId="2" fillId="0" borderId="0" xfId="1" applyFont="1"/>
    <xf numFmtId="43" fontId="2" fillId="0" borderId="2" xfId="1" applyFont="1" applyBorder="1"/>
    <xf numFmtId="43" fontId="0" fillId="0" borderId="3" xfId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1" xfId="1" applyFont="1" applyBorder="1"/>
    <xf numFmtId="43" fontId="0" fillId="0" borderId="3" xfId="1" applyFont="1" applyBorder="1"/>
    <xf numFmtId="0" fontId="0" fillId="0" borderId="3" xfId="0" applyBorder="1"/>
    <xf numFmtId="43" fontId="2" fillId="0" borderId="5" xfId="1" applyFont="1" applyBorder="1" applyAlignment="1">
      <alignment horizontal="right"/>
    </xf>
    <xf numFmtId="43" fontId="2" fillId="0" borderId="6" xfId="1" applyFont="1" applyBorder="1" applyAlignment="1">
      <alignment horizontal="right"/>
    </xf>
    <xf numFmtId="43" fontId="2" fillId="0" borderId="2" xfId="1" applyFont="1" applyBorder="1" applyAlignment="1">
      <alignment horizontal="right"/>
    </xf>
    <xf numFmtId="43" fontId="2" fillId="0" borderId="0" xfId="1" applyFont="1" applyAlignment="1">
      <alignment horizontal="right"/>
    </xf>
    <xf numFmtId="0" fontId="0" fillId="0" borderId="0" xfId="0" applyFont="1"/>
    <xf numFmtId="10" fontId="3" fillId="2" borderId="7" xfId="0" applyNumberFormat="1" applyFont="1" applyFill="1" applyBorder="1"/>
    <xf numFmtId="10" fontId="3" fillId="2" borderId="8" xfId="0" applyNumberFormat="1" applyFont="1" applyFill="1" applyBorder="1"/>
    <xf numFmtId="10" fontId="3" fillId="2" borderId="9" xfId="0" applyNumberFormat="1" applyFont="1" applyFill="1" applyBorder="1"/>
    <xf numFmtId="0" fontId="0" fillId="0" borderId="10" xfId="0" applyBorder="1"/>
    <xf numFmtId="43" fontId="0" fillId="0" borderId="0" xfId="0" applyNumberFormat="1"/>
    <xf numFmtId="43" fontId="0" fillId="0" borderId="11" xfId="1" applyFont="1" applyBorder="1"/>
    <xf numFmtId="43" fontId="0" fillId="0" borderId="12" xfId="1" applyFont="1" applyBorder="1"/>
    <xf numFmtId="10" fontId="0" fillId="0" borderId="0" xfId="0" applyNumberFormat="1"/>
    <xf numFmtId="10" fontId="0" fillId="0" borderId="0" xfId="1" applyNumberFormat="1" applyFont="1"/>
    <xf numFmtId="10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F14E-D1E4-4C3B-B2AC-CF3F7277418B}">
  <dimension ref="A1:Y37"/>
  <sheetViews>
    <sheetView showGridLines="0" tabSelected="1" zoomScale="70" zoomScaleNormal="70" workbookViewId="0">
      <selection activeCell="Q43" sqref="Q43"/>
    </sheetView>
  </sheetViews>
  <sheetFormatPr defaultRowHeight="15" x14ac:dyDescent="0.25"/>
  <cols>
    <col min="1" max="1" width="1.7109375" customWidth="1"/>
    <col min="2" max="2" width="21.85546875" bestFit="1" customWidth="1"/>
    <col min="3" max="3" width="10.7109375" style="5" customWidth="1"/>
    <col min="4" max="6" width="10.7109375" style="13" customWidth="1"/>
    <col min="7" max="7" width="10.7109375" style="14" customWidth="1"/>
    <col min="8" max="10" width="10.7109375" style="13" customWidth="1"/>
    <col min="11" max="11" width="10.7109375" style="14" customWidth="1"/>
    <col min="12" max="14" width="10.7109375" style="13" customWidth="1"/>
    <col min="15" max="15" width="10.7109375" style="14" customWidth="1"/>
    <col min="16" max="17" width="10.7109375" style="13" customWidth="1"/>
    <col min="19" max="19" width="19.42578125" bestFit="1" customWidth="1"/>
    <col min="20" max="24" width="15.7109375" customWidth="1"/>
  </cols>
  <sheetData>
    <row r="1" spans="1:25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25" x14ac:dyDescent="0.25">
      <c r="C2" s="8">
        <v>2023</v>
      </c>
      <c r="D2" s="9"/>
      <c r="E2" s="9"/>
      <c r="F2" s="10"/>
      <c r="G2" s="8">
        <f>+C2+1</f>
        <v>2024</v>
      </c>
      <c r="H2" s="9"/>
      <c r="I2" s="9"/>
      <c r="J2" s="10"/>
      <c r="K2" s="8">
        <f>+G2+1</f>
        <v>2025</v>
      </c>
      <c r="L2" s="9"/>
      <c r="M2" s="9"/>
      <c r="N2" s="10"/>
      <c r="O2" s="6">
        <f>+K2+1</f>
        <v>2026</v>
      </c>
      <c r="P2" s="7">
        <f>+O2+1</f>
        <v>2027</v>
      </c>
      <c r="Q2" s="7">
        <f>+P2+1</f>
        <v>2028</v>
      </c>
      <c r="T2" s="3">
        <v>2022</v>
      </c>
      <c r="U2" s="3">
        <v>2023</v>
      </c>
      <c r="V2" s="3">
        <f>+U2+1</f>
        <v>2024</v>
      </c>
      <c r="W2" s="3">
        <f>+V2+1</f>
        <v>2025</v>
      </c>
    </row>
    <row r="3" spans="1:25" x14ac:dyDescent="0.25">
      <c r="B3" s="2"/>
      <c r="C3" s="11" t="s">
        <v>0</v>
      </c>
      <c r="D3" s="12" t="s">
        <v>1</v>
      </c>
      <c r="E3" s="12" t="s">
        <v>2</v>
      </c>
      <c r="F3" s="12" t="s">
        <v>3</v>
      </c>
      <c r="G3" s="11" t="s">
        <v>0</v>
      </c>
      <c r="H3" s="12" t="s">
        <v>1</v>
      </c>
      <c r="I3" s="12" t="s">
        <v>2</v>
      </c>
      <c r="J3" s="12" t="s">
        <v>3</v>
      </c>
      <c r="K3" s="11" t="s">
        <v>0</v>
      </c>
      <c r="L3" s="12" t="s">
        <v>1</v>
      </c>
      <c r="M3" s="12" t="s">
        <v>2</v>
      </c>
      <c r="N3" s="12" t="s">
        <v>3</v>
      </c>
      <c r="O3" s="11" t="s">
        <v>4</v>
      </c>
      <c r="P3" s="12" t="s">
        <v>4</v>
      </c>
      <c r="Q3" s="12" t="s">
        <v>4</v>
      </c>
      <c r="Y3" s="28" t="s">
        <v>18</v>
      </c>
    </row>
    <row r="4" spans="1:25" x14ac:dyDescent="0.25">
      <c r="A4" s="3"/>
      <c r="B4" s="3" t="s">
        <v>5</v>
      </c>
      <c r="C4" s="24">
        <v>737.5</v>
      </c>
      <c r="D4" s="25">
        <f>(2239-E4)/2</f>
        <v>737.5</v>
      </c>
      <c r="E4" s="17">
        <v>764</v>
      </c>
      <c r="F4" s="17">
        <f>3042-SUM(C4:E4)</f>
        <v>803</v>
      </c>
      <c r="G4" s="18">
        <v>821.5</v>
      </c>
      <c r="H4" s="17">
        <f>(2495-I4)/2</f>
        <v>821.5</v>
      </c>
      <c r="I4" s="17">
        <v>852</v>
      </c>
      <c r="J4" s="17"/>
      <c r="K4" s="18"/>
      <c r="L4" s="17"/>
      <c r="M4" s="17"/>
      <c r="N4" s="17"/>
      <c r="O4" s="18"/>
      <c r="P4" s="17"/>
      <c r="Q4" s="17"/>
      <c r="S4" t="s">
        <v>17</v>
      </c>
      <c r="T4" s="13"/>
      <c r="U4" s="13">
        <v>43</v>
      </c>
      <c r="V4" s="13">
        <f>+U4*(1+$Y4)</f>
        <v>47.300000000000004</v>
      </c>
      <c r="W4" s="13">
        <f t="shared" ref="W4:W6" si="0">+V4*(1+$Y4)</f>
        <v>52.030000000000008</v>
      </c>
      <c r="Y4" s="29">
        <v>0.1</v>
      </c>
    </row>
    <row r="5" spans="1:25" x14ac:dyDescent="0.25">
      <c r="C5" s="15"/>
      <c r="D5" s="1"/>
      <c r="S5" s="28" t="s">
        <v>15</v>
      </c>
      <c r="T5" s="13"/>
      <c r="U5" s="13">
        <v>50</v>
      </c>
      <c r="V5" s="13">
        <f t="shared" ref="V5" si="1">+U5*(1+$Y5)</f>
        <v>50</v>
      </c>
      <c r="W5" s="13">
        <f t="shared" si="0"/>
        <v>50</v>
      </c>
      <c r="Y5" s="30"/>
    </row>
    <row r="6" spans="1:25" x14ac:dyDescent="0.25">
      <c r="C6" s="15"/>
      <c r="D6" s="1"/>
      <c r="G6" s="14" t="s">
        <v>14</v>
      </c>
      <c r="S6" t="s">
        <v>16</v>
      </c>
      <c r="T6" s="13"/>
      <c r="U6" s="13">
        <f>+U12-T12</f>
        <v>-5</v>
      </c>
      <c r="V6" s="13">
        <f t="shared" ref="V6" si="2">+U6*(1+$Y6)</f>
        <v>-5</v>
      </c>
      <c r="W6" s="13">
        <f t="shared" si="0"/>
        <v>-5</v>
      </c>
      <c r="Y6" s="31">
        <v>0</v>
      </c>
    </row>
    <row r="7" spans="1:25" x14ac:dyDescent="0.25">
      <c r="C7" s="15"/>
      <c r="D7" s="1"/>
      <c r="T7" s="13"/>
      <c r="U7" s="13"/>
      <c r="V7" s="13"/>
      <c r="W7" s="13"/>
    </row>
    <row r="8" spans="1:25" x14ac:dyDescent="0.25">
      <c r="C8" s="15"/>
      <c r="D8" s="1"/>
      <c r="S8" t="s">
        <v>20</v>
      </c>
      <c r="T8" s="13">
        <v>1505</v>
      </c>
      <c r="U8" s="13">
        <v>2137</v>
      </c>
      <c r="V8" s="13">
        <v>1288</v>
      </c>
      <c r="W8" s="13"/>
    </row>
    <row r="9" spans="1:25" x14ac:dyDescent="0.25">
      <c r="C9" s="15"/>
      <c r="D9" s="1"/>
      <c r="S9" t="s">
        <v>19</v>
      </c>
      <c r="T9" s="13">
        <v>2740</v>
      </c>
      <c r="U9" s="13">
        <v>3305</v>
      </c>
      <c r="V9" s="13"/>
      <c r="W9" s="13"/>
    </row>
    <row r="10" spans="1:25" x14ac:dyDescent="0.25">
      <c r="C10" s="15"/>
      <c r="D10" s="1"/>
      <c r="S10" s="32" t="s">
        <v>22</v>
      </c>
      <c r="T10" s="34">
        <f>+T9-T8</f>
        <v>1235</v>
      </c>
      <c r="U10" s="35">
        <f t="shared" ref="U10" si="3">+U9-U8</f>
        <v>1168</v>
      </c>
      <c r="V10" s="13"/>
      <c r="W10" s="13"/>
    </row>
    <row r="11" spans="1:25" x14ac:dyDescent="0.25">
      <c r="C11" s="15"/>
      <c r="D11" s="1"/>
      <c r="S11" s="32" t="s">
        <v>21</v>
      </c>
      <c r="T11" s="34">
        <v>795</v>
      </c>
      <c r="U11" s="35">
        <v>733</v>
      </c>
      <c r="V11" s="13"/>
      <c r="W11" s="13"/>
    </row>
    <row r="12" spans="1:25" x14ac:dyDescent="0.25">
      <c r="C12" s="15"/>
      <c r="D12" s="1"/>
      <c r="T12" s="13">
        <f>+T10-T11</f>
        <v>440</v>
      </c>
      <c r="U12" s="13">
        <f>+U10-U11</f>
        <v>435</v>
      </c>
      <c r="V12" s="13"/>
      <c r="W12" s="13"/>
    </row>
    <row r="13" spans="1:25" x14ac:dyDescent="0.25">
      <c r="A13" s="2"/>
      <c r="B13" s="2"/>
      <c r="C13" s="19"/>
      <c r="D13" s="20"/>
      <c r="E13" s="21"/>
      <c r="F13" s="21"/>
      <c r="G13" s="22"/>
      <c r="H13" s="21"/>
      <c r="I13" s="21"/>
      <c r="J13" s="21"/>
      <c r="K13" s="22"/>
      <c r="L13" s="21"/>
      <c r="M13" s="21"/>
      <c r="N13" s="21"/>
      <c r="O13" s="22"/>
      <c r="P13" s="21"/>
      <c r="Q13" s="21"/>
      <c r="T13" s="13"/>
      <c r="U13" s="13"/>
      <c r="V13" s="13"/>
      <c r="W13" s="13"/>
    </row>
    <row r="14" spans="1:25" x14ac:dyDescent="0.25">
      <c r="C14" s="15"/>
      <c r="D14" s="1"/>
      <c r="T14" s="13"/>
      <c r="U14" s="13">
        <f>+SUM(C16:F16)</f>
        <v>-1622</v>
      </c>
      <c r="V14" s="13">
        <f>+SUM(F16:I16)</f>
        <v>444</v>
      </c>
      <c r="W14" s="13"/>
    </row>
    <row r="15" spans="1:25" x14ac:dyDescent="0.25">
      <c r="B15" t="s">
        <v>6</v>
      </c>
      <c r="C15" s="15">
        <v>733.5</v>
      </c>
      <c r="D15" s="1">
        <f>(1670-E15)/2</f>
        <v>733.5</v>
      </c>
      <c r="E15" s="13">
        <v>203</v>
      </c>
      <c r="F15" s="13">
        <f>764-SUM(C15:E15)</f>
        <v>-906</v>
      </c>
      <c r="G15" s="14">
        <v>203</v>
      </c>
      <c r="H15" s="13">
        <f>(617-I15)/2</f>
        <v>203</v>
      </c>
      <c r="I15" s="13">
        <v>211</v>
      </c>
      <c r="T15" s="13"/>
      <c r="U15" s="13">
        <f>+U14+U4-U5-U6</f>
        <v>-1624</v>
      </c>
      <c r="V15" s="13">
        <f t="shared" ref="V15" si="4">+V14+V4-V5-V6</f>
        <v>446.3</v>
      </c>
      <c r="W15" s="13">
        <f t="shared" ref="W15" si="5">+W14+W4-W5-W6</f>
        <v>7.0300000000000082</v>
      </c>
    </row>
    <row r="16" spans="1:25" x14ac:dyDescent="0.25">
      <c r="A16" s="3"/>
      <c r="B16" s="3" t="s">
        <v>7</v>
      </c>
      <c r="C16" s="26">
        <v>121</v>
      </c>
      <c r="D16" s="27">
        <f>(-1757-E16)/2</f>
        <v>121</v>
      </c>
      <c r="E16" s="17">
        <v>-1999</v>
      </c>
      <c r="F16" s="17">
        <f>-1622-SUM(C16:E16)</f>
        <v>135</v>
      </c>
      <c r="G16" s="18">
        <v>95.5</v>
      </c>
      <c r="H16" s="17">
        <f>(309-I16)/2</f>
        <v>95.5</v>
      </c>
      <c r="I16" s="17">
        <v>118</v>
      </c>
      <c r="J16" s="17"/>
      <c r="K16" s="18"/>
      <c r="L16" s="17"/>
      <c r="M16" s="17"/>
      <c r="N16" s="17"/>
      <c r="O16" s="18"/>
      <c r="P16" s="17"/>
      <c r="Q16" s="17"/>
      <c r="T16" s="13"/>
      <c r="U16" s="13"/>
      <c r="V16" s="13"/>
      <c r="W16" s="13"/>
    </row>
    <row r="17" spans="1:23" x14ac:dyDescent="0.25">
      <c r="A17" s="2"/>
      <c r="B17" s="2"/>
      <c r="C17" s="23"/>
      <c r="D17" s="2"/>
      <c r="E17" s="2"/>
      <c r="F17" s="2"/>
      <c r="G17" s="23"/>
      <c r="H17" s="2"/>
      <c r="I17" s="2"/>
      <c r="J17" s="2"/>
      <c r="K17" s="23"/>
      <c r="L17" s="2"/>
      <c r="M17" s="2"/>
      <c r="N17" s="2"/>
      <c r="O17" s="23"/>
      <c r="P17" s="2"/>
      <c r="Q17" s="2"/>
      <c r="S17" t="s">
        <v>23</v>
      </c>
      <c r="T17" s="13"/>
      <c r="U17" s="13">
        <v>279.04599999999999</v>
      </c>
      <c r="V17" s="13">
        <f>+U17</f>
        <v>279.04599999999999</v>
      </c>
      <c r="W17" s="13"/>
    </row>
    <row r="18" spans="1:23" x14ac:dyDescent="0.25">
      <c r="A18" s="3"/>
      <c r="B18" s="3"/>
      <c r="C18" s="4"/>
      <c r="D18" s="3"/>
      <c r="E18" s="3"/>
      <c r="F18" s="3"/>
      <c r="G18" s="4"/>
      <c r="H18" s="3"/>
      <c r="I18" s="3"/>
      <c r="J18" s="3"/>
      <c r="K18" s="4"/>
      <c r="L18" s="3"/>
      <c r="M18" s="3"/>
      <c r="N18" s="3"/>
      <c r="O18" s="4"/>
      <c r="P18" s="3"/>
      <c r="Q18" s="3"/>
      <c r="S18" t="s">
        <v>24</v>
      </c>
      <c r="T18" s="13"/>
      <c r="U18" s="13">
        <v>25</v>
      </c>
      <c r="V18" s="13">
        <v>42</v>
      </c>
      <c r="W18" s="13"/>
    </row>
    <row r="19" spans="1:23" x14ac:dyDescent="0.25">
      <c r="A19" s="3"/>
      <c r="B19" s="3" t="s">
        <v>8</v>
      </c>
      <c r="C19" s="4">
        <f t="shared" ref="C19:D19" si="6">+SUM(C20:C21)</f>
        <v>737.5</v>
      </c>
      <c r="D19" s="17">
        <f t="shared" si="6"/>
        <v>737.5</v>
      </c>
      <c r="E19" s="17">
        <f>+SUM(E20:E21)</f>
        <v>764</v>
      </c>
      <c r="F19" s="17">
        <f>+SUM(F20:F21)</f>
        <v>803</v>
      </c>
      <c r="G19" s="18">
        <v>410.75</v>
      </c>
      <c r="H19" s="17">
        <f>(+SUM(H20:H21))/2</f>
        <v>410.75</v>
      </c>
      <c r="I19" s="17">
        <f>+SUM(I20:I21)</f>
        <v>852</v>
      </c>
      <c r="J19" s="17"/>
      <c r="K19" s="18"/>
      <c r="L19" s="17"/>
      <c r="M19" s="17"/>
      <c r="N19" s="17"/>
      <c r="O19" s="18"/>
      <c r="P19" s="17"/>
      <c r="Q19" s="17"/>
      <c r="T19" s="13"/>
      <c r="U19" s="13">
        <f>+U17*U18</f>
        <v>6976.15</v>
      </c>
      <c r="V19" s="13">
        <f>+V17*V18</f>
        <v>11719.931999999999</v>
      </c>
      <c r="W19" s="13"/>
    </row>
    <row r="20" spans="1:23" x14ac:dyDescent="0.25">
      <c r="B20" s="16" t="s">
        <v>9</v>
      </c>
      <c r="C20" s="5">
        <v>713</v>
      </c>
      <c r="D20" s="13">
        <f>(2163-E20)/2</f>
        <v>713</v>
      </c>
      <c r="E20" s="13">
        <v>737</v>
      </c>
      <c r="F20" s="13">
        <f>2936-SUM(C20:E20)</f>
        <v>773</v>
      </c>
      <c r="G20" s="14">
        <v>789</v>
      </c>
      <c r="H20" s="13">
        <f>(2399-I20)/2</f>
        <v>789</v>
      </c>
      <c r="I20" s="13">
        <v>821</v>
      </c>
      <c r="S20" t="s">
        <v>25</v>
      </c>
      <c r="T20" s="13"/>
      <c r="U20" s="13">
        <v>67</v>
      </c>
      <c r="V20" s="13">
        <f>16+34</f>
        <v>50</v>
      </c>
      <c r="W20" s="13"/>
    </row>
    <row r="21" spans="1:23" x14ac:dyDescent="0.25">
      <c r="B21" s="16" t="s">
        <v>10</v>
      </c>
      <c r="C21" s="5">
        <v>24.5</v>
      </c>
      <c r="D21" s="13">
        <f>(76-E21)/2</f>
        <v>24.5</v>
      </c>
      <c r="E21" s="13">
        <v>27</v>
      </c>
      <c r="F21" s="13">
        <f>106-SUM(C21:E21)</f>
        <v>30</v>
      </c>
      <c r="G21" s="14">
        <v>32.5</v>
      </c>
      <c r="H21" s="13">
        <f>(96-I21)/2</f>
        <v>32.5</v>
      </c>
      <c r="I21" s="13">
        <v>31</v>
      </c>
      <c r="S21" t="s">
        <v>26</v>
      </c>
      <c r="U21" s="33">
        <f>+U20-U8</f>
        <v>-2070</v>
      </c>
      <c r="V21" s="33">
        <v>0</v>
      </c>
    </row>
    <row r="22" spans="1:23" x14ac:dyDescent="0.25">
      <c r="S22" t="s">
        <v>27</v>
      </c>
      <c r="U22" s="13">
        <f>+U19+U21</f>
        <v>4906.1499999999996</v>
      </c>
      <c r="V22" s="13">
        <f>+V19+V21</f>
        <v>11719.931999999999</v>
      </c>
    </row>
    <row r="23" spans="1:23" x14ac:dyDescent="0.25">
      <c r="A23" s="3"/>
      <c r="B23" s="3" t="s">
        <v>11</v>
      </c>
      <c r="C23" s="18">
        <f t="shared" ref="C23:D23" si="7">+SUM(C24:C25)</f>
        <v>737.5</v>
      </c>
      <c r="D23" s="17">
        <f t="shared" si="7"/>
        <v>737.5</v>
      </c>
      <c r="E23" s="17">
        <f>+SUM(E24:E25)</f>
        <v>764</v>
      </c>
      <c r="F23" s="17">
        <f>+SUM(F24:F25)</f>
        <v>803</v>
      </c>
      <c r="G23" s="18">
        <v>410.75</v>
      </c>
      <c r="H23" s="17">
        <f>(+SUM(H24:H25))/2</f>
        <v>410.75</v>
      </c>
      <c r="I23" s="17">
        <f>+SUM(I24:I25)</f>
        <v>852</v>
      </c>
      <c r="J23" s="17"/>
      <c r="K23" s="18"/>
      <c r="L23" s="17"/>
      <c r="M23" s="17"/>
      <c r="N23" s="17"/>
      <c r="O23" s="18"/>
      <c r="P23" s="17"/>
      <c r="Q23" s="17"/>
    </row>
    <row r="24" spans="1:23" x14ac:dyDescent="0.25">
      <c r="B24" t="s">
        <v>12</v>
      </c>
      <c r="C24" s="5">
        <v>534.5</v>
      </c>
      <c r="D24" s="13">
        <f>(1611-E24)/2</f>
        <v>534.5</v>
      </c>
      <c r="E24" s="13">
        <v>542</v>
      </c>
      <c r="F24" s="13">
        <f>2171-SUM(C24:E24)</f>
        <v>560</v>
      </c>
      <c r="G24" s="14">
        <v>599</v>
      </c>
      <c r="H24" s="13">
        <f>(1804-I24)/2</f>
        <v>599</v>
      </c>
      <c r="I24" s="13">
        <v>606</v>
      </c>
      <c r="S24" t="s">
        <v>28</v>
      </c>
      <c r="U24" s="36">
        <f>+U15/U22</f>
        <v>-0.33101311619090329</v>
      </c>
      <c r="V24" s="36">
        <f>+V15/V22</f>
        <v>3.8080425722606587E-2</v>
      </c>
    </row>
    <row r="25" spans="1:23" x14ac:dyDescent="0.25">
      <c r="B25" t="s">
        <v>13</v>
      </c>
      <c r="C25" s="5">
        <v>203</v>
      </c>
      <c r="D25" s="13">
        <f>(628-E25)/2</f>
        <v>203</v>
      </c>
      <c r="E25" s="13">
        <v>222</v>
      </c>
      <c r="F25" s="13">
        <f>871-SUM(C25:E25)</f>
        <v>243</v>
      </c>
      <c r="G25" s="14">
        <v>222.5</v>
      </c>
      <c r="H25" s="13">
        <f>(691-I25)/2</f>
        <v>222.5</v>
      </c>
      <c r="I25" s="13">
        <v>246</v>
      </c>
    </row>
    <row r="26" spans="1:23" x14ac:dyDescent="0.25">
      <c r="S26" t="s">
        <v>29</v>
      </c>
      <c r="V26" s="33">
        <f>+V20-V8</f>
        <v>-1238</v>
      </c>
    </row>
    <row r="27" spans="1:23" x14ac:dyDescent="0.25">
      <c r="B27" s="3" t="s">
        <v>8</v>
      </c>
      <c r="E27" s="37">
        <f t="shared" ref="E27:I27" si="8">+E19/D19-1</f>
        <v>3.5932203389830608E-2</v>
      </c>
      <c r="F27" s="37">
        <f t="shared" si="8"/>
        <v>5.1047120418848069E-2</v>
      </c>
      <c r="G27" s="38">
        <f t="shared" si="8"/>
        <v>-0.48848069738480693</v>
      </c>
      <c r="H27" s="37">
        <f t="shared" si="8"/>
        <v>0</v>
      </c>
      <c r="I27" s="37">
        <f t="shared" si="8"/>
        <v>1.0742544126597688</v>
      </c>
    </row>
    <row r="28" spans="1:23" x14ac:dyDescent="0.25">
      <c r="B28" s="16" t="s">
        <v>9</v>
      </c>
      <c r="E28" s="37">
        <f t="shared" ref="D28:I28" si="9">+E20/D20-1</f>
        <v>3.3660589060308554E-2</v>
      </c>
      <c r="F28" s="37">
        <f t="shared" si="9"/>
        <v>4.8846675712347354E-2</v>
      </c>
      <c r="G28" s="38">
        <f t="shared" si="9"/>
        <v>2.0698576972833171E-2</v>
      </c>
      <c r="H28" s="37">
        <f t="shared" si="9"/>
        <v>0</v>
      </c>
      <c r="I28" s="37">
        <f t="shared" si="9"/>
        <v>4.0557667934093766E-2</v>
      </c>
    </row>
    <row r="29" spans="1:23" x14ac:dyDescent="0.25">
      <c r="B29" s="16" t="s">
        <v>10</v>
      </c>
      <c r="E29" s="37">
        <f t="shared" ref="D29:I29" si="10">+E21/D21-1</f>
        <v>0.1020408163265305</v>
      </c>
      <c r="F29" s="37">
        <f t="shared" si="10"/>
        <v>0.11111111111111116</v>
      </c>
      <c r="G29" s="38">
        <f t="shared" si="10"/>
        <v>8.3333333333333259E-2</v>
      </c>
      <c r="H29" s="37">
        <f t="shared" si="10"/>
        <v>0</v>
      </c>
      <c r="I29" s="37">
        <f t="shared" si="10"/>
        <v>-4.6153846153846101E-2</v>
      </c>
    </row>
    <row r="30" spans="1:23" x14ac:dyDescent="0.25">
      <c r="E30" s="37"/>
      <c r="F30" s="37"/>
      <c r="G30" s="38"/>
      <c r="H30" s="37"/>
      <c r="I30" s="37"/>
    </row>
    <row r="31" spans="1:23" x14ac:dyDescent="0.25">
      <c r="B31" s="3" t="s">
        <v>11</v>
      </c>
      <c r="E31" s="37">
        <f t="shared" ref="D31:I31" si="11">+E23/D23-1</f>
        <v>3.5932203389830608E-2</v>
      </c>
      <c r="F31" s="37">
        <f t="shared" si="11"/>
        <v>5.1047120418848069E-2</v>
      </c>
      <c r="G31" s="38">
        <f t="shared" si="11"/>
        <v>-0.48848069738480693</v>
      </c>
      <c r="H31" s="37">
        <f t="shared" si="11"/>
        <v>0</v>
      </c>
      <c r="I31" s="37">
        <f t="shared" si="11"/>
        <v>1.0742544126597688</v>
      </c>
    </row>
    <row r="32" spans="1:23" x14ac:dyDescent="0.25">
      <c r="B32" t="s">
        <v>12</v>
      </c>
      <c r="E32" s="37">
        <f t="shared" ref="D32:I32" si="12">+E24/D24-1</f>
        <v>1.4031805425631427E-2</v>
      </c>
      <c r="F32" s="37">
        <f t="shared" si="12"/>
        <v>3.3210332103321027E-2</v>
      </c>
      <c r="G32" s="38">
        <f t="shared" si="12"/>
        <v>6.9642857142857117E-2</v>
      </c>
      <c r="H32" s="37">
        <f t="shared" si="12"/>
        <v>0</v>
      </c>
      <c r="I32" s="37">
        <f t="shared" si="12"/>
        <v>1.1686143572620988E-2</v>
      </c>
    </row>
    <row r="33" spans="2:9" x14ac:dyDescent="0.25">
      <c r="B33" t="s">
        <v>13</v>
      </c>
      <c r="E33" s="37">
        <f t="shared" ref="D33:I33" si="13">+E25/D25-1</f>
        <v>9.3596059113300489E-2</v>
      </c>
      <c r="F33" s="37">
        <f t="shared" si="13"/>
        <v>9.4594594594594517E-2</v>
      </c>
      <c r="G33" s="38">
        <f t="shared" si="13"/>
        <v>-8.4362139917695478E-2</v>
      </c>
      <c r="H33" s="37">
        <f t="shared" si="13"/>
        <v>0</v>
      </c>
      <c r="I33" s="37">
        <f t="shared" si="13"/>
        <v>0.10561797752808988</v>
      </c>
    </row>
    <row r="35" spans="2:9" x14ac:dyDescent="0.25">
      <c r="B35" s="3" t="s">
        <v>5</v>
      </c>
      <c r="E35" s="37">
        <f>+E4/D4-1</f>
        <v>3.5932203389830608E-2</v>
      </c>
      <c r="F35" s="37">
        <f t="shared" ref="F35:I35" si="14">+F4/E4-1</f>
        <v>5.1047120418848069E-2</v>
      </c>
      <c r="G35" s="38">
        <f t="shared" si="14"/>
        <v>2.3038605230386144E-2</v>
      </c>
      <c r="H35" s="37">
        <f t="shared" si="14"/>
        <v>0</v>
      </c>
      <c r="I35" s="37">
        <f t="shared" si="14"/>
        <v>3.7127206329884421E-2</v>
      </c>
    </row>
    <row r="36" spans="2:9" x14ac:dyDescent="0.25">
      <c r="B36" t="s">
        <v>6</v>
      </c>
      <c r="E36" s="37"/>
      <c r="F36" s="37"/>
      <c r="G36" s="38"/>
      <c r="H36" s="37"/>
      <c r="I36" s="37">
        <f>+SUM(G15:I15)/SUM(C15:E15)-1</f>
        <v>-0.63053892215568863</v>
      </c>
    </row>
    <row r="37" spans="2:9" x14ac:dyDescent="0.25">
      <c r="B37" s="3" t="s">
        <v>7</v>
      </c>
      <c r="E37" s="37"/>
      <c r="F37" s="37"/>
      <c r="G37" s="38"/>
      <c r="H37" s="37"/>
      <c r="I37" s="37">
        <f>+SUM(F16:I16)/SUM(C16:F16)-1</f>
        <v>-1.2737361282367448</v>
      </c>
    </row>
  </sheetData>
  <mergeCells count="3">
    <mergeCell ref="C2:F2"/>
    <mergeCell ref="G2:J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2025-02-28T19:02:11Z</dcterms:modified>
</cp:coreProperties>
</file>