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c3cc25789a9f052/Documents/GitHub/modelz/Model/"/>
    </mc:Choice>
  </mc:AlternateContent>
  <xr:revisionPtr revIDLastSave="1" documentId="13_ncr:1_{63EC388C-2A56-4480-A812-EC889DED01EC}" xr6:coauthVersionLast="47" xr6:coauthVersionMax="47" xr10:uidLastSave="{B599C34A-2DAF-4007-A917-80C4A2701FD6}"/>
  <bookViews>
    <workbookView xWindow="4020" yWindow="990" windowWidth="28710" windowHeight="13560" xr2:uid="{00000000-000D-0000-FFFF-FFFF00000000}"/>
  </bookViews>
  <sheets>
    <sheet name="DCF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DCF!$E$25:$I$25</definedName>
    <definedName name="sensitivityTV">DCF!$E$23:$I$23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H14" i="1"/>
  <c r="G14" i="1"/>
  <c r="F14" i="1"/>
  <c r="E14" i="1"/>
  <c r="D14" i="1"/>
  <c r="C35" i="1"/>
  <c r="C27" i="1"/>
  <c r="C6" i="1"/>
  <c r="L184" i="3"/>
  <c r="K184" i="3"/>
  <c r="J184" i="3"/>
  <c r="I184" i="3"/>
  <c r="H184" i="3"/>
  <c r="G184" i="3"/>
  <c r="J178" i="3"/>
  <c r="L178" i="3" s="1"/>
  <c r="I178" i="3"/>
  <c r="K178" i="3" s="1"/>
  <c r="H178" i="3"/>
  <c r="K15" i="3"/>
  <c r="K17" i="3" s="1"/>
  <c r="J15" i="3"/>
  <c r="J17" i="3" s="1"/>
  <c r="L40" i="3"/>
  <c r="K40" i="3"/>
  <c r="J40" i="3"/>
  <c r="I40" i="3"/>
  <c r="H40" i="3"/>
  <c r="I17" i="3"/>
  <c r="H17" i="3"/>
  <c r="G17" i="3"/>
  <c r="F23" i="1"/>
  <c r="G23" i="1" s="1"/>
  <c r="H23" i="1" s="1"/>
  <c r="I23" i="1" s="1"/>
  <c r="L15" i="3" l="1"/>
  <c r="L17" i="3" s="1"/>
  <c r="H163" i="3" a="1"/>
  <c r="H163" i="3" s="1"/>
  <c r="C23" i="1" l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8" i="1" l="1"/>
  <c r="C26" i="1" l="1"/>
  <c r="C21" i="1"/>
  <c r="C25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33" i="1" s="1"/>
  <c r="I81" i="3"/>
  <c r="J81" i="3" s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2" i="3"/>
  <c r="E6" i="1"/>
  <c r="H182" i="3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3" i="3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6" i="3"/>
  <c r="G6" i="1"/>
  <c r="L176" i="3"/>
  <c r="L177" i="3" s="1"/>
  <c r="K183" i="3" l="1"/>
  <c r="K182" i="3"/>
  <c r="L182" i="3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194" i="3"/>
  <c r="D8" i="1"/>
  <c r="D9" i="1" s="1"/>
  <c r="H8" i="1" l="1"/>
  <c r="H9" i="1" s="1"/>
  <c r="H10" i="1" s="1"/>
  <c r="G8" i="1"/>
  <c r="G9" i="1" s="1"/>
  <c r="G10" i="1" s="1"/>
  <c r="E8" i="1"/>
  <c r="E9" i="1" s="1"/>
  <c r="E16" i="1" s="1"/>
  <c r="F8" i="1"/>
  <c r="F9" i="1" s="1"/>
  <c r="F16" i="1" s="1"/>
  <c r="D10" i="1"/>
  <c r="D16" i="1"/>
  <c r="E10" i="1"/>
  <c r="G16" i="1" l="1"/>
  <c r="F10" i="1"/>
  <c r="H16" i="1" l="1"/>
  <c r="H17" i="1" s="1"/>
  <c r="E25" i="1" l="1" a="1"/>
  <c r="E25" i="1" s="1"/>
  <c r="E28" i="1" s="1" a="1"/>
  <c r="E28" i="1" s="1"/>
  <c r="C34" i="1"/>
  <c r="C36" i="1" s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<sst xmlns="http://schemas.openxmlformats.org/spreadsheetml/2006/main" count="442" uniqueCount="290">
  <si>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</si>
  <si>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</si>
  <si>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</si>
  <si>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</si>
  <si>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</si>
  <si>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</si>
  <si>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</si>
  <si>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</si>
  <si>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</si>
  <si>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</si>
  <si>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</si>
  <si>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</si>
  <si>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</si>
  <si>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</si>
  <si>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</si>
  <si>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</si>
  <si>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</si>
  <si>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</si>
  <si>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</si>
  <si>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</si>
  <si>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</si>
  <si>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</si>
  <si>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</si>
  <si>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</si>
  <si>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</si>
  <si>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</si>
  <si>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</si>
  <si>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</si>
  <si>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</si>
  <si>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</si>
  <si>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</si>
  <si>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</si>
  <si>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</si>
  <si>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</si>
  <si>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</si>
  <si>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</si>
  <si>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</si>
  <si>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</si>
  <si>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</si>
  <si>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</si>
  <si>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</si>
  <si>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</si>
  <si>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</si>
  <si>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</si>
  <si>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</si>
  <si>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</si>
  <si>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</si>
  <si>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</si>
  <si>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</si>
  <si>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</si>
  <si>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</si>
  <si>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</si>
  <si>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</si>
  <si>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</si>
  <si>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</si>
  <si>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</si>
  <si>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</si>
  <si>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</si>
  <si>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</si>
  <si>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</si>
  <si>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</si>
  <si>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</si>
  <si>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</si>
  <si>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</si>
  <si>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</si>
  <si>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</si>
  <si>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</si>
  <si>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</si>
  <si>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</si>
  <si>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</si>
  <si>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</si>
  <si>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</si>
  <si>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</si>
  <si>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</si>
  <si>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</si>
  <si>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</si>
  <si>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</si>
  <si>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</si>
  <si>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</si>
  <si>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</si>
  <si>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</si>
  <si>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</si>
  <si>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</si>
  <si>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</si>
  <si>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</si>
  <si>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</si>
  <si>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</si>
  <si>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</si>
  <si>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</si>
  <si>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</si>
  <si>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</si>
  <si>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</si>
  <si>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</si>
  <si>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</si>
  <si>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</si>
  <si>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</si>
  <si>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</si>
  <si>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</si>
  <si>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</si>
  <si>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</si>
  <si>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</si>
  <si>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</si>
  <si>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</si>
  <si>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</si>
  <si>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</si>
  <si>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</si>
  <si>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</si>
  <si>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</si>
  <si>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</si>
  <si>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</si>
  <si>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</si>
  <si>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</si>
  <si>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</si>
  <si>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</si>
  <si>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</si>
  <si>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</si>
  <si>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</si>
  <si>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</si>
  <si>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</si>
  <si>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</si>
  <si>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</si>
  <si>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</si>
  <si>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</si>
  <si>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</si>
  <si>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</si>
  <si>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</si>
  <si>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</si>
  <si>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</si>
  <si>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</si>
  <si>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</si>
  <si>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</si>
  <si>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</si>
  <si>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</si>
  <si>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</si>
  <si>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</si>
  <si>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</si>
  <si>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</si>
  <si>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</si>
  <si>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</si>
  <si>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</si>
  <si>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</si>
  <si>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</si>
  <si>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</si>
  <si>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</si>
  <si>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</si>
  <si>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</si>
  <si>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</si>
  <si>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</si>
  <si>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</si>
  <si>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</si>
  <si>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</si>
  <si>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</si>
  <si>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</si>
  <si>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</si>
  <si>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</si>
  <si>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</si>
  <si>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</si>
  <si>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</si>
  <si>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</si>
  <si>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</si>
  <si>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</si>
  <si>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</si>
  <si>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</si>
  <si>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</si>
  <si>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</si>
  <si>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</si>
  <si>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</si>
  <si>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</si>
  <si>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</si>
  <si>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</si>
  <si>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</si>
  <si>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</si>
  <si>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</si>
  <si>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</si>
  <si>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</si>
  <si>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</si>
  <si>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</si>
  <si>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</si>
  <si>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</si>
  <si>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</si>
  <si>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</si>
  <si>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</si>
  <si>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</si>
  <si>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</si>
  <si>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</si>
  <si>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</si>
  <si>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</si>
  <si>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</si>
  <si>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</si>
  <si>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</si>
  <si>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</si>
  <si>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</si>
  <si>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</si>
  <si>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</si>
  <si>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</si>
  <si>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</si>
  <si>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</si>
  <si>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</si>
  <si>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</si>
  <si>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</si>
  <si>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</si>
  <si>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</si>
  <si>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</si>
  <si>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</si>
  <si>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</si>
  <si>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</si>
  <si>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</si>
  <si>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</si>
  <si>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</si>
  <si>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</si>
  <si>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</si>
  <si>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</si>
  <si>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</si>
  <si>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</si>
  <si>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</si>
  <si>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</si>
  <si>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</si>
  <si>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</si>
  <si>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</si>
  <si>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</si>
  <si>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</si>
  <si>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</si>
  <si>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</si>
  <si>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</si>
  <si>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</si>
  <si>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</si>
  <si>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</si>
  <si>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</si>
  <si>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</si>
  <si>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</si>
  <si>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</si>
  <si>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</si>
  <si>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</si>
  <si>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</si>
  <si>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</si>
  <si>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</si>
  <si>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</si>
  <si>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</si>
  <si>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</si>
  <si>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</si>
  <si>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</si>
  <si>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</si>
  <si>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</si>
  <si>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</si>
  <si>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</si>
  <si>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</si>
  <si>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</si>
  <si>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</si>
  <si>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</si>
  <si>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</si>
  <si>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</si>
  <si>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</si>
  <si>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</si>
  <si>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</si>
  <si>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</si>
  <si>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</si>
  <si>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</si>
  <si>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</si>
  <si>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</si>
  <si>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</si>
  <si>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</si>
  <si>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</si>
  <si>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</si>
  <si>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</si>
  <si>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</si>
  <si>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</si>
  <si>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</si>
  <si>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</si>
  <si>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</si>
  <si>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</si>
  <si>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</si>
  <si>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</si>
  <si>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</si>
  <si>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</si>
  <si>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</si>
  <si>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</si>
  <si>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</si>
  <si>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</si>
  <si>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</si>
  <si>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</si>
  <si>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</si>
  <si>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</si>
  <si>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</si>
  <si>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</si>
  <si>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</si>
  <si>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</si>
  <si>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</si>
  <si>
    <t>Training and inference</t>
  </si>
  <si>
    <t>Lord Aswath's ERP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</si>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</sst>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165" fontId="21" fillId="0" borderId="7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43" fontId="0" fillId="0" borderId="2" xfId="3" applyFont="1" applyBorder="1"/>
    <xf numFmtId="10" fontId="22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2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  <xf numFmtId="0" fontId="23" fillId="0" borderId="0" xfId="0" applyFont="1"/>
    <xf numFmtId="10" fontId="22" fillId="0" borderId="0" xfId="4" applyNumberFormat="1" applyFont="1" applyBorder="1"/>
    <xf numFmtId="10" fontId="13" fillId="2" borderId="2" xfId="3" applyNumberFormat="1" applyFont="1" applyFill="1" applyBorder="1"/>
    <xf numFmtId="0" fontId="18" fillId="0" borderId="0" xfId="0" applyFont="1"/>
    <xf numFmtId="10" fontId="6" fillId="0" borderId="9" xfId="0" applyNumberFormat="1" applyFont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36"/>
  <sheetViews>
    <sheetView showGridLines="0" tabSelected="1" topLeftCell="A9" workbookViewId="0">
      <selection activeCell="C30" sqref="C30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56081034.379282802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44313764.053826235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1256449.3614646494</v>
      </c>
      <c r="E8" s="87">
        <f>+'Financial Statement'!I193</f>
        <v>2540383.609144019</v>
      </c>
      <c r="F8" s="87">
        <f>+'Financial Statement'!J193</f>
        <v>3005667.5569887199</v>
      </c>
      <c r="G8" s="87">
        <f>+'Financial Statement'!K193</f>
        <v>3244385.2838743161</v>
      </c>
      <c r="H8" s="87">
        <f>+'Financial Statement'!L193</f>
        <v>3157792.9698418947</v>
      </c>
    </row>
    <row r="9" spans="2:9" x14ac:dyDescent="0.25">
      <c r="B9" s="85" t="s">
        <v>222</v>
      </c>
      <c r="C9" s="44">
        <f>+C6-C8</f>
        <v>28914000</v>
      </c>
      <c r="D9" s="44">
        <f>+D6-D8</f>
        <v>20269466.638535351</v>
      </c>
      <c r="E9" s="44">
        <f t="shared" ref="E9:H9" si="1">+E6-E8</f>
        <v>33827838.350855984</v>
      </c>
      <c r="F9" s="44">
        <f t="shared" si="1"/>
        <v>39563296.856011271</v>
      </c>
      <c r="G9" s="44">
        <f t="shared" si="1"/>
        <v>41533398.813606679</v>
      </c>
      <c r="H9" s="44">
        <f t="shared" si="1"/>
        <v>41155971.083984338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0.37665234108570061</v>
      </c>
      <c r="E10" s="54">
        <f t="shared" si="2"/>
        <v>0.6016700760833924</v>
      </c>
      <c r="F10" s="54">
        <f t="shared" si="2"/>
        <v>0.68786128161126237</v>
      </c>
      <c r="G10" s="54">
        <f t="shared" si="2"/>
        <v>0.71988734354445805</v>
      </c>
      <c r="H10" s="54">
        <f t="shared" si="2"/>
        <v>0.73386611961615289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+D9+D11+D12+D13</f>
        <v>20269466.638535351</v>
      </c>
      <c r="E14" s="52">
        <f t="shared" ref="E14:H14" si="3">+E9+E11+E12+E13</f>
        <v>33827838.350855984</v>
      </c>
      <c r="F14" s="52">
        <f t="shared" si="3"/>
        <v>39563296.856011271</v>
      </c>
      <c r="G14" s="52">
        <f t="shared" si="3"/>
        <v>41533398.813606679</v>
      </c>
      <c r="H14" s="52">
        <f t="shared" si="3"/>
        <v>41155971.083984338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4">+E15+1</f>
        <v>2</v>
      </c>
      <c r="G15" s="92">
        <f t="shared" si="4"/>
        <v>3</v>
      </c>
      <c r="H15" s="92">
        <f t="shared" si="4"/>
        <v>4</v>
      </c>
    </row>
    <row r="16" spans="2:9" ht="17.25" x14ac:dyDescent="0.4">
      <c r="B16" s="41" t="s">
        <v>230</v>
      </c>
      <c r="C16" s="41"/>
      <c r="D16" s="45">
        <f>+D14/(1+$C$30)^D15</f>
        <v>20269466.638535351</v>
      </c>
      <c r="E16" s="45">
        <f>+E14/(1+$C$30)^E15</f>
        <v>29529091.808938231</v>
      </c>
      <c r="F16" s="45">
        <f>+F14/(1+$C$30)^F15</f>
        <v>30147004.214950841</v>
      </c>
      <c r="G16" s="45">
        <f>+G14/(1+$C$30)^G15</f>
        <v>27626444.981024522</v>
      </c>
      <c r="H16" s="96">
        <f>+H14/(1+$C$30)^H15</f>
        <v>23896606.2324147</v>
      </c>
    </row>
    <row r="17" spans="2:14" x14ac:dyDescent="0.25">
      <c r="D17" s="54"/>
      <c r="H17" s="52">
        <f>+SUM(D16:H16)</f>
        <v>131468613.87586364</v>
      </c>
    </row>
    <row r="19" spans="2:14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+C36/C21</f>
        <v>208.27032063770545</v>
      </c>
    </row>
    <row r="20" spans="2:14" x14ac:dyDescent="0.25">
      <c r="B20" t="s">
        <v>239</v>
      </c>
      <c r="C20" s="109">
        <v>5.5E-2</v>
      </c>
    </row>
    <row r="21" spans="2:14" x14ac:dyDescent="0.25">
      <c r="B21" t="s">
        <v>233</v>
      </c>
      <c r="C21" s="43">
        <f>+'Financial Statement'!G195</f>
        <v>2469000</v>
      </c>
    </row>
    <row r="22" spans="2:14" x14ac:dyDescent="0.25">
      <c r="B22" t="s">
        <v>234</v>
      </c>
      <c r="C22" s="110">
        <v>1000</v>
      </c>
      <c r="E22" s="41" t="s">
        <v>276</v>
      </c>
    </row>
    <row r="23" spans="2:14" x14ac:dyDescent="0.25">
      <c r="B23" t="s">
        <v>274</v>
      </c>
      <c r="C23" s="43">
        <f>+SLOPE(df!D2:D755,df!E2:E755)</f>
        <v>2.1784693004584912</v>
      </c>
      <c r="E23" s="108">
        <v>2.5000000000000001E-2</v>
      </c>
      <c r="F23" s="108">
        <f>+E23+0.5%</f>
        <v>3.0000000000000002E-2</v>
      </c>
      <c r="G23" s="108">
        <f t="shared" ref="G23:I23" si="5">+F23+0.5%</f>
        <v>3.5000000000000003E-2</v>
      </c>
      <c r="H23" s="108">
        <f t="shared" si="5"/>
        <v>0.04</v>
      </c>
      <c r="I23" s="108">
        <f t="shared" si="5"/>
        <v>4.4999999999999998E-2</v>
      </c>
    </row>
    <row r="24" spans="2:14" x14ac:dyDescent="0.25">
      <c r="B24" s="118" t="s">
        <v>288</v>
      </c>
      <c r="C24" s="117">
        <v>4.1799999999999997E-2</v>
      </c>
      <c r="E24" s="116"/>
      <c r="F24" s="116"/>
      <c r="G24" s="116"/>
      <c r="H24" s="116"/>
      <c r="I24" s="116"/>
    </row>
    <row r="25" spans="2:14" x14ac:dyDescent="0.25">
      <c r="B25" t="s">
        <v>235</v>
      </c>
      <c r="C25" s="44">
        <f>+C21*C22</f>
        <v>2469000000</v>
      </c>
      <c r="E25" s="43" cm="1">
        <f t="array" ref="E25:I25">+($H$14*(1+sensitivityTV)/(C30-sensitivityTV))-$C$35+$H$17</f>
        <v>478857952.79030323</v>
      </c>
      <c r="F25" s="43">
        <v>495773795.13616931</v>
      </c>
      <c r="G25" s="43">
        <v>514219421.65449476</v>
      </c>
      <c r="H25" s="43">
        <v>534412179.27317142</v>
      </c>
      <c r="I25" s="43">
        <v>556612635.07257831</v>
      </c>
    </row>
    <row r="26" spans="2:14" x14ac:dyDescent="0.25">
      <c r="B26" t="s">
        <v>236</v>
      </c>
      <c r="C26" s="44">
        <f>+SUM('Debt Schedule'!B13)</f>
        <v>9750000</v>
      </c>
    </row>
    <row r="27" spans="2:14" x14ac:dyDescent="0.25">
      <c r="B27" t="s">
        <v>237</v>
      </c>
      <c r="C27" s="54">
        <f>+C20+C23*C24</f>
        <v>0.14606001675916491</v>
      </c>
      <c r="D27" s="95"/>
      <c r="E27" s="41" t="s">
        <v>246</v>
      </c>
      <c r="N27" t="s">
        <v>289</v>
      </c>
    </row>
    <row r="28" spans="2:14" x14ac:dyDescent="0.25">
      <c r="B28" t="s">
        <v>238</v>
      </c>
      <c r="C28" s="54">
        <f>+SUMPRODUCT('Debt Schedule'!B5:B12,'Debt Schedule'!C5:C12)/SUM('Debt Schedule'!B5:B12)</f>
        <v>2.6335897435897437E-2</v>
      </c>
      <c r="E28" s="107" cm="1">
        <f t="array" ref="E28:I28">+sensitivityTEV/$C$21</f>
        <v>193.94813802766433</v>
      </c>
      <c r="F28" s="107">
        <v>200.7994309988535</v>
      </c>
      <c r="G28" s="107">
        <v>208.27032063770545</v>
      </c>
      <c r="H28" s="107">
        <v>216.44883729168546</v>
      </c>
      <c r="I28" s="107">
        <v>225.44051643279801</v>
      </c>
    </row>
    <row r="29" spans="2:14" x14ac:dyDescent="0.25">
      <c r="C29" s="54"/>
    </row>
    <row r="30" spans="2:14" x14ac:dyDescent="0.25">
      <c r="B30" s="106" t="s">
        <v>231</v>
      </c>
      <c r="C30" s="119">
        <f>+(C25/SUM(C25:C26)*C27+(C26/SUM(C25:C26))*C28*(1-C19))</f>
        <v>0.14557665944255538</v>
      </c>
      <c r="G30" s="44"/>
    </row>
    <row r="32" spans="2:14" x14ac:dyDescent="0.25">
      <c r="B32" t="s">
        <v>241</v>
      </c>
      <c r="C32" s="109">
        <v>3.5000000000000003E-2</v>
      </c>
    </row>
    <row r="33" spans="2:3" ht="17.25" x14ac:dyDescent="0.4">
      <c r="B33" t="s">
        <v>242</v>
      </c>
      <c r="C33" s="97">
        <f>(H14*(1+C32)/(C30-C32))</f>
        <v>385220807.77863115</v>
      </c>
    </row>
    <row r="34" spans="2:3" x14ac:dyDescent="0.25">
      <c r="B34" s="41" t="s">
        <v>243</v>
      </c>
      <c r="C34" s="52">
        <f>+C33+H17</f>
        <v>516689421.65449476</v>
      </c>
    </row>
    <row r="35" spans="2:3" ht="17.25" x14ac:dyDescent="0.4">
      <c r="B35" s="90" t="s">
        <v>244</v>
      </c>
      <c r="C35" s="98">
        <f>+'Debt Schedule'!B13-'Financial Statement'!H81</f>
        <v>2470000</v>
      </c>
    </row>
    <row r="36" spans="2:3" x14ac:dyDescent="0.25">
      <c r="B36" s="41" t="s">
        <v>245</v>
      </c>
      <c r="C36" s="52">
        <f>+C34-C35</f>
        <v>514219421.65449476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4" sqref="B1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3" t="s">
        <v>281</v>
      </c>
      <c r="C17" s="111"/>
      <c r="D17" s="111"/>
      <c r="E17" s="111"/>
      <c r="F17" s="111"/>
      <c r="G17" s="112">
        <f>+AVERAGE(G14:G16)</f>
        <v>35</v>
      </c>
      <c r="H17" s="112">
        <f t="shared" ref="H17:L17" si="2">+AVERAGE(H14:H16)</f>
        <v>36</v>
      </c>
      <c r="I17" s="112">
        <f t="shared" si="2"/>
        <v>38</v>
      </c>
      <c r="J17" s="112">
        <f t="shared" si="2"/>
        <v>39</v>
      </c>
      <c r="K17" s="112">
        <f t="shared" si="2"/>
        <v>39</v>
      </c>
      <c r="L17" s="112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3">
        <v>116000</v>
      </c>
      <c r="H20" s="113">
        <v>116000</v>
      </c>
      <c r="I20" s="113">
        <v>116000</v>
      </c>
      <c r="J20" s="113">
        <v>116000</v>
      </c>
      <c r="K20" s="113">
        <v>116000</v>
      </c>
      <c r="L20" s="113">
        <v>70000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3">
        <v>65000</v>
      </c>
      <c r="H21" s="113">
        <v>65000</v>
      </c>
      <c r="I21" s="113">
        <v>65000</v>
      </c>
      <c r="J21" s="113">
        <v>65000</v>
      </c>
      <c r="K21" s="113">
        <v>65000</v>
      </c>
      <c r="L21" s="113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3">
        <v>90000</v>
      </c>
      <c r="H22" s="113">
        <v>90000</v>
      </c>
      <c r="I22" s="113">
        <v>90000</v>
      </c>
      <c r="J22" s="113">
        <v>90000</v>
      </c>
      <c r="K22" s="113">
        <v>90000</v>
      </c>
      <c r="L22" s="113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3">
        <v>100000</v>
      </c>
      <c r="H23" s="113">
        <v>100000</v>
      </c>
      <c r="I23" s="113">
        <v>100000</v>
      </c>
      <c r="J23" s="113">
        <v>100000</v>
      </c>
      <c r="K23" s="113">
        <v>100000</v>
      </c>
      <c r="L23" s="113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3">
        <v>61000</v>
      </c>
      <c r="H24" s="113">
        <v>61000</v>
      </c>
      <c r="I24" s="113">
        <v>61000</v>
      </c>
      <c r="J24" s="113">
        <v>61000</v>
      </c>
      <c r="K24" s="113">
        <v>61000</v>
      </c>
      <c r="L24" s="113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3">
        <v>130000</v>
      </c>
      <c r="H25" s="113">
        <v>130000</v>
      </c>
      <c r="I25" s="113">
        <v>130000</v>
      </c>
      <c r="J25" s="113">
        <v>130000</v>
      </c>
      <c r="K25" s="113">
        <v>130000</v>
      </c>
      <c r="L25" s="113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3">
        <v>11000</v>
      </c>
      <c r="H26" s="113">
        <v>11000</v>
      </c>
      <c r="I26" s="113">
        <v>11000</v>
      </c>
      <c r="J26" s="113">
        <v>11000</v>
      </c>
      <c r="K26" s="113">
        <v>11000</v>
      </c>
      <c r="L26" s="113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3">
        <v>85000</v>
      </c>
      <c r="H27" s="113">
        <v>85000</v>
      </c>
      <c r="I27" s="113">
        <v>85000</v>
      </c>
      <c r="J27" s="113">
        <v>85000</v>
      </c>
      <c r="K27" s="113">
        <v>85000</v>
      </c>
      <c r="L27" s="113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3">
        <v>57000</v>
      </c>
      <c r="H28" s="113">
        <v>57000</v>
      </c>
      <c r="I28" s="113">
        <v>57000</v>
      </c>
      <c r="J28" s="113">
        <v>57000</v>
      </c>
      <c r="K28" s="113">
        <v>57000</v>
      </c>
      <c r="L28" s="113">
        <v>57000</v>
      </c>
      <c r="M28" s="8"/>
      <c r="N28" s="8"/>
    </row>
    <row r="29" spans="1:14" x14ac:dyDescent="0.25">
      <c r="A29" s="16"/>
      <c r="B29" s="115" t="s">
        <v>256</v>
      </c>
      <c r="C29" s="8"/>
      <c r="D29" s="8"/>
      <c r="E29" s="8"/>
      <c r="F29" s="8"/>
      <c r="G29" s="113">
        <v>50000</v>
      </c>
      <c r="H29" s="113">
        <v>50000</v>
      </c>
      <c r="I29" s="113">
        <v>50000</v>
      </c>
      <c r="J29" s="113">
        <v>50000</v>
      </c>
      <c r="K29" s="113">
        <v>50000</v>
      </c>
      <c r="L29" s="113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3">
        <v>50000</v>
      </c>
      <c r="H30" s="113">
        <v>50000</v>
      </c>
      <c r="I30" s="113">
        <v>50000</v>
      </c>
      <c r="J30" s="113">
        <v>50000</v>
      </c>
      <c r="K30" s="113">
        <v>50000</v>
      </c>
      <c r="L30" s="113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3">
        <v>11000</v>
      </c>
      <c r="H31" s="113">
        <v>11000</v>
      </c>
      <c r="I31" s="113">
        <v>11000</v>
      </c>
      <c r="J31" s="113">
        <v>11000</v>
      </c>
      <c r="K31" s="113">
        <v>11000</v>
      </c>
      <c r="L31" s="113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3">
        <v>10000</v>
      </c>
      <c r="H32" s="113">
        <v>10000</v>
      </c>
      <c r="I32" s="113">
        <v>10000</v>
      </c>
      <c r="J32" s="113">
        <v>10000</v>
      </c>
      <c r="K32" s="113">
        <v>10000</v>
      </c>
      <c r="L32" s="113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3">
        <v>90000</v>
      </c>
      <c r="H33" s="113">
        <v>90000</v>
      </c>
      <c r="I33" s="113">
        <v>90000</v>
      </c>
      <c r="J33" s="113">
        <v>90000</v>
      </c>
      <c r="K33" s="113">
        <v>90000</v>
      </c>
      <c r="L33" s="113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3">
        <v>90000</v>
      </c>
      <c r="H34" s="113">
        <v>90000</v>
      </c>
      <c r="I34" s="113">
        <v>90000</v>
      </c>
      <c r="J34" s="113">
        <v>90000</v>
      </c>
      <c r="K34" s="113">
        <v>90000</v>
      </c>
      <c r="L34" s="113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3">
        <v>10000</v>
      </c>
      <c r="H35" s="113">
        <v>10000</v>
      </c>
      <c r="I35" s="113">
        <v>10000</v>
      </c>
      <c r="J35" s="113">
        <v>10000</v>
      </c>
      <c r="K35" s="113">
        <v>10000</v>
      </c>
      <c r="L35" s="113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3">
        <v>55000</v>
      </c>
      <c r="H36" s="113">
        <v>55000</v>
      </c>
      <c r="I36" s="113">
        <v>55000</v>
      </c>
      <c r="J36" s="113">
        <v>55000</v>
      </c>
      <c r="K36" s="113">
        <v>55000</v>
      </c>
      <c r="L36" s="113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3">
        <v>15000</v>
      </c>
      <c r="H37" s="113">
        <v>15000</v>
      </c>
      <c r="I37" s="113">
        <v>15000</v>
      </c>
      <c r="J37" s="113">
        <v>15000</v>
      </c>
      <c r="K37" s="113">
        <v>15000</v>
      </c>
      <c r="L37" s="113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3">
        <v>11000</v>
      </c>
      <c r="H38" s="113">
        <v>11000</v>
      </c>
      <c r="I38" s="113">
        <v>11000</v>
      </c>
      <c r="J38" s="113">
        <v>11000</v>
      </c>
      <c r="K38" s="113">
        <v>11000</v>
      </c>
      <c r="L38" s="113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3">
        <v>11000</v>
      </c>
      <c r="H39" s="113">
        <v>11000</v>
      </c>
      <c r="I39" s="113">
        <v>11000</v>
      </c>
      <c r="J39" s="113">
        <v>11000</v>
      </c>
      <c r="K39" s="113">
        <v>11000</v>
      </c>
      <c r="L39" s="113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4">
        <f>+SUM(G20:G39)</f>
        <v>1118000</v>
      </c>
      <c r="H40" s="114">
        <f t="shared" ref="H40:L40" si="3">+SUM(H20:H39)</f>
        <v>1118000</v>
      </c>
      <c r="I40" s="114">
        <f t="shared" si="3"/>
        <v>1118000</v>
      </c>
      <c r="J40" s="114">
        <f t="shared" si="3"/>
        <v>1118000</v>
      </c>
      <c r="K40" s="114">
        <f t="shared" si="3"/>
        <v>1118000</v>
      </c>
      <c r="L40" s="114">
        <f t="shared" si="3"/>
        <v>1072000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0.74549266900548683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0.19578636726163604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3.0574284271814599E-2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2.2552508687830566E-2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5.5941707732320572E-3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24823235.827315912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31257798.551966891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41808000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4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56081034.379282802</v>
      </c>
      <c r="M169" s="8"/>
    </row>
    <row r="170" spans="1:14" x14ac:dyDescent="0.25">
      <c r="A170" s="16"/>
      <c r="B170" s="104" t="s">
        <v>275</v>
      </c>
      <c r="C170" s="68"/>
      <c r="D170" s="105">
        <f>+D169/C169-1</f>
        <v>0.52729437625938824</v>
      </c>
      <c r="E170" s="105">
        <f t="shared" ref="E170:F170" si="31">+E169/D169-1</f>
        <v>0.61403298350824587</v>
      </c>
      <c r="F170" s="105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55529970.929682799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8412155.1568924207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2804051.7189641404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11216206.875856562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44313764.053826235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+F178</f>
        <v>267000</v>
      </c>
      <c r="I178" s="80">
        <f t="shared" ref="I178:L178" si="38">+G178</f>
        <v>866000</v>
      </c>
      <c r="J178" s="80">
        <f t="shared" si="38"/>
        <v>267000</v>
      </c>
      <c r="K178" s="80">
        <f t="shared" si="38"/>
        <v>866000</v>
      </c>
      <c r="L178" s="80">
        <f t="shared" si="38"/>
        <v>267000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-246550</v>
      </c>
      <c r="I181" s="69">
        <f t="shared" si="39"/>
        <v>368950</v>
      </c>
      <c r="J181" s="69">
        <f t="shared" si="39"/>
        <v>-230050</v>
      </c>
      <c r="K181" s="69">
        <f t="shared" si="39"/>
        <v>435150</v>
      </c>
      <c r="L181" s="69">
        <f t="shared" si="39"/>
        <v>-143350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9418919.0039066356</v>
      </c>
      <c r="I182" s="71">
        <f t="shared" ref="I182:L182" si="40">+I184*I57</f>
        <v>16261031.795958111</v>
      </c>
      <c r="J182" s="71">
        <f t="shared" si="40"/>
        <v>18740539.805997141</v>
      </c>
      <c r="K182" s="71">
        <f t="shared" si="40"/>
        <v>20012671.627206471</v>
      </c>
      <c r="L182" s="71">
        <f t="shared" si="40"/>
        <v>19551219.35221231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11860446.996093364</v>
      </c>
      <c r="I183" s="71">
        <f t="shared" ref="I183:L183" si="41">+I184*I58</f>
        <v>20476140.164041892</v>
      </c>
      <c r="J183" s="71">
        <f t="shared" si="41"/>
        <v>23598374.607002854</v>
      </c>
      <c r="K183" s="71">
        <f t="shared" si="41"/>
        <v>25200262.470274527</v>
      </c>
      <c r="L183" s="71">
        <f t="shared" si="41"/>
        <v>24619194.701613925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f>+G177+G181</f>
        <v>33818000</v>
      </c>
      <c r="H184" s="81">
        <f t="shared" ref="H184:L184" si="42">+H177+H181</f>
        <v>21279366</v>
      </c>
      <c r="I184" s="81">
        <f t="shared" si="42"/>
        <v>36737171.960000001</v>
      </c>
      <c r="J184" s="81">
        <f t="shared" si="42"/>
        <v>42338914.412999995</v>
      </c>
      <c r="K184" s="81">
        <f t="shared" si="42"/>
        <v>45212934.097480997</v>
      </c>
      <c r="L184" s="81">
        <f t="shared" si="42"/>
        <v>44170414.053826235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1977972.9908203934</v>
      </c>
      <c r="I185" s="57">
        <v>1977972.9908203934</v>
      </c>
      <c r="J185" s="63">
        <v>1977972.9908203934</v>
      </c>
      <c r="K185" s="57">
        <v>1977972.9908203934</v>
      </c>
      <c r="L185" s="63">
        <v>1977972.9908203934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210792.70240700219</v>
      </c>
      <c r="I186" s="67">
        <f t="shared" ref="I186:L186" si="43">+I184*I66</f>
        <v>363917.22179312794</v>
      </c>
      <c r="J186" s="67">
        <f t="shared" si="43"/>
        <v>419407.89899920154</v>
      </c>
      <c r="K186" s="67">
        <f t="shared" si="43"/>
        <v>447877.84383039013</v>
      </c>
      <c r="L186" s="67">
        <f t="shared" si="43"/>
        <v>437550.67443467351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1556683.6682372543</v>
      </c>
      <c r="I187" s="57">
        <v>2687493.3965304983</v>
      </c>
      <c r="J187" s="63">
        <v>3097286.6671691248</v>
      </c>
      <c r="K187" s="57">
        <v>3307534.4492235319</v>
      </c>
      <c r="L187" s="63">
        <v>3231269.3045868278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3745449.3614646494</v>
      </c>
      <c r="I188" s="82">
        <f t="shared" ref="I188:L188" si="44">+SUM(I185:I187)</f>
        <v>5029383.609144019</v>
      </c>
      <c r="J188" s="82">
        <f t="shared" si="44"/>
        <v>5494667.5569887199</v>
      </c>
      <c r="K188" s="82">
        <f t="shared" si="44"/>
        <v>5733385.2838743161</v>
      </c>
      <c r="L188" s="82">
        <f t="shared" si="44"/>
        <v>5646792.9698418947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1256449.3614646494</v>
      </c>
      <c r="I193" s="68">
        <f t="shared" si="47"/>
        <v>2540383.609144019</v>
      </c>
      <c r="J193" s="68">
        <f t="shared" si="47"/>
        <v>3005667.5569887199</v>
      </c>
      <c r="K193" s="68">
        <f t="shared" si="47"/>
        <v>3244385.2838743161</v>
      </c>
      <c r="L193" s="68">
        <f t="shared" si="47"/>
        <v>3157792.9698418947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20022916.638535351</v>
      </c>
      <c r="I194" s="70">
        <f t="shared" ref="I194:L194" si="48">+I184-I193</f>
        <v>34196788.350855984</v>
      </c>
      <c r="J194" s="70">
        <f t="shared" si="48"/>
        <v>39333246.856011271</v>
      </c>
      <c r="K194" s="70">
        <f t="shared" si="48"/>
        <v>41968548.813606679</v>
      </c>
      <c r="L194" s="70">
        <f t="shared" si="48"/>
        <v>41012621.083984338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F5" sqref="F5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 t="s">
        <v>287</v>
      </c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2" t="s">
        <v>271</v>
      </c>
      <c r="B1" s="102" t="s">
        <v>270</v>
      </c>
      <c r="C1" s="102" t="s">
        <v>269</v>
      </c>
      <c r="D1" s="102" t="s">
        <v>272</v>
      </c>
      <c r="E1" s="102" t="s">
        <v>273</v>
      </c>
    </row>
    <row r="2" spans="1:5" x14ac:dyDescent="0.25">
      <c r="A2" s="101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1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1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1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1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1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1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1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1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1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1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1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1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1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1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1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1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1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1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1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1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1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1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1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1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1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1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1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1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1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1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1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1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1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1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1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1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1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1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1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1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1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1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1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1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1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1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1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1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1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1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1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1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1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1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1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1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1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1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1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1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1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1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1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1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1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1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1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1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1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1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1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1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1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1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1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1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1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1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1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1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1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1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1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1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1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1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1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1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1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1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1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1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1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1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1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1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1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1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1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1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1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1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1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1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1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1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1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1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1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1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1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1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1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1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1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1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1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1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1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1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1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1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1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1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1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1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1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1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1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1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1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1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1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1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1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1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1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1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1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1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1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1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1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1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1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1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1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1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1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1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1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1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1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1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1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1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1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1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1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1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1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1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1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1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1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1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1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1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1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1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1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1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1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1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1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1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1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1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1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1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1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1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1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1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1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1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1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1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1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1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1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1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1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1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1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1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1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1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1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1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1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1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1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1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1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1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1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1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1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1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1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1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1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1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1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1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1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1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1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1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1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1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1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1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1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1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1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1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1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1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1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1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1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1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1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1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1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1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1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1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1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1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1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1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1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1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1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1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1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1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1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1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1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1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1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1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1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1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1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1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1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1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1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1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1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1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1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1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1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1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1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1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1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1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1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1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1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1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1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1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1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1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1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1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1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1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1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1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1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1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1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1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1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1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1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1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1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1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1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1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1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1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1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1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1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1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1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1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1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1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1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1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1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1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1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1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1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1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1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1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1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1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1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1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1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1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1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1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1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1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1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1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1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1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1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1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1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1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1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1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1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1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1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1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1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1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1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1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1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1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1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1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1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1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1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1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1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1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1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1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1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1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1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1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1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1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1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1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1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1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1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1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1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1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1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1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1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1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1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1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1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1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1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1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1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1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1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1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1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1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1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1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1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1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1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1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1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1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1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1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1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1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1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1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1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1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1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1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1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1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1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1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1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1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1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1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1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1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1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1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1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1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1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1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1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1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1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1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1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1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1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1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1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1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1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1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1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1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1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1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1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1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1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1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1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1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1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1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1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1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1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1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1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1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1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1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1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1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1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1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1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1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1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1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1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1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1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1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1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1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1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1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1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1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1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1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1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1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1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1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1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1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1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1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1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1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1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1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1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1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1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1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1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1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1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1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1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1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1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1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1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1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1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1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1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1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1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1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1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1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1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1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1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1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1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1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1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1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1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1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1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1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1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1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1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1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1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1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1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1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1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1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1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1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1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1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1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1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1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1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1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1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1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1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1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1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1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1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1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1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1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1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1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1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1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1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1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1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1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1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1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1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1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1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1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1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1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1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1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1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1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1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1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1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1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1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1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1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1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1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1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1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1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1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1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1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1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1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1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1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1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1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1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1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1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1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1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1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1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1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1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1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1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1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1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1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1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1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1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1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1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1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1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1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1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1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1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1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1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1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1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1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1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1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1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1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1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1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1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1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1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1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1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1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1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1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1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1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1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1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1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1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1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1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1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1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1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1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1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1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1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1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1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1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1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1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1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1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1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1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1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1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1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1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1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1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1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1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1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1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1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1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1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1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1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1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1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1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1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1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1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1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1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1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1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1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1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1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1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1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1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1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1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1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1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1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1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1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1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1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1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1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1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1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1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1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1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1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1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1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1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1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1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1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1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1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1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1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1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1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1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1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1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1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1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1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1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1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1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1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1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1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1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1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1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1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1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1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1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1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1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1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1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1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1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1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1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1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1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1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1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1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1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1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DCF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2025-01-06T03:51:21Z</dcterms:modified>
</cp:coreProperties>
</file>