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D:\Privatefiles\Jupyter notebook\job\"/>
    </mc:Choice>
  </mc:AlternateContent>
  <xr:revisionPtr revIDLastSave="0" documentId="13_ncr:1_{1FC35BAC-99E7-4176-A339-C82255876721}" xr6:coauthVersionLast="36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3" i="1" l="1"/>
  <c r="T123" i="1" s="1"/>
  <c r="N123" i="1"/>
  <c r="L123" i="1"/>
  <c r="I123" i="1"/>
  <c r="F123" i="1"/>
  <c r="E123" i="1"/>
  <c r="G123" i="1" s="1"/>
  <c r="N122" i="1"/>
  <c r="L122" i="1"/>
  <c r="I122" i="1"/>
  <c r="G122" i="1"/>
  <c r="F122" i="1"/>
  <c r="E122" i="1"/>
  <c r="S122" i="1" s="1"/>
  <c r="T122" i="1" s="1"/>
  <c r="T121" i="1"/>
  <c r="S121" i="1"/>
  <c r="N121" i="1"/>
  <c r="L121" i="1"/>
  <c r="I121" i="1"/>
  <c r="G121" i="1"/>
  <c r="F121" i="1"/>
  <c r="E121" i="1"/>
  <c r="S120" i="1"/>
  <c r="T120" i="1" s="1"/>
  <c r="N120" i="1"/>
  <c r="L120" i="1"/>
  <c r="I120" i="1"/>
  <c r="F120" i="1"/>
  <c r="E120" i="1"/>
  <c r="G120" i="1" s="1"/>
  <c r="N119" i="1"/>
  <c r="L119" i="1"/>
  <c r="I119" i="1"/>
  <c r="G119" i="1"/>
  <c r="F119" i="1"/>
  <c r="E119" i="1"/>
  <c r="S119" i="1" s="1"/>
  <c r="T119" i="1" s="1"/>
  <c r="T118" i="1"/>
  <c r="S118" i="1"/>
  <c r="N118" i="1"/>
  <c r="L118" i="1"/>
  <c r="I118" i="1"/>
  <c r="G118" i="1"/>
  <c r="F118" i="1"/>
  <c r="E118" i="1"/>
  <c r="S117" i="1"/>
  <c r="T117" i="1" s="1"/>
  <c r="N117" i="1"/>
  <c r="L117" i="1"/>
  <c r="I117" i="1"/>
  <c r="F117" i="1"/>
  <c r="E117" i="1"/>
  <c r="G117" i="1" s="1"/>
  <c r="N116" i="1"/>
  <c r="L116" i="1"/>
  <c r="I116" i="1"/>
  <c r="G116" i="1"/>
  <c r="F116" i="1"/>
  <c r="E116" i="1"/>
  <c r="S116" i="1" s="1"/>
  <c r="T116" i="1" s="1"/>
  <c r="T115" i="1"/>
  <c r="S115" i="1"/>
  <c r="N115" i="1"/>
  <c r="L115" i="1"/>
  <c r="I115" i="1"/>
  <c r="G115" i="1"/>
  <c r="F115" i="1"/>
  <c r="E115" i="1"/>
  <c r="S114" i="1"/>
  <c r="T114" i="1" s="1"/>
  <c r="N114" i="1"/>
  <c r="L114" i="1"/>
  <c r="I114" i="1"/>
  <c r="F114" i="1"/>
  <c r="E114" i="1"/>
  <c r="G114" i="1" s="1"/>
  <c r="N113" i="1"/>
  <c r="L113" i="1"/>
  <c r="I113" i="1"/>
  <c r="G113" i="1"/>
  <c r="F113" i="1"/>
  <c r="E113" i="1"/>
  <c r="S113" i="1" s="1"/>
  <c r="T113" i="1" s="1"/>
  <c r="T112" i="1"/>
  <c r="S112" i="1"/>
  <c r="N112" i="1"/>
  <c r="L112" i="1"/>
  <c r="I112" i="1"/>
  <c r="G112" i="1"/>
  <c r="F112" i="1"/>
  <c r="E112" i="1"/>
  <c r="S111" i="1"/>
  <c r="T111" i="1" s="1"/>
  <c r="N111" i="1"/>
  <c r="L111" i="1"/>
  <c r="I111" i="1"/>
  <c r="F111" i="1"/>
  <c r="E111" i="1"/>
  <c r="G111" i="1" s="1"/>
  <c r="N110" i="1"/>
  <c r="L110" i="1"/>
  <c r="I110" i="1"/>
  <c r="G110" i="1"/>
  <c r="F110" i="1"/>
  <c r="E110" i="1"/>
  <c r="S110" i="1" s="1"/>
  <c r="T110" i="1" s="1"/>
  <c r="T109" i="1"/>
  <c r="S109" i="1"/>
  <c r="N109" i="1"/>
  <c r="L109" i="1"/>
  <c r="I109" i="1"/>
  <c r="G109" i="1"/>
  <c r="F109" i="1"/>
  <c r="E109" i="1"/>
  <c r="S108" i="1"/>
  <c r="T108" i="1" s="1"/>
  <c r="N108" i="1"/>
  <c r="L108" i="1"/>
  <c r="I108" i="1"/>
  <c r="F108" i="1"/>
  <c r="E108" i="1"/>
  <c r="G108" i="1" s="1"/>
  <c r="N107" i="1"/>
  <c r="L107" i="1"/>
  <c r="I107" i="1"/>
  <c r="G107" i="1"/>
  <c r="F107" i="1"/>
  <c r="E107" i="1"/>
  <c r="S107" i="1" s="1"/>
  <c r="T107" i="1" s="1"/>
  <c r="T106" i="1"/>
  <c r="S106" i="1"/>
  <c r="N106" i="1"/>
  <c r="L106" i="1"/>
  <c r="I106" i="1"/>
  <c r="G106" i="1"/>
  <c r="F106" i="1"/>
  <c r="E106" i="1"/>
  <c r="S105" i="1"/>
  <c r="T105" i="1" s="1"/>
  <c r="N105" i="1"/>
  <c r="L105" i="1"/>
  <c r="I105" i="1"/>
  <c r="F105" i="1"/>
  <c r="E105" i="1"/>
  <c r="G105" i="1" s="1"/>
  <c r="N104" i="1"/>
  <c r="L104" i="1"/>
  <c r="I104" i="1"/>
  <c r="G104" i="1"/>
  <c r="F104" i="1"/>
  <c r="E104" i="1"/>
  <c r="S104" i="1" s="1"/>
  <c r="T104" i="1" s="1"/>
  <c r="T103" i="1"/>
  <c r="S103" i="1"/>
  <c r="N103" i="1"/>
  <c r="L103" i="1"/>
  <c r="I103" i="1"/>
  <c r="G103" i="1"/>
  <c r="F103" i="1"/>
  <c r="E103" i="1"/>
  <c r="S102" i="1"/>
  <c r="T102" i="1" s="1"/>
  <c r="N102" i="1"/>
  <c r="L102" i="1"/>
  <c r="I102" i="1"/>
  <c r="F102" i="1"/>
  <c r="E102" i="1"/>
  <c r="G102" i="1" s="1"/>
  <c r="N101" i="1"/>
  <c r="L101" i="1"/>
  <c r="I101" i="1"/>
  <c r="G101" i="1"/>
  <c r="F101" i="1"/>
  <c r="E101" i="1"/>
  <c r="S101" i="1" s="1"/>
  <c r="T101" i="1" s="1"/>
  <c r="T100" i="1"/>
  <c r="S100" i="1"/>
  <c r="N100" i="1"/>
  <c r="L100" i="1"/>
  <c r="I100" i="1"/>
  <c r="G100" i="1"/>
  <c r="F100" i="1"/>
  <c r="E100" i="1"/>
  <c r="S99" i="1"/>
  <c r="T99" i="1" s="1"/>
  <c r="N99" i="1"/>
  <c r="L99" i="1"/>
  <c r="I99" i="1"/>
  <c r="F99" i="1"/>
  <c r="E99" i="1"/>
  <c r="G99" i="1" s="1"/>
  <c r="N98" i="1"/>
  <c r="L98" i="1"/>
  <c r="I98" i="1"/>
  <c r="G98" i="1"/>
  <c r="F98" i="1"/>
  <c r="E98" i="1"/>
  <c r="S98" i="1" s="1"/>
  <c r="T98" i="1" s="1"/>
  <c r="T97" i="1"/>
  <c r="S97" i="1"/>
  <c r="N97" i="1"/>
  <c r="L97" i="1"/>
  <c r="I97" i="1"/>
  <c r="G97" i="1"/>
  <c r="F97" i="1"/>
  <c r="E97" i="1"/>
  <c r="S96" i="1"/>
  <c r="T96" i="1" s="1"/>
  <c r="N96" i="1"/>
  <c r="L96" i="1"/>
  <c r="I96" i="1"/>
  <c r="F96" i="1"/>
  <c r="E96" i="1"/>
  <c r="G96" i="1" s="1"/>
  <c r="N95" i="1"/>
  <c r="L95" i="1"/>
  <c r="I95" i="1"/>
  <c r="G95" i="1"/>
  <c r="F95" i="1"/>
  <c r="E95" i="1"/>
  <c r="S95" i="1" s="1"/>
  <c r="T95" i="1" s="1"/>
  <c r="T94" i="1"/>
  <c r="S94" i="1"/>
  <c r="N94" i="1"/>
  <c r="L94" i="1"/>
  <c r="I94" i="1"/>
  <c r="G94" i="1"/>
  <c r="F94" i="1"/>
  <c r="E94" i="1"/>
  <c r="S93" i="1"/>
  <c r="T93" i="1" s="1"/>
  <c r="N93" i="1"/>
  <c r="L93" i="1"/>
  <c r="I93" i="1"/>
  <c r="E93" i="1"/>
  <c r="G93" i="1" s="1"/>
  <c r="N92" i="1"/>
  <c r="L92" i="1"/>
  <c r="I92" i="1"/>
  <c r="G92" i="1"/>
  <c r="F92" i="1"/>
  <c r="E92" i="1"/>
  <c r="S92" i="1" s="1"/>
  <c r="T92" i="1" s="1"/>
  <c r="T91" i="1"/>
  <c r="S91" i="1"/>
  <c r="N91" i="1"/>
  <c r="L91" i="1"/>
  <c r="I91" i="1"/>
  <c r="G91" i="1"/>
  <c r="F91" i="1"/>
  <c r="E91" i="1"/>
  <c r="S90" i="1"/>
  <c r="T90" i="1" s="1"/>
  <c r="N90" i="1"/>
  <c r="L90" i="1"/>
  <c r="I90" i="1"/>
  <c r="F90" i="1"/>
  <c r="E90" i="1"/>
  <c r="G90" i="1" s="1"/>
  <c r="N89" i="1"/>
  <c r="L89" i="1"/>
  <c r="I89" i="1"/>
  <c r="G89" i="1"/>
  <c r="F89" i="1"/>
  <c r="E89" i="1"/>
  <c r="S89" i="1" s="1"/>
  <c r="T89" i="1" s="1"/>
  <c r="T88" i="1"/>
  <c r="S88" i="1"/>
  <c r="N88" i="1"/>
  <c r="L88" i="1"/>
  <c r="I88" i="1"/>
  <c r="G88" i="1"/>
  <c r="F88" i="1"/>
  <c r="E88" i="1"/>
  <c r="S87" i="1"/>
  <c r="T87" i="1" s="1"/>
  <c r="N87" i="1"/>
  <c r="L87" i="1"/>
  <c r="I87" i="1"/>
  <c r="F87" i="1"/>
  <c r="E87" i="1"/>
  <c r="G87" i="1" s="1"/>
  <c r="N86" i="1"/>
  <c r="L86" i="1"/>
  <c r="I86" i="1"/>
  <c r="G86" i="1"/>
  <c r="F86" i="1"/>
  <c r="E86" i="1"/>
  <c r="S86" i="1" s="1"/>
  <c r="T86" i="1" s="1"/>
  <c r="T85" i="1"/>
  <c r="S85" i="1"/>
  <c r="N85" i="1"/>
  <c r="L85" i="1"/>
  <c r="I85" i="1"/>
  <c r="G85" i="1"/>
  <c r="F85" i="1"/>
  <c r="E85" i="1"/>
  <c r="S84" i="1"/>
  <c r="T84" i="1" s="1"/>
  <c r="N84" i="1"/>
  <c r="L84" i="1"/>
  <c r="I84" i="1"/>
  <c r="F84" i="1"/>
  <c r="E84" i="1"/>
  <c r="G84" i="1" s="1"/>
  <c r="N83" i="1"/>
  <c r="L83" i="1"/>
  <c r="I83" i="1"/>
  <c r="G83" i="1"/>
  <c r="F83" i="1"/>
  <c r="E83" i="1"/>
  <c r="S83" i="1" s="1"/>
  <c r="T83" i="1" s="1"/>
  <c r="T82" i="1"/>
  <c r="S82" i="1"/>
  <c r="N82" i="1"/>
  <c r="L82" i="1"/>
  <c r="I82" i="1"/>
  <c r="G82" i="1"/>
  <c r="F82" i="1"/>
  <c r="E82" i="1"/>
  <c r="S81" i="1"/>
  <c r="T81" i="1" s="1"/>
  <c r="N81" i="1"/>
  <c r="L81" i="1"/>
  <c r="I81" i="1"/>
  <c r="F81" i="1"/>
  <c r="E81" i="1"/>
  <c r="G81" i="1" s="1"/>
  <c r="N80" i="1"/>
  <c r="L80" i="1"/>
  <c r="I80" i="1"/>
  <c r="G80" i="1"/>
  <c r="F80" i="1"/>
  <c r="E80" i="1"/>
  <c r="S80" i="1" s="1"/>
  <c r="T80" i="1" s="1"/>
  <c r="T79" i="1"/>
  <c r="S79" i="1"/>
  <c r="N79" i="1"/>
  <c r="L79" i="1"/>
  <c r="I79" i="1"/>
  <c r="G79" i="1"/>
  <c r="F79" i="1"/>
  <c r="E79" i="1"/>
  <c r="S78" i="1"/>
  <c r="T78" i="1" s="1"/>
  <c r="N78" i="1"/>
  <c r="L78" i="1"/>
  <c r="I78" i="1"/>
  <c r="F78" i="1"/>
  <c r="E78" i="1"/>
  <c r="G78" i="1" s="1"/>
  <c r="N77" i="1"/>
  <c r="L77" i="1"/>
  <c r="I77" i="1"/>
  <c r="G77" i="1"/>
  <c r="F77" i="1"/>
  <c r="E77" i="1"/>
  <c r="S77" i="1" s="1"/>
  <c r="T77" i="1" s="1"/>
  <c r="T76" i="1"/>
  <c r="S76" i="1"/>
  <c r="N76" i="1"/>
  <c r="L76" i="1"/>
  <c r="I76" i="1"/>
  <c r="G76" i="1"/>
  <c r="F76" i="1"/>
  <c r="E76" i="1"/>
  <c r="S75" i="1"/>
  <c r="T75" i="1" s="1"/>
  <c r="N75" i="1"/>
  <c r="L75" i="1"/>
  <c r="I75" i="1"/>
  <c r="F75" i="1"/>
  <c r="E75" i="1"/>
  <c r="G75" i="1" s="1"/>
  <c r="N74" i="1"/>
  <c r="L74" i="1"/>
  <c r="I74" i="1"/>
  <c r="G74" i="1"/>
  <c r="F74" i="1"/>
  <c r="E74" i="1"/>
  <c r="S74" i="1" s="1"/>
  <c r="T74" i="1" s="1"/>
  <c r="T73" i="1"/>
  <c r="S73" i="1"/>
  <c r="N73" i="1"/>
  <c r="L73" i="1"/>
  <c r="I73" i="1"/>
  <c r="G73" i="1"/>
  <c r="F73" i="1"/>
  <c r="E73" i="1"/>
  <c r="S72" i="1"/>
  <c r="T72" i="1" s="1"/>
  <c r="N72" i="1"/>
  <c r="L72" i="1"/>
  <c r="I72" i="1"/>
  <c r="F72" i="1"/>
  <c r="E72" i="1"/>
  <c r="G72" i="1" s="1"/>
  <c r="N71" i="1"/>
  <c r="L71" i="1"/>
  <c r="I71" i="1"/>
  <c r="G71" i="1"/>
  <c r="F71" i="1"/>
  <c r="E71" i="1"/>
  <c r="S71" i="1" s="1"/>
  <c r="T71" i="1" s="1"/>
  <c r="T70" i="1"/>
  <c r="S70" i="1"/>
  <c r="N70" i="1"/>
  <c r="L70" i="1"/>
  <c r="I70" i="1"/>
  <c r="G70" i="1"/>
  <c r="F70" i="1"/>
  <c r="E70" i="1"/>
  <c r="S69" i="1"/>
  <c r="T69" i="1" s="1"/>
  <c r="N69" i="1"/>
  <c r="L69" i="1"/>
  <c r="I69" i="1"/>
  <c r="F69" i="1"/>
  <c r="E69" i="1"/>
  <c r="G69" i="1" s="1"/>
  <c r="N68" i="1"/>
  <c r="L68" i="1"/>
  <c r="I68" i="1"/>
  <c r="G68" i="1"/>
  <c r="F68" i="1"/>
  <c r="E68" i="1"/>
  <c r="S68" i="1" s="1"/>
  <c r="T68" i="1" s="1"/>
  <c r="T67" i="1"/>
  <c r="S67" i="1"/>
  <c r="N67" i="1"/>
  <c r="L67" i="1"/>
  <c r="I67" i="1"/>
  <c r="G67" i="1"/>
  <c r="F67" i="1"/>
  <c r="E67" i="1"/>
  <c r="S66" i="1"/>
  <c r="T66" i="1" s="1"/>
  <c r="N66" i="1"/>
  <c r="L66" i="1"/>
  <c r="I66" i="1"/>
  <c r="F66" i="1"/>
  <c r="E66" i="1"/>
  <c r="G66" i="1" s="1"/>
  <c r="N65" i="1"/>
  <c r="L65" i="1"/>
  <c r="I65" i="1"/>
  <c r="G65" i="1"/>
  <c r="F65" i="1"/>
  <c r="E65" i="1"/>
  <c r="S65" i="1" s="1"/>
  <c r="T65" i="1" s="1"/>
  <c r="T64" i="1"/>
  <c r="S64" i="1"/>
  <c r="N64" i="1"/>
  <c r="L64" i="1"/>
  <c r="I64" i="1"/>
  <c r="G64" i="1"/>
  <c r="F64" i="1"/>
  <c r="E64" i="1"/>
  <c r="S63" i="1"/>
  <c r="T63" i="1" s="1"/>
  <c r="N63" i="1"/>
  <c r="L63" i="1"/>
  <c r="I63" i="1"/>
  <c r="F63" i="1"/>
  <c r="F93" i="1" s="1"/>
  <c r="E63" i="1"/>
  <c r="G63" i="1" s="1"/>
  <c r="T58" i="1"/>
  <c r="T59" i="1"/>
  <c r="T60" i="1"/>
  <c r="T61" i="1"/>
  <c r="T62" i="1"/>
  <c r="S58" i="1"/>
  <c r="S59" i="1"/>
  <c r="S60" i="1"/>
  <c r="S61" i="1"/>
  <c r="S62" i="1"/>
  <c r="N56" i="1"/>
  <c r="N57" i="1"/>
  <c r="N58" i="1"/>
  <c r="N59" i="1"/>
  <c r="N60" i="1"/>
  <c r="N61" i="1"/>
  <c r="N62" i="1"/>
  <c r="L62" i="1"/>
  <c r="L61" i="1"/>
  <c r="L60" i="1"/>
  <c r="L59" i="1"/>
  <c r="L58" i="1"/>
  <c r="L57" i="1"/>
  <c r="L56" i="1"/>
  <c r="I58" i="1"/>
  <c r="I59" i="1"/>
  <c r="I60" i="1"/>
  <c r="I61" i="1"/>
  <c r="I6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2" i="1"/>
  <c r="S49" i="1"/>
  <c r="S50" i="1"/>
  <c r="S51" i="1"/>
  <c r="S52" i="1"/>
  <c r="S53" i="1"/>
  <c r="S54" i="1"/>
  <c r="S55" i="1"/>
  <c r="S56" i="1"/>
  <c r="S5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G34" i="1"/>
  <c r="G35" i="1"/>
  <c r="G39" i="1"/>
  <c r="G41" i="1"/>
  <c r="G42" i="1"/>
  <c r="G43" i="1"/>
  <c r="G46" i="1"/>
  <c r="G47" i="1"/>
  <c r="G51" i="1"/>
  <c r="G53" i="1"/>
  <c r="G54" i="1"/>
  <c r="G55" i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E54" i="1"/>
  <c r="E53" i="1"/>
  <c r="E52" i="1"/>
  <c r="G52" i="1" s="1"/>
  <c r="E51" i="1"/>
  <c r="E50" i="1"/>
  <c r="G50" i="1" s="1"/>
  <c r="E49" i="1"/>
  <c r="G49" i="1" s="1"/>
  <c r="E48" i="1"/>
  <c r="G48" i="1" s="1"/>
  <c r="E47" i="1"/>
  <c r="E46" i="1"/>
  <c r="E45" i="1"/>
  <c r="G45" i="1" s="1"/>
  <c r="E44" i="1"/>
  <c r="G44" i="1" s="1"/>
  <c r="E43" i="1"/>
  <c r="E42" i="1"/>
  <c r="E41" i="1"/>
  <c r="E40" i="1"/>
  <c r="G40" i="1" s="1"/>
  <c r="E39" i="1"/>
  <c r="E38" i="1"/>
  <c r="G38" i="1" s="1"/>
  <c r="E37" i="1"/>
  <c r="G37" i="1" s="1"/>
  <c r="E36" i="1"/>
  <c r="G36" i="1" s="1"/>
  <c r="E35" i="1"/>
  <c r="E34" i="1"/>
  <c r="E33" i="1"/>
  <c r="G33" i="1" s="1"/>
  <c r="E32" i="1"/>
  <c r="G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H44" authorId="0" shapeId="0" xr:uid="{BA663AFB-87C7-4088-A4CE-F33BDF89544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10.13/14 日为prime day ,故销量同比翻倍增长</t>
        </r>
      </text>
    </comment>
    <comment ref="H105" authorId="0" shapeId="0" xr:uid="{8CA265DC-197F-46A6-AE13-AC500B8E05F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10.13/14 日为prime day ,故销量同比翻倍增长</t>
        </r>
      </text>
    </comment>
  </commentList>
</comments>
</file>

<file path=xl/sharedStrings.xml><?xml version="1.0" encoding="utf-8"?>
<sst xmlns="http://schemas.openxmlformats.org/spreadsheetml/2006/main" count="404" uniqueCount="30">
  <si>
    <t>目标</t>
  </si>
  <si>
    <t>本月累计业绩</t>
  </si>
  <si>
    <t>昨日业绩</t>
  </si>
  <si>
    <t>预计本月总库存数量/金额 （可售 xx天）</t>
  </si>
  <si>
    <t>预计下月预计本月总库存数量/金额 （可售 xx天）</t>
  </si>
  <si>
    <t>账户健康状况</t>
  </si>
  <si>
    <t>部门人数</t>
  </si>
  <si>
    <t>业绩人效</t>
  </si>
  <si>
    <t>毛利人效</t>
  </si>
  <si>
    <t>流量</t>
  </si>
  <si>
    <t>曝光</t>
  </si>
  <si>
    <t>转换率</t>
  </si>
  <si>
    <t>勤奋度指数公司排名：  名 （通过考勤数据，算出上班时长，利用上班时长排名）</t>
  </si>
  <si>
    <t>业务部门</t>
    <phoneticPr fontId="1" type="noConversion"/>
  </si>
  <si>
    <t>业务主管</t>
    <phoneticPr fontId="1" type="noConversion"/>
  </si>
  <si>
    <t>亚马逊</t>
    <phoneticPr fontId="1" type="noConversion"/>
  </si>
  <si>
    <t>日期</t>
    <phoneticPr fontId="1" type="noConversion"/>
  </si>
  <si>
    <t>时间进度</t>
    <phoneticPr fontId="1" type="noConversion"/>
  </si>
  <si>
    <t>目标达成率</t>
    <phoneticPr fontId="1" type="noConversion"/>
  </si>
  <si>
    <t>昨日毛利</t>
    <phoneticPr fontId="1" type="noConversion"/>
  </si>
  <si>
    <t>在库库存数量金额</t>
    <phoneticPr fontId="1" type="noConversion"/>
  </si>
  <si>
    <t xml:space="preserve">在途库存数量 </t>
    <phoneticPr fontId="1" type="noConversion"/>
  </si>
  <si>
    <t>在途库存数量金额</t>
    <phoneticPr fontId="1" type="noConversion"/>
  </si>
  <si>
    <t>良好</t>
    <phoneticPr fontId="1" type="noConversion"/>
  </si>
  <si>
    <t>广告费 /广告带来销售额</t>
    <phoneticPr fontId="1" type="noConversion"/>
  </si>
  <si>
    <t xml:space="preserve">	6.37%</t>
    <phoneticPr fontId="1" type="noConversion"/>
  </si>
  <si>
    <t>ebay</t>
    <phoneticPr fontId="1" type="noConversion"/>
  </si>
  <si>
    <t>刘阿德</t>
    <phoneticPr fontId="1" type="noConversion"/>
  </si>
  <si>
    <t>耿强</t>
    <phoneticPr fontId="1" type="noConversion"/>
  </si>
  <si>
    <t>在库库存数量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</si>
</sst>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;@"/>
    <numFmt numFmtId="165" formatCode="0.00_ "/>
    <numFmt numFmtId="166" formatCode="0.00_);[Red]\(0.00\)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rgb="FF111F2C"/>
      <name val="微软雅黑"/>
      <family val="2"/>
      <charset val="134"/>
    </font>
    <font>
      <sz val="9"/>
      <color rgb="FF191F25"/>
      <name val="微软雅黑"/>
      <family val="2"/>
      <charset val="134"/>
    </font>
    <font>
      <b/>
      <sz val="9"/>
      <color rgb="FF191F25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166" fontId="4" fillId="2" borderId="2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165" fontId="0" fillId="0" borderId="0" xfId="0" applyNumberFormat="1" applyAlignment="1">
      <alignment vertical="center"/>
    </xf>
    <xf numFmtId="10" fontId="8" fillId="0" borderId="0" xfId="0" applyNumberFormat="1" applyFont="1"/>
    <xf numFmtId="10" fontId="8" fillId="3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"/>
  <sheetViews>
    <sheetView tabSelected="1" workbookViewId="0">
      <selection activeCell="K6" sqref="K6"/>
    </sheetView>
  </sheetViews>
  <sheetFormatPr defaultRowHeight="14.4"/>
  <cols>
    <col min="3" max="3" width="11" bestFit="1" customWidth="1"/>
    <col min="4" max="4" width="8.88671875" customWidth="1"/>
    <col min="5" max="5" width="13.88671875" customWidth="1"/>
    <col min="6" max="6" width="21.33203125" style="13" bestFit="1" customWidth="1"/>
    <col min="7" max="7" width="21.33203125" style="13" customWidth="1"/>
    <col min="8" max="8" width="10.5546875" bestFit="1" customWidth="1"/>
    <col min="9" max="9" width="11.6640625" customWidth="1"/>
    <col min="10" max="10" width="24.109375" customWidth="1"/>
    <col min="11" max="11" width="17.44140625" customWidth="1"/>
    <col min="12" max="12" width="21" customWidth="1"/>
    <col min="13" max="13" width="14.44140625" customWidth="1"/>
    <col min="14" max="14" width="18.33203125" customWidth="1"/>
    <col min="15" max="15" width="12" customWidth="1"/>
    <col min="16" max="16" width="9.77734375" customWidth="1"/>
    <col min="17" max="17" width="13.88671875" customWidth="1"/>
    <col min="18" max="20" width="9.5546875" customWidth="1"/>
    <col min="21" max="21" width="5.5546875" customWidth="1"/>
    <col min="22" max="22" width="6.5546875" customWidth="1"/>
    <col min="23" max="23" width="7.5546875" customWidth="1"/>
    <col min="24" max="24" width="18.6640625" customWidth="1"/>
    <col min="25" max="44" width="8.88671875" customWidth="1"/>
  </cols>
  <sheetData>
    <row r="1" spans="1:24">
      <c r="A1" t="s">
        <v>13</v>
      </c>
      <c r="B1" t="s">
        <v>14</v>
      </c>
      <c r="C1" t="s">
        <v>16</v>
      </c>
      <c r="D1" s="1" t="s">
        <v>0</v>
      </c>
      <c r="E1" s="1" t="s">
        <v>1</v>
      </c>
      <c r="F1" s="12" t="s">
        <v>18</v>
      </c>
      <c r="G1" s="12" t="s">
        <v>17</v>
      </c>
      <c r="H1" s="1" t="s">
        <v>2</v>
      </c>
      <c r="I1" s="1" t="s">
        <v>19</v>
      </c>
      <c r="J1" s="1" t="s">
        <v>24</v>
      </c>
      <c r="K1" s="1" t="s">
        <v>29</v>
      </c>
      <c r="L1" s="1" t="s">
        <v>20</v>
      </c>
      <c r="M1" s="1" t="s">
        <v>21</v>
      </c>
      <c r="N1" s="1" t="s">
        <v>22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</row>
    <row r="2" spans="1:24">
      <c r="A2" t="s">
        <v>15</v>
      </c>
      <c r="B2" t="s">
        <v>28</v>
      </c>
      <c r="C2" s="2">
        <v>44075</v>
      </c>
      <c r="D2" s="1">
        <v>400000</v>
      </c>
      <c r="E2" s="14">
        <f>SUM($H$2:$H$2)</f>
        <v>14422.580000000002</v>
      </c>
      <c r="F2" s="12">
        <f>40/30*1/40</f>
        <v>3.3333333333333333E-2</v>
      </c>
      <c r="G2" s="12">
        <f>E2/D2</f>
        <v>3.6056450000000004E-2</v>
      </c>
      <c r="H2" s="1">
        <v>14422.580000000002</v>
      </c>
      <c r="I2" s="1">
        <f>H2*24.8%</f>
        <v>3576.7998400000006</v>
      </c>
      <c r="J2" s="1">
        <v>0.218</v>
      </c>
      <c r="K2" s="1">
        <v>4388</v>
      </c>
      <c r="L2" s="1">
        <f>K2*15.63</f>
        <v>68584.44</v>
      </c>
      <c r="M2" s="1">
        <v>770</v>
      </c>
      <c r="N2" s="1">
        <f>M2*8.36</f>
        <v>6437.2</v>
      </c>
      <c r="O2" s="1"/>
      <c r="P2" s="1"/>
      <c r="Q2" s="1" t="s">
        <v>23</v>
      </c>
      <c r="R2" s="1">
        <v>7</v>
      </c>
      <c r="S2" s="1">
        <f>E2/R2</f>
        <v>2060.3685714285716</v>
      </c>
      <c r="T2" s="1">
        <f>S2*24.8%</f>
        <v>510.97140571428577</v>
      </c>
      <c r="U2" s="1"/>
      <c r="V2" s="1">
        <v>51033</v>
      </c>
      <c r="W2" s="15">
        <v>5.8299999999999998E-2</v>
      </c>
      <c r="X2" s="1"/>
    </row>
    <row r="3" spans="1:24">
      <c r="A3" t="s">
        <v>15</v>
      </c>
      <c r="B3" t="s">
        <v>28</v>
      </c>
      <c r="C3" s="2">
        <v>44076</v>
      </c>
      <c r="D3" s="1">
        <v>400000</v>
      </c>
      <c r="E3" s="14">
        <f>SUM($H$2:$H$3)</f>
        <v>29340.090000000004</v>
      </c>
      <c r="F3" s="12">
        <f>40/30*2/40</f>
        <v>6.6666666666666666E-2</v>
      </c>
      <c r="G3" s="12">
        <f t="shared" ref="G3:G31" si="0">E3/D3</f>
        <v>7.3350225000000005E-2</v>
      </c>
      <c r="H3" s="1">
        <v>14917.51</v>
      </c>
      <c r="I3" s="1">
        <f t="shared" ref="I3:I62" si="1">H3*24.8%</f>
        <v>3699.5424800000001</v>
      </c>
      <c r="J3" s="1">
        <v>0.76700000000000002</v>
      </c>
      <c r="K3" s="1">
        <v>4200</v>
      </c>
      <c r="L3" s="1">
        <f t="shared" ref="L3:L66" si="2">K3*15.63</f>
        <v>65646</v>
      </c>
      <c r="M3" s="1">
        <v>742</v>
      </c>
      <c r="N3" s="1">
        <f t="shared" ref="N3:N66" si="3">M3*8.36</f>
        <v>6203.12</v>
      </c>
      <c r="O3" s="1"/>
      <c r="P3" s="1"/>
      <c r="Q3" s="1" t="s">
        <v>23</v>
      </c>
      <c r="R3" s="1">
        <v>7</v>
      </c>
      <c r="S3" s="1">
        <f t="shared" ref="S3:S62" si="4">E3/R3</f>
        <v>4191.4414285714292</v>
      </c>
      <c r="T3" s="1">
        <f t="shared" ref="T3:T66" si="5">S3*24.8%</f>
        <v>1039.4774742857144</v>
      </c>
      <c r="U3" s="1"/>
      <c r="V3" s="1">
        <v>79963</v>
      </c>
      <c r="W3" s="12">
        <v>8.9099999999999999E-2</v>
      </c>
      <c r="X3" s="1"/>
    </row>
    <row r="4" spans="1:24">
      <c r="A4" t="s">
        <v>15</v>
      </c>
      <c r="B4" t="s">
        <v>28</v>
      </c>
      <c r="C4" s="2">
        <v>44077</v>
      </c>
      <c r="D4" s="1">
        <v>400000</v>
      </c>
      <c r="E4" s="14">
        <f>SUM($H$2:$H$4)</f>
        <v>41247.33</v>
      </c>
      <c r="F4" s="12">
        <f>40/30*3/40</f>
        <v>0.1</v>
      </c>
      <c r="G4" s="12">
        <f t="shared" si="0"/>
        <v>0.10311832500000001</v>
      </c>
      <c r="H4" s="1">
        <v>11907.24</v>
      </c>
      <c r="I4" s="1">
        <f t="shared" si="1"/>
        <v>2952.9955199999999</v>
      </c>
      <c r="J4" s="1">
        <v>0.88600000000000001</v>
      </c>
      <c r="K4" s="1">
        <v>4100</v>
      </c>
      <c r="L4" s="1">
        <f t="shared" si="2"/>
        <v>64083</v>
      </c>
      <c r="M4" s="1">
        <v>724</v>
      </c>
      <c r="N4" s="1">
        <f t="shared" si="3"/>
        <v>6052.6399999999994</v>
      </c>
      <c r="O4" s="1"/>
      <c r="P4" s="1"/>
      <c r="Q4" s="1" t="s">
        <v>23</v>
      </c>
      <c r="R4" s="1">
        <v>7</v>
      </c>
      <c r="S4" s="1">
        <f t="shared" si="4"/>
        <v>5892.4757142857143</v>
      </c>
      <c r="T4" s="1">
        <f t="shared" si="5"/>
        <v>1461.3339771428571</v>
      </c>
      <c r="U4" s="1"/>
      <c r="V4" s="1">
        <v>60484</v>
      </c>
      <c r="W4" s="12">
        <v>4.24E-2</v>
      </c>
      <c r="X4" s="1"/>
    </row>
    <row r="5" spans="1:24">
      <c r="A5" t="s">
        <v>15</v>
      </c>
      <c r="B5" t="s">
        <v>28</v>
      </c>
      <c r="C5" s="2">
        <v>44078</v>
      </c>
      <c r="D5" s="1">
        <v>400000</v>
      </c>
      <c r="E5" s="14">
        <f>SUM($H$2:$H$5)</f>
        <v>51280.020000000004</v>
      </c>
      <c r="F5" s="12">
        <f>40/30*4/40</f>
        <v>0.13333333333333333</v>
      </c>
      <c r="G5" s="12">
        <f t="shared" si="0"/>
        <v>0.12820005000000001</v>
      </c>
      <c r="H5" s="1">
        <v>10032.689999999999</v>
      </c>
      <c r="I5" s="1">
        <f t="shared" si="1"/>
        <v>2488.1071199999997</v>
      </c>
      <c r="J5" s="1">
        <v>0.16600000000000001</v>
      </c>
      <c r="K5" s="1">
        <v>4030</v>
      </c>
      <c r="L5" s="1">
        <f t="shared" si="2"/>
        <v>62988.9</v>
      </c>
      <c r="M5" s="1">
        <v>712</v>
      </c>
      <c r="N5" s="1">
        <f t="shared" si="3"/>
        <v>5952.32</v>
      </c>
      <c r="O5" s="1"/>
      <c r="P5" s="1"/>
      <c r="Q5" s="1" t="s">
        <v>23</v>
      </c>
      <c r="R5" s="1">
        <v>7</v>
      </c>
      <c r="S5" s="1">
        <f t="shared" si="4"/>
        <v>7325.7171428571437</v>
      </c>
      <c r="T5" s="1">
        <f t="shared" si="5"/>
        <v>1816.7778514285717</v>
      </c>
      <c r="U5" s="1"/>
      <c r="V5" s="1">
        <v>95716</v>
      </c>
      <c r="W5" s="12">
        <v>2.3800000000000002E-2</v>
      </c>
      <c r="X5" s="1"/>
    </row>
    <row r="6" spans="1:24">
      <c r="A6" t="s">
        <v>15</v>
      </c>
      <c r="B6" t="s">
        <v>28</v>
      </c>
      <c r="C6" s="2">
        <v>44079</v>
      </c>
      <c r="D6" s="1">
        <v>400000</v>
      </c>
      <c r="E6" s="14">
        <f>SUM($H$2:$H$6)</f>
        <v>61645.380000000005</v>
      </c>
      <c r="F6" s="12">
        <f>40/30*5/40</f>
        <v>0.16666666666666666</v>
      </c>
      <c r="G6" s="12">
        <f t="shared" si="0"/>
        <v>0.15411345000000001</v>
      </c>
      <c r="H6" s="1">
        <v>10365.36</v>
      </c>
      <c r="I6" s="1">
        <f t="shared" si="1"/>
        <v>2570.6092800000001</v>
      </c>
      <c r="J6" s="1">
        <v>9.6000000000000002E-2</v>
      </c>
      <c r="K6" s="1">
        <v>3972</v>
      </c>
      <c r="L6" s="1">
        <f t="shared" si="2"/>
        <v>62082.36</v>
      </c>
      <c r="M6" s="1">
        <v>701</v>
      </c>
      <c r="N6" s="1">
        <f t="shared" si="3"/>
        <v>5860.36</v>
      </c>
      <c r="O6" s="1"/>
      <c r="P6" s="1"/>
      <c r="Q6" s="1" t="s">
        <v>23</v>
      </c>
      <c r="R6" s="1">
        <v>7</v>
      </c>
      <c r="S6" s="1">
        <f t="shared" si="4"/>
        <v>8806.482857142857</v>
      </c>
      <c r="T6" s="1">
        <f t="shared" si="5"/>
        <v>2184.0077485714287</v>
      </c>
      <c r="U6" s="1"/>
      <c r="V6" s="1">
        <v>73807</v>
      </c>
      <c r="W6" s="16">
        <v>6.5699999999999995E-2</v>
      </c>
      <c r="X6" s="1"/>
    </row>
    <row r="7" spans="1:24">
      <c r="A7" t="s">
        <v>15</v>
      </c>
      <c r="B7" t="s">
        <v>28</v>
      </c>
      <c r="C7" s="2">
        <v>44080</v>
      </c>
      <c r="D7" s="1">
        <v>400000</v>
      </c>
      <c r="E7" s="14">
        <f>SUM($H$2:$H$7)</f>
        <v>73257.33</v>
      </c>
      <c r="F7" s="12">
        <f>40/30*6/40</f>
        <v>0.2</v>
      </c>
      <c r="G7" s="12">
        <f t="shared" si="0"/>
        <v>0.183143325</v>
      </c>
      <c r="H7" s="1">
        <v>11611.95</v>
      </c>
      <c r="I7" s="1">
        <f t="shared" si="1"/>
        <v>2879.7636000000002</v>
      </c>
      <c r="J7" s="1">
        <v>0.245</v>
      </c>
      <c r="K7" s="1">
        <v>3711</v>
      </c>
      <c r="L7" s="1">
        <f t="shared" si="2"/>
        <v>58002.93</v>
      </c>
      <c r="M7" s="1">
        <v>655</v>
      </c>
      <c r="N7" s="1">
        <f t="shared" si="3"/>
        <v>5475.7999999999993</v>
      </c>
      <c r="O7" s="1"/>
      <c r="P7" s="1"/>
      <c r="Q7" s="1" t="s">
        <v>23</v>
      </c>
      <c r="R7" s="1">
        <v>7</v>
      </c>
      <c r="S7" s="1">
        <f t="shared" si="4"/>
        <v>10465.332857142857</v>
      </c>
      <c r="T7" s="1">
        <f t="shared" si="5"/>
        <v>2595.4025485714287</v>
      </c>
      <c r="U7" s="1"/>
      <c r="V7" s="1">
        <v>79082</v>
      </c>
      <c r="W7" s="12">
        <v>4.48E-2</v>
      </c>
      <c r="X7" s="1"/>
    </row>
    <row r="8" spans="1:24">
      <c r="A8" t="s">
        <v>15</v>
      </c>
      <c r="B8" t="s">
        <v>28</v>
      </c>
      <c r="C8" s="2">
        <v>44081</v>
      </c>
      <c r="D8" s="1">
        <v>400000</v>
      </c>
      <c r="E8" s="14">
        <f>SUM($H$2:$H$8)</f>
        <v>85187.37</v>
      </c>
      <c r="F8" s="12">
        <f>40/30*7/40</f>
        <v>0.23333333333333331</v>
      </c>
      <c r="G8" s="12">
        <f t="shared" si="0"/>
        <v>0.21296842499999999</v>
      </c>
      <c r="H8" s="1">
        <v>11930.04</v>
      </c>
      <c r="I8" s="1">
        <f t="shared" si="1"/>
        <v>2958.6499200000003</v>
      </c>
      <c r="J8" s="1">
        <v>0.51900000000000002</v>
      </c>
      <c r="K8" s="1">
        <v>3600</v>
      </c>
      <c r="L8" s="1">
        <f t="shared" si="2"/>
        <v>56268</v>
      </c>
      <c r="M8" s="1">
        <v>636</v>
      </c>
      <c r="N8" s="1">
        <f t="shared" si="3"/>
        <v>5316.96</v>
      </c>
      <c r="O8" s="1"/>
      <c r="P8" s="1"/>
      <c r="Q8" s="1" t="s">
        <v>23</v>
      </c>
      <c r="R8" s="1">
        <v>7</v>
      </c>
      <c r="S8" s="1">
        <f t="shared" si="4"/>
        <v>12169.624285714284</v>
      </c>
      <c r="T8" s="1">
        <f t="shared" si="5"/>
        <v>3018.0668228571426</v>
      </c>
      <c r="U8" s="1"/>
      <c r="V8" s="1">
        <v>82841</v>
      </c>
      <c r="W8" s="15">
        <v>3.27E-2</v>
      </c>
      <c r="X8" s="1"/>
    </row>
    <row r="9" spans="1:24">
      <c r="A9" t="s">
        <v>15</v>
      </c>
      <c r="B9" t="s">
        <v>28</v>
      </c>
      <c r="C9" s="2">
        <v>44082</v>
      </c>
      <c r="D9" s="1">
        <v>400000</v>
      </c>
      <c r="E9" s="14">
        <f>SUM($H$2:$H$9)</f>
        <v>97852.959999999992</v>
      </c>
      <c r="F9" s="12">
        <f>40/30*8/40</f>
        <v>0.26666666666666666</v>
      </c>
      <c r="G9" s="12">
        <f t="shared" si="0"/>
        <v>0.24463239999999997</v>
      </c>
      <c r="H9" s="1">
        <v>12665.59</v>
      </c>
      <c r="I9" s="1">
        <f t="shared" si="1"/>
        <v>3141.0663199999999</v>
      </c>
      <c r="J9" s="1">
        <v>0.51900000000000002</v>
      </c>
      <c r="K9" s="1">
        <v>3540</v>
      </c>
      <c r="L9" s="1">
        <f t="shared" si="2"/>
        <v>55330.200000000004</v>
      </c>
      <c r="M9" s="1">
        <v>625</v>
      </c>
      <c r="N9" s="1">
        <f t="shared" si="3"/>
        <v>5225</v>
      </c>
      <c r="O9" s="1"/>
      <c r="P9" s="1"/>
      <c r="Q9" s="1" t="s">
        <v>23</v>
      </c>
      <c r="R9" s="1">
        <v>7</v>
      </c>
      <c r="S9" s="1">
        <f t="shared" si="4"/>
        <v>13978.994285714285</v>
      </c>
      <c r="T9" s="1">
        <f t="shared" si="5"/>
        <v>3466.7905828571425</v>
      </c>
      <c r="U9" s="1"/>
      <c r="V9" s="1">
        <v>83305</v>
      </c>
      <c r="W9" s="15">
        <v>0.1111</v>
      </c>
      <c r="X9" s="1"/>
    </row>
    <row r="10" spans="1:24">
      <c r="A10" t="s">
        <v>15</v>
      </c>
      <c r="B10" t="s">
        <v>28</v>
      </c>
      <c r="C10" s="2">
        <v>44083</v>
      </c>
      <c r="D10" s="1">
        <v>400000</v>
      </c>
      <c r="E10" s="14">
        <f>SUM($H$2:$H$10)</f>
        <v>110477.34999999999</v>
      </c>
      <c r="F10" s="12">
        <f>40/30*9/40</f>
        <v>0.3</v>
      </c>
      <c r="G10" s="12">
        <f t="shared" si="0"/>
        <v>0.27619337499999996</v>
      </c>
      <c r="H10" s="1">
        <v>12624.390000000001</v>
      </c>
      <c r="I10" s="1">
        <f t="shared" si="1"/>
        <v>3130.8487200000004</v>
      </c>
      <c r="J10" s="1">
        <v>0.498</v>
      </c>
      <c r="K10" s="1">
        <v>3420</v>
      </c>
      <c r="L10" s="1">
        <f t="shared" si="2"/>
        <v>53454.600000000006</v>
      </c>
      <c r="M10" s="1">
        <v>6004</v>
      </c>
      <c r="N10" s="1">
        <f t="shared" si="3"/>
        <v>50193.439999999995</v>
      </c>
      <c r="O10" s="1"/>
      <c r="P10" s="1"/>
      <c r="Q10" s="1" t="s">
        <v>23</v>
      </c>
      <c r="R10" s="1">
        <v>7</v>
      </c>
      <c r="S10" s="1">
        <f t="shared" si="4"/>
        <v>15782.47857142857</v>
      </c>
      <c r="T10" s="1">
        <f t="shared" si="5"/>
        <v>3914.0546857142854</v>
      </c>
      <c r="U10" s="1"/>
      <c r="V10" s="1">
        <v>91922</v>
      </c>
      <c r="W10" s="12">
        <v>0.1043</v>
      </c>
      <c r="X10" s="1"/>
    </row>
    <row r="11" spans="1:24">
      <c r="A11" t="s">
        <v>15</v>
      </c>
      <c r="B11" t="s">
        <v>28</v>
      </c>
      <c r="C11" s="2">
        <v>44084</v>
      </c>
      <c r="D11" s="1">
        <v>400000</v>
      </c>
      <c r="E11" s="14">
        <f>SUM($H$2:$H$11)</f>
        <v>125744.09</v>
      </c>
      <c r="F11" s="12">
        <f>40/30*10/40</f>
        <v>0.33333333333333331</v>
      </c>
      <c r="G11" s="12">
        <f t="shared" si="0"/>
        <v>0.31436022499999999</v>
      </c>
      <c r="H11" s="1">
        <v>15266.74</v>
      </c>
      <c r="I11" s="1">
        <f t="shared" si="1"/>
        <v>3786.1515199999999</v>
      </c>
      <c r="J11" s="1">
        <v>9.6000000000000002E-2</v>
      </c>
      <c r="K11" s="1">
        <v>3300</v>
      </c>
      <c r="L11" s="1">
        <f t="shared" si="2"/>
        <v>51579</v>
      </c>
      <c r="M11" s="1">
        <v>583</v>
      </c>
      <c r="N11" s="1">
        <f t="shared" si="3"/>
        <v>4873.88</v>
      </c>
      <c r="O11" s="1"/>
      <c r="P11" s="1"/>
      <c r="Q11" s="1" t="s">
        <v>23</v>
      </c>
      <c r="R11" s="1">
        <v>7</v>
      </c>
      <c r="S11" s="1">
        <f t="shared" si="4"/>
        <v>17963.441428571427</v>
      </c>
      <c r="T11" s="1">
        <f t="shared" si="5"/>
        <v>4454.9334742857136</v>
      </c>
      <c r="U11" s="1"/>
      <c r="V11" s="1">
        <v>85885</v>
      </c>
      <c r="W11" s="12">
        <v>5.8799999999999998E-2</v>
      </c>
      <c r="X11" s="1"/>
    </row>
    <row r="12" spans="1:24">
      <c r="A12" t="s">
        <v>15</v>
      </c>
      <c r="B12" t="s">
        <v>28</v>
      </c>
      <c r="C12" s="2">
        <v>44085</v>
      </c>
      <c r="D12" s="1">
        <v>400000</v>
      </c>
      <c r="E12" s="14">
        <f>SUM($H$2:$H$12)</f>
        <v>137609.19</v>
      </c>
      <c r="F12" s="12">
        <f>40/30*11/40</f>
        <v>0.36666666666666664</v>
      </c>
      <c r="G12" s="12">
        <f t="shared" si="0"/>
        <v>0.34402297500000001</v>
      </c>
      <c r="H12" s="1">
        <v>11865.099999999999</v>
      </c>
      <c r="I12" s="1">
        <f t="shared" si="1"/>
        <v>2942.5447999999997</v>
      </c>
      <c r="J12" s="1">
        <v>0.245</v>
      </c>
      <c r="K12" s="1">
        <v>3200</v>
      </c>
      <c r="L12" s="1">
        <f t="shared" si="2"/>
        <v>50016</v>
      </c>
      <c r="M12" s="1">
        <v>565</v>
      </c>
      <c r="N12" s="1">
        <f t="shared" si="3"/>
        <v>4723.3999999999996</v>
      </c>
      <c r="O12" s="1"/>
      <c r="P12" s="1"/>
      <c r="Q12" s="1" t="s">
        <v>23</v>
      </c>
      <c r="R12" s="1">
        <v>7</v>
      </c>
      <c r="S12" s="1">
        <f t="shared" si="4"/>
        <v>19658.455714285716</v>
      </c>
      <c r="T12" s="1">
        <f t="shared" si="5"/>
        <v>4875.2970171428578</v>
      </c>
      <c r="U12" s="1"/>
      <c r="V12" s="1">
        <v>43811</v>
      </c>
      <c r="W12" s="15">
        <v>3.27E-2</v>
      </c>
      <c r="X12" s="1"/>
    </row>
    <row r="13" spans="1:24">
      <c r="A13" t="s">
        <v>15</v>
      </c>
      <c r="B13" t="s">
        <v>28</v>
      </c>
      <c r="C13" s="2">
        <v>44086</v>
      </c>
      <c r="D13" s="1">
        <v>400000</v>
      </c>
      <c r="E13" s="14">
        <f>SUM($H$2:$H$13)</f>
        <v>150118.04</v>
      </c>
      <c r="F13" s="12">
        <f>40/30*12/40</f>
        <v>0.4</v>
      </c>
      <c r="G13" s="12">
        <f t="shared" si="0"/>
        <v>0.37529510000000005</v>
      </c>
      <c r="H13" s="1">
        <v>12508.85</v>
      </c>
      <c r="I13" s="1">
        <f t="shared" si="1"/>
        <v>3102.1948000000002</v>
      </c>
      <c r="J13" s="1">
        <v>0.51900000000000002</v>
      </c>
      <c r="K13" s="1">
        <v>3160</v>
      </c>
      <c r="L13" s="1">
        <f t="shared" si="2"/>
        <v>49390.8</v>
      </c>
      <c r="M13" s="1">
        <v>558</v>
      </c>
      <c r="N13" s="1">
        <f t="shared" si="3"/>
        <v>4664.88</v>
      </c>
      <c r="O13" s="1"/>
      <c r="P13" s="1"/>
      <c r="Q13" s="1" t="s">
        <v>23</v>
      </c>
      <c r="R13" s="1">
        <v>7</v>
      </c>
      <c r="S13" s="1">
        <f t="shared" si="4"/>
        <v>21445.434285714287</v>
      </c>
      <c r="T13" s="1">
        <f t="shared" si="5"/>
        <v>5318.4677028571432</v>
      </c>
      <c r="U13" s="1"/>
      <c r="V13" s="1">
        <v>70738</v>
      </c>
      <c r="W13" s="15">
        <v>0.1111</v>
      </c>
      <c r="X13" s="1"/>
    </row>
    <row r="14" spans="1:24">
      <c r="A14" t="s">
        <v>15</v>
      </c>
      <c r="B14" t="s">
        <v>28</v>
      </c>
      <c r="C14" s="2">
        <v>44087</v>
      </c>
      <c r="D14" s="1">
        <v>400000</v>
      </c>
      <c r="E14" s="14">
        <f>SUM($H$2:$H$14)</f>
        <v>163639.34</v>
      </c>
      <c r="F14" s="12">
        <f>40/30*13/40</f>
        <v>0.43333333333333329</v>
      </c>
      <c r="G14" s="12">
        <f t="shared" si="0"/>
        <v>0.40909835</v>
      </c>
      <c r="H14" s="1">
        <v>13521.3</v>
      </c>
      <c r="I14" s="1">
        <f t="shared" si="1"/>
        <v>3353.2823999999996</v>
      </c>
      <c r="J14" s="1">
        <v>0.51900000000000002</v>
      </c>
      <c r="K14" s="1">
        <v>3021</v>
      </c>
      <c r="L14" s="1">
        <f t="shared" si="2"/>
        <v>47218.23</v>
      </c>
      <c r="M14" s="1">
        <v>533</v>
      </c>
      <c r="N14" s="1">
        <f t="shared" si="3"/>
        <v>4455.88</v>
      </c>
      <c r="O14" s="1"/>
      <c r="P14" s="1"/>
      <c r="Q14" s="1" t="s">
        <v>23</v>
      </c>
      <c r="R14" s="1">
        <v>7</v>
      </c>
      <c r="S14" s="1">
        <f t="shared" si="4"/>
        <v>23377.048571428571</v>
      </c>
      <c r="T14" s="1">
        <f t="shared" si="5"/>
        <v>5797.5080457142858</v>
      </c>
      <c r="U14" s="1"/>
      <c r="V14" s="1">
        <v>49674</v>
      </c>
      <c r="W14" s="12">
        <v>5.8799999999999998E-2</v>
      </c>
      <c r="X14" s="1"/>
    </row>
    <row r="15" spans="1:24">
      <c r="A15" t="s">
        <v>15</v>
      </c>
      <c r="B15" t="s">
        <v>28</v>
      </c>
      <c r="C15" s="2">
        <v>44088</v>
      </c>
      <c r="D15" s="1">
        <v>400000</v>
      </c>
      <c r="E15" s="14">
        <f>SUM($H$2:$H$15)</f>
        <v>175179.88999999998</v>
      </c>
      <c r="F15" s="12">
        <f>40/30*14/40</f>
        <v>0.46666666666666662</v>
      </c>
      <c r="G15" s="12">
        <f t="shared" si="0"/>
        <v>0.43794972499999996</v>
      </c>
      <c r="H15" s="1">
        <v>11540.55</v>
      </c>
      <c r="I15" s="1">
        <f t="shared" si="1"/>
        <v>2862.0563999999999</v>
      </c>
      <c r="J15" s="1">
        <v>0.498</v>
      </c>
      <c r="K15" s="1">
        <v>2900</v>
      </c>
      <c r="L15" s="1">
        <f t="shared" si="2"/>
        <v>45327</v>
      </c>
      <c r="M15" s="1">
        <v>512</v>
      </c>
      <c r="N15" s="1">
        <f t="shared" si="3"/>
        <v>4280.32</v>
      </c>
      <c r="O15" s="1"/>
      <c r="P15" s="1"/>
      <c r="Q15" s="1" t="s">
        <v>23</v>
      </c>
      <c r="R15" s="1">
        <v>7</v>
      </c>
      <c r="S15" s="1">
        <f t="shared" si="4"/>
        <v>25025.698571428569</v>
      </c>
      <c r="T15" s="1">
        <f t="shared" si="5"/>
        <v>6206.3732457142851</v>
      </c>
      <c r="U15" s="1"/>
      <c r="V15" s="1">
        <v>71720</v>
      </c>
      <c r="W15" s="1" t="s">
        <v>25</v>
      </c>
      <c r="X15" s="1"/>
    </row>
    <row r="16" spans="1:24">
      <c r="A16" t="s">
        <v>15</v>
      </c>
      <c r="B16" t="s">
        <v>28</v>
      </c>
      <c r="C16" s="2">
        <v>44089</v>
      </c>
      <c r="D16" s="1">
        <v>400000</v>
      </c>
      <c r="E16" s="14">
        <f>SUM($H$2:$H$16)</f>
        <v>189453.08</v>
      </c>
      <c r="F16" s="12">
        <f>40/30*15/40</f>
        <v>0.5</v>
      </c>
      <c r="G16" s="12">
        <f t="shared" si="0"/>
        <v>0.47363269999999996</v>
      </c>
      <c r="H16" s="1">
        <v>14273.19</v>
      </c>
      <c r="I16" s="1">
        <f t="shared" si="1"/>
        <v>3539.7511199999999</v>
      </c>
      <c r="J16" s="1">
        <v>0.51900000000000002</v>
      </c>
      <c r="K16" s="1">
        <v>2795</v>
      </c>
      <c r="L16" s="1">
        <f t="shared" si="2"/>
        <v>43685.850000000006</v>
      </c>
      <c r="M16" s="1">
        <v>493</v>
      </c>
      <c r="N16" s="1">
        <f t="shared" si="3"/>
        <v>4121.4799999999996</v>
      </c>
      <c r="O16" s="1"/>
      <c r="P16" s="1"/>
      <c r="Q16" s="1" t="s">
        <v>23</v>
      </c>
      <c r="R16" s="1">
        <v>7</v>
      </c>
      <c r="S16" s="1">
        <f t="shared" si="4"/>
        <v>27064.725714285712</v>
      </c>
      <c r="T16" s="1">
        <f t="shared" si="5"/>
        <v>6712.0519771428562</v>
      </c>
      <c r="U16" s="1"/>
      <c r="V16" s="1">
        <v>88411</v>
      </c>
      <c r="W16" s="12">
        <v>4.48E-2</v>
      </c>
      <c r="X16" s="1"/>
    </row>
    <row r="17" spans="1:24">
      <c r="A17" t="s">
        <v>15</v>
      </c>
      <c r="B17" t="s">
        <v>28</v>
      </c>
      <c r="C17" s="2">
        <v>44090</v>
      </c>
      <c r="D17" s="1">
        <v>400000</v>
      </c>
      <c r="E17" s="14">
        <f>SUM($H$2:$H$17)</f>
        <v>202807.55</v>
      </c>
      <c r="F17" s="12">
        <f>40/30*16/40</f>
        <v>0.53333333333333333</v>
      </c>
      <c r="G17" s="12">
        <f t="shared" si="0"/>
        <v>0.50701887499999998</v>
      </c>
      <c r="H17" s="1">
        <v>13354.47</v>
      </c>
      <c r="I17" s="1">
        <f t="shared" si="1"/>
        <v>3311.9085599999999</v>
      </c>
      <c r="J17" s="1">
        <v>0.51900000000000002</v>
      </c>
      <c r="K17" s="1">
        <v>2546</v>
      </c>
      <c r="L17" s="1">
        <f t="shared" si="2"/>
        <v>39793.980000000003</v>
      </c>
      <c r="M17" s="1">
        <v>49</v>
      </c>
      <c r="N17" s="1">
        <f t="shared" si="3"/>
        <v>409.64</v>
      </c>
      <c r="O17" s="1"/>
      <c r="P17" s="1"/>
      <c r="Q17" s="1" t="s">
        <v>23</v>
      </c>
      <c r="R17" s="1">
        <v>7</v>
      </c>
      <c r="S17" s="1">
        <f t="shared" si="4"/>
        <v>28972.507142857143</v>
      </c>
      <c r="T17" s="1">
        <f t="shared" si="5"/>
        <v>7185.1817714285717</v>
      </c>
      <c r="U17" s="1"/>
      <c r="V17" s="1">
        <v>77289</v>
      </c>
      <c r="W17" s="15">
        <v>3.27E-2</v>
      </c>
      <c r="X17" s="1"/>
    </row>
    <row r="18" spans="1:24">
      <c r="A18" t="s">
        <v>15</v>
      </c>
      <c r="B18" t="s">
        <v>28</v>
      </c>
      <c r="C18" s="2">
        <v>44091</v>
      </c>
      <c r="D18" s="1">
        <v>400000</v>
      </c>
      <c r="E18" s="14">
        <f>SUM($H$2:$H$18)</f>
        <v>215388.37</v>
      </c>
      <c r="F18" s="12">
        <f>40/30*17/40</f>
        <v>0.56666666666666665</v>
      </c>
      <c r="G18" s="12">
        <f t="shared" si="0"/>
        <v>0.53847092499999993</v>
      </c>
      <c r="H18" s="1">
        <v>12580.82</v>
      </c>
      <c r="I18" s="1">
        <f t="shared" si="1"/>
        <v>3120.0433600000001</v>
      </c>
      <c r="J18" s="1">
        <v>0.498</v>
      </c>
      <c r="K18" s="1">
        <v>2458</v>
      </c>
      <c r="L18" s="1">
        <f t="shared" si="2"/>
        <v>38418.54</v>
      </c>
      <c r="M18" s="1">
        <v>434</v>
      </c>
      <c r="N18" s="1">
        <f t="shared" si="3"/>
        <v>3628.24</v>
      </c>
      <c r="O18" s="1"/>
      <c r="P18" s="1"/>
      <c r="Q18" s="1" t="s">
        <v>23</v>
      </c>
      <c r="R18" s="1">
        <v>7</v>
      </c>
      <c r="S18" s="1">
        <f t="shared" si="4"/>
        <v>30769.767142857141</v>
      </c>
      <c r="T18" s="1">
        <f t="shared" si="5"/>
        <v>7630.9022514285707</v>
      </c>
      <c r="U18" s="1"/>
      <c r="V18" s="1">
        <v>79720</v>
      </c>
      <c r="W18" s="15">
        <v>0.1111</v>
      </c>
      <c r="X18" s="1"/>
    </row>
    <row r="19" spans="1:24">
      <c r="A19" t="s">
        <v>15</v>
      </c>
      <c r="B19" t="s">
        <v>28</v>
      </c>
      <c r="C19" s="2">
        <v>44092</v>
      </c>
      <c r="D19" s="1">
        <v>400000</v>
      </c>
      <c r="E19" s="14">
        <f>SUM($H$2:$H$19)</f>
        <v>227351.35</v>
      </c>
      <c r="F19" s="12">
        <f>40/30*18/40</f>
        <v>0.6</v>
      </c>
      <c r="G19" s="12">
        <f t="shared" si="0"/>
        <v>0.56837837499999999</v>
      </c>
      <c r="H19" s="1">
        <v>11962.98</v>
      </c>
      <c r="I19" s="1">
        <f t="shared" si="1"/>
        <v>2966.8190399999999</v>
      </c>
      <c r="J19" s="1">
        <v>0.51900000000000002</v>
      </c>
      <c r="K19" s="1">
        <v>2356</v>
      </c>
      <c r="L19" s="1">
        <f t="shared" si="2"/>
        <v>36824.28</v>
      </c>
      <c r="M19" s="1">
        <v>416</v>
      </c>
      <c r="N19" s="1">
        <f t="shared" si="3"/>
        <v>3477.7599999999998</v>
      </c>
      <c r="O19" s="1"/>
      <c r="P19" s="1"/>
      <c r="Q19" s="1" t="s">
        <v>23</v>
      </c>
      <c r="R19" s="1">
        <v>7</v>
      </c>
      <c r="S19" s="1">
        <f t="shared" si="4"/>
        <v>32478.764285714286</v>
      </c>
      <c r="T19" s="1">
        <f t="shared" si="5"/>
        <v>8054.7335428571423</v>
      </c>
      <c r="U19" s="1"/>
      <c r="V19" s="1">
        <v>55053</v>
      </c>
      <c r="W19" s="12">
        <v>0.1043</v>
      </c>
      <c r="X19" s="1"/>
    </row>
    <row r="20" spans="1:24">
      <c r="A20" t="s">
        <v>15</v>
      </c>
      <c r="B20" t="s">
        <v>28</v>
      </c>
      <c r="C20" s="2">
        <v>44093</v>
      </c>
      <c r="D20" s="1">
        <v>400000</v>
      </c>
      <c r="E20" s="14">
        <f>SUM($H$2:$H$20)</f>
        <v>240582.95</v>
      </c>
      <c r="F20" s="12">
        <f>40/30*19/40</f>
        <v>0.6333333333333333</v>
      </c>
      <c r="G20" s="12">
        <f t="shared" si="0"/>
        <v>0.60145737500000007</v>
      </c>
      <c r="H20" s="1">
        <v>13231.6</v>
      </c>
      <c r="I20" s="1">
        <f t="shared" si="1"/>
        <v>3281.4367999999999</v>
      </c>
      <c r="J20" s="1">
        <v>0.498</v>
      </c>
      <c r="K20" s="1">
        <v>2212</v>
      </c>
      <c r="L20" s="1">
        <f t="shared" si="2"/>
        <v>34573.560000000005</v>
      </c>
      <c r="M20" s="1">
        <v>390</v>
      </c>
      <c r="N20" s="1">
        <f t="shared" si="3"/>
        <v>3260.3999999999996</v>
      </c>
      <c r="O20" s="1"/>
      <c r="P20" s="1"/>
      <c r="Q20" s="1" t="s">
        <v>23</v>
      </c>
      <c r="R20" s="1">
        <v>7</v>
      </c>
      <c r="S20" s="1">
        <f t="shared" si="4"/>
        <v>34368.992857142861</v>
      </c>
      <c r="T20" s="1">
        <f t="shared" si="5"/>
        <v>8523.5102285714293</v>
      </c>
      <c r="U20" s="1"/>
      <c r="V20" s="1">
        <v>60309</v>
      </c>
      <c r="W20" s="15">
        <v>0.1111</v>
      </c>
      <c r="X20" s="1"/>
    </row>
    <row r="21" spans="1:24">
      <c r="A21" t="s">
        <v>15</v>
      </c>
      <c r="B21" t="s">
        <v>28</v>
      </c>
      <c r="C21" s="2">
        <v>44094</v>
      </c>
      <c r="D21" s="1">
        <v>400000</v>
      </c>
      <c r="E21" s="14">
        <f>SUM($H$2:$H$21)</f>
        <v>252413.65000000002</v>
      </c>
      <c r="F21" s="12">
        <f>40/30*20/40</f>
        <v>0.66666666666666663</v>
      </c>
      <c r="G21" s="12">
        <f t="shared" si="0"/>
        <v>0.63103412500000011</v>
      </c>
      <c r="H21" s="1">
        <v>11830.699999999999</v>
      </c>
      <c r="I21" s="1">
        <f t="shared" si="1"/>
        <v>2934.0135999999998</v>
      </c>
      <c r="J21" s="1">
        <v>9.6000000000000002E-2</v>
      </c>
      <c r="K21" s="1">
        <v>2100</v>
      </c>
      <c r="L21" s="1">
        <f t="shared" si="2"/>
        <v>32823</v>
      </c>
      <c r="M21" s="1">
        <v>371</v>
      </c>
      <c r="N21" s="1">
        <f t="shared" si="3"/>
        <v>3101.56</v>
      </c>
      <c r="O21" s="1"/>
      <c r="P21" s="1"/>
      <c r="Q21" s="1" t="s">
        <v>23</v>
      </c>
      <c r="R21" s="1">
        <v>7</v>
      </c>
      <c r="S21" s="1">
        <f t="shared" si="4"/>
        <v>36059.092857142859</v>
      </c>
      <c r="T21" s="1">
        <f t="shared" si="5"/>
        <v>8942.6550285714293</v>
      </c>
      <c r="U21" s="1"/>
      <c r="V21" s="1">
        <v>58380</v>
      </c>
      <c r="W21" s="12">
        <v>0.1043</v>
      </c>
      <c r="X21" s="1"/>
    </row>
    <row r="22" spans="1:24">
      <c r="A22" t="s">
        <v>15</v>
      </c>
      <c r="B22" t="s">
        <v>28</v>
      </c>
      <c r="C22" s="2">
        <v>44095</v>
      </c>
      <c r="D22" s="1">
        <v>400000</v>
      </c>
      <c r="E22" s="14">
        <f>SUM($H$2:$H$22)</f>
        <v>263992.05000000005</v>
      </c>
      <c r="F22" s="12">
        <f>40/30*21/40</f>
        <v>0.7</v>
      </c>
      <c r="G22" s="12">
        <f t="shared" si="0"/>
        <v>0.65998012500000014</v>
      </c>
      <c r="H22" s="1">
        <v>11578.400000000001</v>
      </c>
      <c r="I22" s="1">
        <f t="shared" si="1"/>
        <v>2871.4432000000002</v>
      </c>
      <c r="J22" s="1">
        <v>0.245</v>
      </c>
      <c r="K22" s="1">
        <v>2020</v>
      </c>
      <c r="L22" s="1">
        <f t="shared" si="2"/>
        <v>31572.600000000002</v>
      </c>
      <c r="M22" s="1">
        <v>356</v>
      </c>
      <c r="N22" s="1">
        <f t="shared" si="3"/>
        <v>2976.16</v>
      </c>
      <c r="O22" s="1"/>
      <c r="P22" s="1"/>
      <c r="Q22" s="1" t="s">
        <v>23</v>
      </c>
      <c r="R22" s="1">
        <v>7</v>
      </c>
      <c r="S22" s="1">
        <f t="shared" si="4"/>
        <v>37713.150000000009</v>
      </c>
      <c r="T22" s="1">
        <f t="shared" si="5"/>
        <v>9352.8612000000012</v>
      </c>
      <c r="U22" s="1"/>
      <c r="V22" s="1">
        <v>91724</v>
      </c>
      <c r="W22" s="12">
        <v>5.8799999999999998E-2</v>
      </c>
      <c r="X22" s="1"/>
    </row>
    <row r="23" spans="1:24">
      <c r="A23" t="s">
        <v>15</v>
      </c>
      <c r="B23" t="s">
        <v>28</v>
      </c>
      <c r="C23" s="2">
        <v>44096</v>
      </c>
      <c r="D23" s="1">
        <v>400000</v>
      </c>
      <c r="E23" s="14">
        <f>SUM($H$2:$H$23)</f>
        <v>274762.21000000002</v>
      </c>
      <c r="F23" s="12">
        <f>40/30*22/40</f>
        <v>0.73333333333333328</v>
      </c>
      <c r="G23" s="12">
        <f t="shared" si="0"/>
        <v>0.68690552500000002</v>
      </c>
      <c r="H23" s="1">
        <v>10770.160000000002</v>
      </c>
      <c r="I23" s="1">
        <f t="shared" si="1"/>
        <v>2670.9996800000004</v>
      </c>
      <c r="J23" s="1">
        <v>0.88600000000000001</v>
      </c>
      <c r="K23" s="1">
        <v>2560</v>
      </c>
      <c r="L23" s="1">
        <f t="shared" si="2"/>
        <v>40012.800000000003</v>
      </c>
      <c r="M23" s="1">
        <v>452</v>
      </c>
      <c r="N23" s="1">
        <f t="shared" si="3"/>
        <v>3778.72</v>
      </c>
      <c r="O23" s="1"/>
      <c r="P23" s="1"/>
      <c r="Q23" s="1" t="s">
        <v>23</v>
      </c>
      <c r="R23" s="1">
        <v>7</v>
      </c>
      <c r="S23" s="1">
        <f t="shared" si="4"/>
        <v>39251.744285714289</v>
      </c>
      <c r="T23" s="1">
        <f t="shared" si="5"/>
        <v>9734.4325828571436</v>
      </c>
      <c r="U23" s="1"/>
      <c r="V23" s="1">
        <v>85118</v>
      </c>
      <c r="W23" s="15">
        <v>3.27E-2</v>
      </c>
      <c r="X23" s="1"/>
    </row>
    <row r="24" spans="1:24">
      <c r="A24" t="s">
        <v>15</v>
      </c>
      <c r="B24" t="s">
        <v>28</v>
      </c>
      <c r="C24" s="2">
        <v>44097</v>
      </c>
      <c r="D24" s="1">
        <v>400000</v>
      </c>
      <c r="E24" s="14">
        <f>SUM($H$2:$H$24)</f>
        <v>287534.82</v>
      </c>
      <c r="F24" s="12">
        <f>40/30*23/40</f>
        <v>0.76666666666666661</v>
      </c>
      <c r="G24" s="12">
        <f t="shared" si="0"/>
        <v>0.71883704999999998</v>
      </c>
      <c r="H24" s="1">
        <v>12772.609999999999</v>
      </c>
      <c r="I24" s="1">
        <f t="shared" si="1"/>
        <v>3167.6072799999997</v>
      </c>
      <c r="J24" s="1">
        <v>0.16600000000000001</v>
      </c>
      <c r="K24" s="1">
        <v>2400</v>
      </c>
      <c r="L24" s="1">
        <f t="shared" si="2"/>
        <v>37512</v>
      </c>
      <c r="M24" s="1">
        <v>424</v>
      </c>
      <c r="N24" s="1">
        <f t="shared" si="3"/>
        <v>3544.64</v>
      </c>
      <c r="O24" s="1"/>
      <c r="P24" s="1"/>
      <c r="Q24" s="1" t="s">
        <v>23</v>
      </c>
      <c r="R24" s="1">
        <v>7</v>
      </c>
      <c r="S24" s="1">
        <f t="shared" si="4"/>
        <v>41076.402857142857</v>
      </c>
      <c r="T24" s="1">
        <f t="shared" si="5"/>
        <v>10186.947908571428</v>
      </c>
      <c r="U24" s="1"/>
      <c r="V24" s="1">
        <v>72450</v>
      </c>
      <c r="W24" s="15">
        <v>0.1111</v>
      </c>
      <c r="X24" s="1"/>
    </row>
    <row r="25" spans="1:24">
      <c r="A25" t="s">
        <v>15</v>
      </c>
      <c r="B25" t="s">
        <v>28</v>
      </c>
      <c r="C25" s="2">
        <v>44098</v>
      </c>
      <c r="D25" s="1">
        <v>400000</v>
      </c>
      <c r="E25" s="14">
        <f>SUM($H$2:$H$25)</f>
        <v>298712.56</v>
      </c>
      <c r="F25" s="12">
        <f>40/30*24/40</f>
        <v>0.8</v>
      </c>
      <c r="G25" s="12">
        <f t="shared" si="0"/>
        <v>0.74678140000000004</v>
      </c>
      <c r="H25" s="1">
        <v>11177.740000000002</v>
      </c>
      <c r="I25" s="1">
        <f t="shared" si="1"/>
        <v>2772.0795200000002</v>
      </c>
      <c r="J25" s="1">
        <v>9.6000000000000002E-2</v>
      </c>
      <c r="K25" s="1">
        <v>2356</v>
      </c>
      <c r="L25" s="1">
        <f t="shared" si="2"/>
        <v>36824.28</v>
      </c>
      <c r="M25" s="1">
        <v>416</v>
      </c>
      <c r="N25" s="1">
        <f t="shared" si="3"/>
        <v>3477.7599999999998</v>
      </c>
      <c r="O25" s="1"/>
      <c r="P25" s="1"/>
      <c r="Q25" s="1" t="s">
        <v>23</v>
      </c>
      <c r="R25" s="1">
        <v>7</v>
      </c>
      <c r="S25" s="1">
        <f t="shared" si="4"/>
        <v>42673.222857142857</v>
      </c>
      <c r="T25" s="1">
        <f t="shared" si="5"/>
        <v>10582.959268571429</v>
      </c>
      <c r="U25" s="1"/>
      <c r="V25" s="1">
        <v>99607</v>
      </c>
      <c r="W25" s="12">
        <v>5.8799999999999998E-2</v>
      </c>
      <c r="X25" s="1"/>
    </row>
    <row r="26" spans="1:24">
      <c r="A26" t="s">
        <v>15</v>
      </c>
      <c r="B26" t="s">
        <v>28</v>
      </c>
      <c r="C26" s="2">
        <v>44099</v>
      </c>
      <c r="D26" s="1">
        <v>400000</v>
      </c>
      <c r="E26" s="14">
        <f>SUM($H$2:$H$26)</f>
        <v>309175.07</v>
      </c>
      <c r="F26" s="12">
        <f>40/30*25/40</f>
        <v>0.83333333333333326</v>
      </c>
      <c r="G26" s="12">
        <f t="shared" si="0"/>
        <v>0.77293767499999999</v>
      </c>
      <c r="H26" s="1">
        <v>10462.51</v>
      </c>
      <c r="I26" s="1">
        <f t="shared" si="1"/>
        <v>2594.7024799999999</v>
      </c>
      <c r="J26" s="1">
        <v>0.245</v>
      </c>
      <c r="K26" s="1">
        <v>2212</v>
      </c>
      <c r="L26" s="1">
        <f t="shared" si="2"/>
        <v>34573.560000000005</v>
      </c>
      <c r="M26" s="1">
        <v>390</v>
      </c>
      <c r="N26" s="1">
        <f t="shared" si="3"/>
        <v>3260.3999999999996</v>
      </c>
      <c r="O26" s="1"/>
      <c r="P26" s="1"/>
      <c r="Q26" s="1" t="s">
        <v>23</v>
      </c>
      <c r="R26" s="1">
        <v>7</v>
      </c>
      <c r="S26" s="1">
        <f t="shared" si="4"/>
        <v>44167.867142857147</v>
      </c>
      <c r="T26" s="1">
        <f t="shared" si="5"/>
        <v>10953.631051428572</v>
      </c>
      <c r="U26" s="1"/>
      <c r="V26" s="1">
        <v>85820</v>
      </c>
      <c r="W26" s="1" t="s">
        <v>25</v>
      </c>
      <c r="X26" s="1"/>
    </row>
    <row r="27" spans="1:24">
      <c r="A27" t="s">
        <v>15</v>
      </c>
      <c r="B27" t="s">
        <v>28</v>
      </c>
      <c r="C27" s="2">
        <v>44100</v>
      </c>
      <c r="D27" s="1">
        <v>400000</v>
      </c>
      <c r="E27" s="14">
        <f>SUM($H$2:$H$27)</f>
        <v>318824.57</v>
      </c>
      <c r="F27" s="12">
        <f>40/30*26/40</f>
        <v>0.86666666666666659</v>
      </c>
      <c r="G27" s="12">
        <f t="shared" si="0"/>
        <v>0.79706142499999999</v>
      </c>
      <c r="H27" s="1">
        <v>9649.5</v>
      </c>
      <c r="I27" s="1">
        <f t="shared" si="1"/>
        <v>2393.076</v>
      </c>
      <c r="J27" s="1">
        <v>0.51900000000000002</v>
      </c>
      <c r="K27" s="1">
        <v>2100</v>
      </c>
      <c r="L27" s="1">
        <f t="shared" si="2"/>
        <v>32823</v>
      </c>
      <c r="M27" s="1">
        <v>371</v>
      </c>
      <c r="N27" s="1">
        <f t="shared" si="3"/>
        <v>3101.56</v>
      </c>
      <c r="O27" s="1"/>
      <c r="P27" s="1"/>
      <c r="Q27" s="1" t="s">
        <v>23</v>
      </c>
      <c r="R27" s="1">
        <v>7</v>
      </c>
      <c r="S27" s="1">
        <f t="shared" si="4"/>
        <v>45546.367142857147</v>
      </c>
      <c r="T27" s="1">
        <f t="shared" si="5"/>
        <v>11295.499051428573</v>
      </c>
      <c r="U27" s="1"/>
      <c r="V27" s="1">
        <v>85942</v>
      </c>
      <c r="W27" s="12">
        <v>5.8799999999999998E-2</v>
      </c>
      <c r="X27" s="1"/>
    </row>
    <row r="28" spans="1:24">
      <c r="A28" t="s">
        <v>15</v>
      </c>
      <c r="B28" t="s">
        <v>28</v>
      </c>
      <c r="C28" s="2">
        <v>44101</v>
      </c>
      <c r="D28" s="1">
        <v>400000</v>
      </c>
      <c r="E28" s="14">
        <f>SUM($H$2:$H$28)</f>
        <v>330622.43</v>
      </c>
      <c r="F28" s="12">
        <f>40/30*27/40</f>
        <v>0.9</v>
      </c>
      <c r="G28" s="12">
        <f t="shared" si="0"/>
        <v>0.82655607499999995</v>
      </c>
      <c r="H28" s="1">
        <v>11797.86</v>
      </c>
      <c r="I28" s="1">
        <f t="shared" si="1"/>
        <v>2925.8692800000003</v>
      </c>
      <c r="J28" s="1">
        <v>0.51900000000000002</v>
      </c>
      <c r="K28" s="1">
        <v>2020</v>
      </c>
      <c r="L28" s="1">
        <f t="shared" si="2"/>
        <v>31572.600000000002</v>
      </c>
      <c r="M28" s="1">
        <v>356</v>
      </c>
      <c r="N28" s="1">
        <f t="shared" si="3"/>
        <v>2976.16</v>
      </c>
      <c r="O28" s="1"/>
      <c r="P28" s="1"/>
      <c r="Q28" s="1" t="s">
        <v>23</v>
      </c>
      <c r="R28" s="1">
        <v>7</v>
      </c>
      <c r="S28" s="1">
        <f t="shared" si="4"/>
        <v>47231.775714285715</v>
      </c>
      <c r="T28" s="1">
        <f t="shared" si="5"/>
        <v>11713.480377142858</v>
      </c>
      <c r="U28" s="1"/>
      <c r="V28" s="1">
        <v>96227</v>
      </c>
      <c r="W28" s="15">
        <v>3.27E-2</v>
      </c>
      <c r="X28" s="1"/>
    </row>
    <row r="29" spans="1:24">
      <c r="A29" t="s">
        <v>15</v>
      </c>
      <c r="B29" t="s">
        <v>28</v>
      </c>
      <c r="C29" s="2">
        <v>44102</v>
      </c>
      <c r="D29" s="1">
        <v>400000</v>
      </c>
      <c r="E29" s="14">
        <f>SUM($H$2:$H$29)</f>
        <v>343490.81</v>
      </c>
      <c r="F29" s="12">
        <f>40/30*28/40</f>
        <v>0.93333333333333324</v>
      </c>
      <c r="G29" s="12">
        <f t="shared" si="0"/>
        <v>0.85872702499999998</v>
      </c>
      <c r="H29" s="1">
        <v>12868.380000000001</v>
      </c>
      <c r="I29" s="1">
        <f t="shared" si="1"/>
        <v>3191.35824</v>
      </c>
      <c r="J29" s="1">
        <v>0.498</v>
      </c>
      <c r="K29" s="1">
        <v>2560</v>
      </c>
      <c r="L29" s="1">
        <f t="shared" si="2"/>
        <v>40012.800000000003</v>
      </c>
      <c r="M29" s="1">
        <v>452</v>
      </c>
      <c r="N29" s="1">
        <f t="shared" si="3"/>
        <v>3778.72</v>
      </c>
      <c r="O29" s="1"/>
      <c r="P29" s="1"/>
      <c r="Q29" s="1" t="s">
        <v>23</v>
      </c>
      <c r="R29" s="1">
        <v>7</v>
      </c>
      <c r="S29" s="1">
        <f t="shared" si="4"/>
        <v>49070.115714285712</v>
      </c>
      <c r="T29" s="1">
        <f t="shared" si="5"/>
        <v>12169.388697142856</v>
      </c>
      <c r="U29" s="1"/>
      <c r="V29" s="1">
        <v>79047</v>
      </c>
      <c r="W29" s="15">
        <v>0.1111</v>
      </c>
      <c r="X29" s="1"/>
    </row>
    <row r="30" spans="1:24">
      <c r="A30" t="s">
        <v>15</v>
      </c>
      <c r="B30" t="s">
        <v>28</v>
      </c>
      <c r="C30" s="2">
        <v>44103</v>
      </c>
      <c r="D30" s="1">
        <v>400000</v>
      </c>
      <c r="E30" s="14">
        <f>SUM($H$2:$H$30)</f>
        <v>356648.59</v>
      </c>
      <c r="F30" s="12">
        <f>40/30*29/40</f>
        <v>0.96666666666666656</v>
      </c>
      <c r="G30" s="12">
        <f t="shared" si="0"/>
        <v>0.89162147500000011</v>
      </c>
      <c r="H30" s="1">
        <v>13157.78</v>
      </c>
      <c r="I30" s="1">
        <f t="shared" si="1"/>
        <v>3263.1294400000002</v>
      </c>
      <c r="J30" s="1">
        <v>0.245</v>
      </c>
      <c r="K30" s="1">
        <v>2400</v>
      </c>
      <c r="L30" s="1">
        <f t="shared" si="2"/>
        <v>37512</v>
      </c>
      <c r="M30" s="1">
        <v>424</v>
      </c>
      <c r="N30" s="1">
        <f t="shared" si="3"/>
        <v>3544.64</v>
      </c>
      <c r="O30" s="1"/>
      <c r="P30" s="1"/>
      <c r="Q30" s="1" t="s">
        <v>23</v>
      </c>
      <c r="R30" s="1">
        <v>7</v>
      </c>
      <c r="S30" s="1">
        <f t="shared" si="4"/>
        <v>50949.798571428575</v>
      </c>
      <c r="T30" s="1">
        <f t="shared" si="5"/>
        <v>12635.550045714286</v>
      </c>
      <c r="U30" s="1"/>
      <c r="V30" s="1">
        <v>78332</v>
      </c>
      <c r="W30" s="12">
        <v>5.8799999999999998E-2</v>
      </c>
      <c r="X30" s="1"/>
    </row>
    <row r="31" spans="1:24">
      <c r="A31" t="s">
        <v>15</v>
      </c>
      <c r="B31" t="s">
        <v>28</v>
      </c>
      <c r="C31" s="2">
        <v>44104</v>
      </c>
      <c r="D31" s="1">
        <v>400000</v>
      </c>
      <c r="E31" s="14">
        <f>SUM($H$2:$H$31)</f>
        <v>367270.5</v>
      </c>
      <c r="F31" s="12">
        <f>40/30*30/40</f>
        <v>1</v>
      </c>
      <c r="G31" s="12">
        <f t="shared" si="0"/>
        <v>0.91817625000000003</v>
      </c>
      <c r="H31" s="1">
        <v>10621.91</v>
      </c>
      <c r="I31" s="1">
        <f t="shared" si="1"/>
        <v>2634.2336799999998</v>
      </c>
      <c r="J31" s="1">
        <v>0.51900000000000002</v>
      </c>
      <c r="K31" s="1">
        <v>3540</v>
      </c>
      <c r="L31" s="1">
        <f t="shared" si="2"/>
        <v>55330.200000000004</v>
      </c>
      <c r="M31" s="1">
        <v>625</v>
      </c>
      <c r="N31" s="1">
        <f t="shared" si="3"/>
        <v>5225</v>
      </c>
      <c r="O31" s="1"/>
      <c r="P31" s="1"/>
      <c r="Q31" s="1" t="s">
        <v>23</v>
      </c>
      <c r="R31" s="1">
        <v>7</v>
      </c>
      <c r="S31" s="1">
        <f t="shared" si="4"/>
        <v>52467.214285714283</v>
      </c>
      <c r="T31" s="1">
        <f t="shared" si="5"/>
        <v>13011.869142857142</v>
      </c>
      <c r="U31" s="1"/>
      <c r="V31" s="1">
        <v>45855</v>
      </c>
      <c r="W31" s="1" t="s">
        <v>25</v>
      </c>
      <c r="X31" s="1"/>
    </row>
    <row r="32" spans="1:24">
      <c r="A32" t="s">
        <v>15</v>
      </c>
      <c r="B32" t="s">
        <v>28</v>
      </c>
      <c r="C32" s="2">
        <v>44105</v>
      </c>
      <c r="D32">
        <v>400000</v>
      </c>
      <c r="E32" s="10">
        <f>SUM($H$32:$H$32)</f>
        <v>10888.17</v>
      </c>
      <c r="F32" s="13">
        <f>F2</f>
        <v>3.3333333333333333E-2</v>
      </c>
      <c r="G32" s="13">
        <f>E32/D32</f>
        <v>2.7220424999999999E-2</v>
      </c>
      <c r="H32" s="3">
        <v>10888.17</v>
      </c>
      <c r="I32" s="1">
        <f t="shared" si="1"/>
        <v>2700.2661600000001</v>
      </c>
      <c r="J32" s="1">
        <v>0.51900000000000002</v>
      </c>
      <c r="K32" s="1">
        <v>3420</v>
      </c>
      <c r="L32" s="1">
        <f t="shared" si="2"/>
        <v>53454.600000000006</v>
      </c>
      <c r="M32" s="1">
        <v>604</v>
      </c>
      <c r="N32" s="1">
        <f t="shared" si="3"/>
        <v>5049.4399999999996</v>
      </c>
      <c r="Q32" s="1" t="s">
        <v>23</v>
      </c>
      <c r="R32" s="1">
        <v>7</v>
      </c>
      <c r="S32" s="1">
        <f t="shared" si="4"/>
        <v>1555.4528571428571</v>
      </c>
      <c r="T32" s="1">
        <f t="shared" si="5"/>
        <v>385.75230857142856</v>
      </c>
      <c r="V32">
        <v>89405</v>
      </c>
      <c r="W32" s="15">
        <v>0.1111</v>
      </c>
    </row>
    <row r="33" spans="1:23">
      <c r="A33" t="s">
        <v>15</v>
      </c>
      <c r="B33" t="s">
        <v>28</v>
      </c>
      <c r="C33" s="2">
        <v>44106</v>
      </c>
      <c r="D33">
        <v>400000</v>
      </c>
      <c r="E33" s="10">
        <f>SUM($H$32:$H$33)</f>
        <v>21102.41</v>
      </c>
      <c r="F33" s="13">
        <f>40/31*2/40</f>
        <v>6.4516129032258063E-2</v>
      </c>
      <c r="G33" s="13">
        <f t="shared" ref="G33:G62" si="6">E33/D33</f>
        <v>5.2756024999999998E-2</v>
      </c>
      <c r="H33" s="3">
        <v>10214.24</v>
      </c>
      <c r="I33" s="1">
        <f t="shared" si="1"/>
        <v>2533.1315199999999</v>
      </c>
      <c r="J33" s="1">
        <v>0.498</v>
      </c>
      <c r="K33" s="1">
        <v>3300</v>
      </c>
      <c r="L33" s="1">
        <f t="shared" si="2"/>
        <v>51579</v>
      </c>
      <c r="M33" s="1">
        <v>583</v>
      </c>
      <c r="N33" s="1">
        <f t="shared" si="3"/>
        <v>4873.88</v>
      </c>
      <c r="Q33" s="1" t="s">
        <v>23</v>
      </c>
      <c r="R33" s="1">
        <v>7</v>
      </c>
      <c r="S33" s="1">
        <f t="shared" si="4"/>
        <v>3014.63</v>
      </c>
      <c r="T33" s="1">
        <f t="shared" si="5"/>
        <v>747.62824000000001</v>
      </c>
      <c r="V33">
        <v>50599</v>
      </c>
      <c r="W33" s="12">
        <v>0.1043</v>
      </c>
    </row>
    <row r="34" spans="1:23">
      <c r="A34" t="s">
        <v>15</v>
      </c>
      <c r="B34" t="s">
        <v>28</v>
      </c>
      <c r="C34" s="2">
        <v>44107</v>
      </c>
      <c r="D34">
        <v>400000</v>
      </c>
      <c r="E34" s="10">
        <f>SUM($H$32:$H$34)</f>
        <v>31416.440000000002</v>
      </c>
      <c r="F34" s="13">
        <f>40/31*3/40</f>
        <v>9.6774193548387094E-2</v>
      </c>
      <c r="G34" s="13">
        <f t="shared" si="6"/>
        <v>7.8541100000000003E-2</v>
      </c>
      <c r="H34" s="3">
        <v>10314.030000000001</v>
      </c>
      <c r="I34" s="1">
        <f t="shared" si="1"/>
        <v>2557.8794400000002</v>
      </c>
      <c r="J34" s="1">
        <v>0.51900000000000002</v>
      </c>
      <c r="K34" s="1">
        <v>3200</v>
      </c>
      <c r="L34" s="1">
        <f t="shared" si="2"/>
        <v>50016</v>
      </c>
      <c r="M34" s="1">
        <v>565</v>
      </c>
      <c r="N34" s="1">
        <f t="shared" si="3"/>
        <v>4723.3999999999996</v>
      </c>
      <c r="Q34" s="1" t="s">
        <v>23</v>
      </c>
      <c r="R34" s="1">
        <v>7</v>
      </c>
      <c r="S34" s="1">
        <f t="shared" si="4"/>
        <v>4488.0628571428579</v>
      </c>
      <c r="T34" s="1">
        <f t="shared" si="5"/>
        <v>1113.0395885714288</v>
      </c>
      <c r="V34">
        <v>53852</v>
      </c>
      <c r="W34" s="15">
        <v>0.1111</v>
      </c>
    </row>
    <row r="35" spans="1:23">
      <c r="A35" t="s">
        <v>15</v>
      </c>
      <c r="B35" t="s">
        <v>28</v>
      </c>
      <c r="C35" s="2">
        <v>44108</v>
      </c>
      <c r="D35">
        <v>400000</v>
      </c>
      <c r="E35" s="10">
        <f>SUM($H$32:$H$35)</f>
        <v>43244.9</v>
      </c>
      <c r="F35" s="13">
        <f>40/31*4/40</f>
        <v>0.12903225806451613</v>
      </c>
      <c r="G35" s="13">
        <f t="shared" si="6"/>
        <v>0.10811225000000001</v>
      </c>
      <c r="H35" s="3">
        <v>11828.46</v>
      </c>
      <c r="I35" s="1">
        <f t="shared" si="1"/>
        <v>2933.4580799999999</v>
      </c>
      <c r="J35" s="1">
        <v>0.498</v>
      </c>
      <c r="K35" s="1">
        <v>3160</v>
      </c>
      <c r="L35" s="1">
        <f t="shared" si="2"/>
        <v>49390.8</v>
      </c>
      <c r="M35" s="1">
        <v>558</v>
      </c>
      <c r="N35" s="1">
        <f t="shared" si="3"/>
        <v>4664.88</v>
      </c>
      <c r="Q35" s="1" t="s">
        <v>23</v>
      </c>
      <c r="R35" s="1">
        <v>7</v>
      </c>
      <c r="S35" s="1">
        <f t="shared" si="4"/>
        <v>6177.8428571428576</v>
      </c>
      <c r="T35" s="1">
        <f t="shared" si="5"/>
        <v>1532.1050285714286</v>
      </c>
      <c r="V35">
        <v>75175</v>
      </c>
      <c r="W35" s="12">
        <v>0.1043</v>
      </c>
    </row>
    <row r="36" spans="1:23">
      <c r="A36" t="s">
        <v>15</v>
      </c>
      <c r="B36" t="s">
        <v>28</v>
      </c>
      <c r="C36" s="2">
        <v>44109</v>
      </c>
      <c r="D36">
        <v>400000</v>
      </c>
      <c r="E36" s="10">
        <f>SUM($H$32:$H$36)</f>
        <v>53859.520000000004</v>
      </c>
      <c r="F36" s="13">
        <f>40/31*5/40</f>
        <v>0.16129032258064516</v>
      </c>
      <c r="G36" s="13">
        <f t="shared" si="6"/>
        <v>0.13464880000000001</v>
      </c>
      <c r="H36" s="3">
        <v>10614.62</v>
      </c>
      <c r="I36" s="1">
        <f t="shared" si="1"/>
        <v>2632.4257600000001</v>
      </c>
      <c r="J36" s="1">
        <v>9.6000000000000002E-2</v>
      </c>
      <c r="K36" s="1">
        <v>3021</v>
      </c>
      <c r="L36" s="1">
        <f t="shared" si="2"/>
        <v>47218.23</v>
      </c>
      <c r="M36" s="1">
        <v>533</v>
      </c>
      <c r="N36" s="1">
        <f t="shared" si="3"/>
        <v>4455.88</v>
      </c>
      <c r="Q36" s="1" t="s">
        <v>23</v>
      </c>
      <c r="R36" s="1">
        <v>7</v>
      </c>
      <c r="S36" s="1">
        <f t="shared" si="4"/>
        <v>7694.2171428571437</v>
      </c>
      <c r="T36" s="1">
        <f t="shared" si="5"/>
        <v>1908.1658514285716</v>
      </c>
      <c r="V36">
        <v>48374</v>
      </c>
      <c r="W36" s="12">
        <v>5.8799999999999998E-2</v>
      </c>
    </row>
    <row r="37" spans="1:23">
      <c r="A37" t="s">
        <v>15</v>
      </c>
      <c r="B37" t="s">
        <v>28</v>
      </c>
      <c r="C37" s="2">
        <v>44110</v>
      </c>
      <c r="D37">
        <v>400000</v>
      </c>
      <c r="E37" s="10">
        <f>SUM($H$32:$H$37)</f>
        <v>67757.88</v>
      </c>
      <c r="F37" s="13">
        <f>40/31*6/40</f>
        <v>0.19354838709677419</v>
      </c>
      <c r="G37" s="13">
        <f t="shared" si="6"/>
        <v>0.16939470000000001</v>
      </c>
      <c r="H37" s="4">
        <v>13898.36</v>
      </c>
      <c r="I37" s="1">
        <f t="shared" si="1"/>
        <v>3446.7932800000003</v>
      </c>
      <c r="J37" s="1">
        <v>0.245</v>
      </c>
      <c r="K37" s="1">
        <v>2795</v>
      </c>
      <c r="L37" s="1">
        <f t="shared" si="2"/>
        <v>43685.850000000006</v>
      </c>
      <c r="M37" s="1">
        <v>493</v>
      </c>
      <c r="N37" s="1">
        <f t="shared" si="3"/>
        <v>4121.4799999999996</v>
      </c>
      <c r="Q37" s="1" t="s">
        <v>23</v>
      </c>
      <c r="R37" s="1">
        <v>7</v>
      </c>
      <c r="S37" s="1">
        <f t="shared" si="4"/>
        <v>9679.6971428571433</v>
      </c>
      <c r="T37" s="1">
        <f t="shared" si="5"/>
        <v>2400.5648914285716</v>
      </c>
      <c r="V37">
        <v>46495</v>
      </c>
      <c r="W37" s="12">
        <v>0.1043</v>
      </c>
    </row>
    <row r="38" spans="1:23">
      <c r="A38" t="s">
        <v>15</v>
      </c>
      <c r="B38" t="s">
        <v>28</v>
      </c>
      <c r="C38" s="2">
        <v>44111</v>
      </c>
      <c r="D38">
        <v>400000</v>
      </c>
      <c r="E38" s="10">
        <f>SUM($H$32:$H$38)</f>
        <v>80137.66</v>
      </c>
      <c r="F38" s="13">
        <f>40/31*7/40</f>
        <v>0.22580645161290319</v>
      </c>
      <c r="G38" s="13">
        <f t="shared" si="6"/>
        <v>0.20034415</v>
      </c>
      <c r="H38" s="4">
        <v>12379.78</v>
      </c>
      <c r="I38" s="1">
        <f t="shared" si="1"/>
        <v>3070.1854400000002</v>
      </c>
      <c r="J38" s="1">
        <v>0.76700000000000002</v>
      </c>
      <c r="K38" s="1">
        <v>2546</v>
      </c>
      <c r="L38" s="1">
        <f t="shared" si="2"/>
        <v>39793.980000000003</v>
      </c>
      <c r="M38" s="1">
        <v>449</v>
      </c>
      <c r="N38" s="1">
        <f t="shared" si="3"/>
        <v>3753.64</v>
      </c>
      <c r="Q38" s="1" t="s">
        <v>23</v>
      </c>
      <c r="R38" s="1">
        <v>7</v>
      </c>
      <c r="S38" s="1">
        <f t="shared" si="4"/>
        <v>11448.237142857144</v>
      </c>
      <c r="T38" s="1">
        <f t="shared" si="5"/>
        <v>2839.1628114285718</v>
      </c>
      <c r="V38">
        <v>74281</v>
      </c>
      <c r="W38" s="12">
        <v>5.8799999999999998E-2</v>
      </c>
    </row>
    <row r="39" spans="1:23">
      <c r="A39" t="s">
        <v>15</v>
      </c>
      <c r="B39" t="s">
        <v>28</v>
      </c>
      <c r="C39" s="2">
        <v>44112</v>
      </c>
      <c r="D39">
        <v>400000</v>
      </c>
      <c r="E39" s="10">
        <f>SUM($H$32:$H$39)</f>
        <v>91296.540000000008</v>
      </c>
      <c r="F39" s="13">
        <f>40/31*8/40</f>
        <v>0.25806451612903225</v>
      </c>
      <c r="G39" s="13">
        <f t="shared" si="6"/>
        <v>0.22824135000000001</v>
      </c>
      <c r="H39" s="3">
        <v>11158.88</v>
      </c>
      <c r="I39" s="1">
        <f t="shared" si="1"/>
        <v>2767.4022399999999</v>
      </c>
      <c r="J39" s="1">
        <v>0.88600000000000001</v>
      </c>
      <c r="K39" s="1">
        <v>2458</v>
      </c>
      <c r="L39" s="1">
        <f t="shared" si="2"/>
        <v>38418.54</v>
      </c>
      <c r="M39" s="1">
        <v>434</v>
      </c>
      <c r="N39" s="1">
        <f t="shared" si="3"/>
        <v>3628.24</v>
      </c>
      <c r="Q39" s="1" t="s">
        <v>23</v>
      </c>
      <c r="R39" s="1">
        <v>7</v>
      </c>
      <c r="S39" s="1">
        <f t="shared" si="4"/>
        <v>13042.362857142858</v>
      </c>
      <c r="T39" s="1">
        <f t="shared" si="5"/>
        <v>3234.5059885714286</v>
      </c>
      <c r="V39">
        <v>66095</v>
      </c>
      <c r="W39" s="12">
        <v>5.8799999999999998E-2</v>
      </c>
    </row>
    <row r="40" spans="1:23">
      <c r="A40" t="s">
        <v>15</v>
      </c>
      <c r="B40" t="s">
        <v>28</v>
      </c>
      <c r="C40" s="2">
        <v>44113</v>
      </c>
      <c r="D40">
        <v>400000</v>
      </c>
      <c r="E40" s="10">
        <f>SUM($H$32:$H$40)</f>
        <v>101875.24</v>
      </c>
      <c r="F40" s="13">
        <f>40/31*9/40</f>
        <v>0.29032258064516131</v>
      </c>
      <c r="G40" s="13">
        <f t="shared" si="6"/>
        <v>0.25468810000000003</v>
      </c>
      <c r="H40" s="3">
        <v>10578.7</v>
      </c>
      <c r="I40" s="1">
        <f t="shared" si="1"/>
        <v>2623.5176000000001</v>
      </c>
      <c r="J40" s="1">
        <v>0.16600000000000001</v>
      </c>
      <c r="K40" s="1">
        <v>2356</v>
      </c>
      <c r="L40" s="1">
        <f t="shared" si="2"/>
        <v>36824.28</v>
      </c>
      <c r="M40" s="1">
        <v>416</v>
      </c>
      <c r="N40" s="1">
        <f t="shared" si="3"/>
        <v>3477.7599999999998</v>
      </c>
      <c r="Q40" s="1" t="s">
        <v>23</v>
      </c>
      <c r="R40" s="1">
        <v>7</v>
      </c>
      <c r="S40" s="1">
        <f t="shared" si="4"/>
        <v>14553.605714285715</v>
      </c>
      <c r="T40" s="1">
        <f t="shared" si="5"/>
        <v>3609.2942171428572</v>
      </c>
      <c r="V40">
        <v>95454</v>
      </c>
      <c r="W40" s="1" t="s">
        <v>25</v>
      </c>
    </row>
    <row r="41" spans="1:23">
      <c r="A41" t="s">
        <v>15</v>
      </c>
      <c r="B41" t="s">
        <v>28</v>
      </c>
      <c r="C41" s="2">
        <v>44114</v>
      </c>
      <c r="D41">
        <v>400000</v>
      </c>
      <c r="E41" s="10">
        <f>SUM($H$32:$H$41)</f>
        <v>113132.70000000001</v>
      </c>
      <c r="F41" s="13">
        <f>40/31*10/40</f>
        <v>0.32258064516129031</v>
      </c>
      <c r="G41" s="13">
        <f t="shared" si="6"/>
        <v>0.28283175000000005</v>
      </c>
      <c r="H41" s="3">
        <v>11257.46</v>
      </c>
      <c r="I41" s="1">
        <f t="shared" si="1"/>
        <v>2791.8500799999997</v>
      </c>
      <c r="J41" s="1">
        <v>9.6000000000000002E-2</v>
      </c>
      <c r="K41" s="1">
        <v>2212</v>
      </c>
      <c r="L41" s="1">
        <f t="shared" si="2"/>
        <v>34573.560000000005</v>
      </c>
      <c r="M41" s="1">
        <v>390</v>
      </c>
      <c r="N41" s="1">
        <f t="shared" si="3"/>
        <v>3260.3999999999996</v>
      </c>
      <c r="Q41" s="1" t="s">
        <v>23</v>
      </c>
      <c r="R41" s="1">
        <v>7</v>
      </c>
      <c r="S41" s="1">
        <f t="shared" si="4"/>
        <v>16161.814285714287</v>
      </c>
      <c r="T41" s="1">
        <f t="shared" si="5"/>
        <v>4008.1299428571429</v>
      </c>
      <c r="V41">
        <v>70325</v>
      </c>
      <c r="W41" s="15">
        <v>0.1111</v>
      </c>
    </row>
    <row r="42" spans="1:23">
      <c r="A42" t="s">
        <v>15</v>
      </c>
      <c r="B42" t="s">
        <v>28</v>
      </c>
      <c r="C42" s="2">
        <v>44115</v>
      </c>
      <c r="D42">
        <v>400000</v>
      </c>
      <c r="E42" s="10">
        <f>SUM($H$32:$H$42)</f>
        <v>125896.68000000001</v>
      </c>
      <c r="F42" s="13">
        <f>40/31*11/40</f>
        <v>0.35483870967741937</v>
      </c>
      <c r="G42" s="13">
        <f t="shared" si="6"/>
        <v>0.31474170000000001</v>
      </c>
      <c r="H42" s="5">
        <v>12763.98</v>
      </c>
      <c r="I42" s="1">
        <f t="shared" si="1"/>
        <v>3165.46704</v>
      </c>
      <c r="J42" s="1">
        <v>0.245</v>
      </c>
      <c r="K42" s="1">
        <v>2100</v>
      </c>
      <c r="L42" s="1">
        <f t="shared" si="2"/>
        <v>32823</v>
      </c>
      <c r="M42" s="1">
        <v>371</v>
      </c>
      <c r="N42" s="1">
        <f t="shared" si="3"/>
        <v>3101.56</v>
      </c>
      <c r="Q42" s="1" t="s">
        <v>23</v>
      </c>
      <c r="R42" s="1">
        <v>7</v>
      </c>
      <c r="S42" s="1">
        <f t="shared" si="4"/>
        <v>17985.240000000002</v>
      </c>
      <c r="T42" s="1">
        <f t="shared" si="5"/>
        <v>4460.3395200000004</v>
      </c>
      <c r="V42">
        <v>66095</v>
      </c>
      <c r="W42" s="12">
        <v>0.1043</v>
      </c>
    </row>
    <row r="43" spans="1:23">
      <c r="A43" t="s">
        <v>15</v>
      </c>
      <c r="B43" t="s">
        <v>28</v>
      </c>
      <c r="C43" s="2">
        <v>44116</v>
      </c>
      <c r="D43">
        <v>400000</v>
      </c>
      <c r="E43" s="10">
        <f>SUM($H$32:$H$43)</f>
        <v>138305.93</v>
      </c>
      <c r="F43" s="13">
        <f>40/31*12/40</f>
        <v>0.38709677419354838</v>
      </c>
      <c r="G43" s="13">
        <f t="shared" si="6"/>
        <v>0.345764825</v>
      </c>
      <c r="H43" s="6">
        <v>12409.25</v>
      </c>
      <c r="I43" s="1">
        <f t="shared" si="1"/>
        <v>3077.4940000000001</v>
      </c>
      <c r="J43" s="1">
        <v>0.51900000000000002</v>
      </c>
      <c r="K43" s="1">
        <v>2020</v>
      </c>
      <c r="L43" s="1">
        <f t="shared" si="2"/>
        <v>31572.600000000002</v>
      </c>
      <c r="M43" s="1">
        <v>356</v>
      </c>
      <c r="N43" s="1">
        <f t="shared" si="3"/>
        <v>2976.16</v>
      </c>
      <c r="Q43" s="1" t="s">
        <v>23</v>
      </c>
      <c r="R43" s="1">
        <v>7</v>
      </c>
      <c r="S43" s="1">
        <f t="shared" si="4"/>
        <v>19757.989999999998</v>
      </c>
      <c r="T43" s="1">
        <f t="shared" si="5"/>
        <v>4899.9815199999994</v>
      </c>
      <c r="V43">
        <v>89405</v>
      </c>
      <c r="W43" s="15">
        <v>0.1111</v>
      </c>
    </row>
    <row r="44" spans="1:23">
      <c r="A44" t="s">
        <v>15</v>
      </c>
      <c r="B44" t="s">
        <v>28</v>
      </c>
      <c r="C44" s="2">
        <v>44117</v>
      </c>
      <c r="D44">
        <v>400000</v>
      </c>
      <c r="E44" s="10">
        <f>SUM($H$32:$H$44)</f>
        <v>168549.51</v>
      </c>
      <c r="F44" s="13">
        <f>40/31*13/40</f>
        <v>0.41935483870967738</v>
      </c>
      <c r="G44" s="13">
        <f t="shared" si="6"/>
        <v>0.42137377500000001</v>
      </c>
      <c r="H44" s="7">
        <v>30243.58</v>
      </c>
      <c r="I44" s="1">
        <f t="shared" si="1"/>
        <v>7500.4078400000008</v>
      </c>
      <c r="J44" s="1">
        <v>0.51900000000000002</v>
      </c>
      <c r="K44" s="1">
        <v>2560</v>
      </c>
      <c r="L44" s="1">
        <f t="shared" si="2"/>
        <v>40012.800000000003</v>
      </c>
      <c r="M44" s="1">
        <v>452</v>
      </c>
      <c r="N44" s="1">
        <f t="shared" si="3"/>
        <v>3778.72</v>
      </c>
      <c r="Q44" s="1" t="s">
        <v>23</v>
      </c>
      <c r="R44" s="1">
        <v>7</v>
      </c>
      <c r="S44" s="1">
        <f t="shared" si="4"/>
        <v>24078.501428571431</v>
      </c>
      <c r="T44" s="1">
        <f t="shared" si="5"/>
        <v>5971.4683542857147</v>
      </c>
      <c r="V44">
        <v>50599</v>
      </c>
      <c r="W44" s="1" t="s">
        <v>25</v>
      </c>
    </row>
    <row r="45" spans="1:23">
      <c r="A45" t="s">
        <v>15</v>
      </c>
      <c r="B45" t="s">
        <v>28</v>
      </c>
      <c r="C45" s="2">
        <v>44118</v>
      </c>
      <c r="D45">
        <v>400000</v>
      </c>
      <c r="E45" s="10">
        <f>SUM($H$32:$H$45)</f>
        <v>198805.78</v>
      </c>
      <c r="F45" s="13">
        <f>40/31*14/40</f>
        <v>0.45161290322580638</v>
      </c>
      <c r="G45" s="13">
        <f t="shared" si="6"/>
        <v>0.49701445</v>
      </c>
      <c r="H45" s="7">
        <v>30256.27</v>
      </c>
      <c r="I45" s="1">
        <f t="shared" si="1"/>
        <v>7503.5549600000004</v>
      </c>
      <c r="J45" s="1">
        <v>0.498</v>
      </c>
      <c r="K45" s="1">
        <v>2400</v>
      </c>
      <c r="L45" s="1">
        <f t="shared" si="2"/>
        <v>37512</v>
      </c>
      <c r="M45" s="1">
        <v>424</v>
      </c>
      <c r="N45" s="1">
        <f t="shared" si="3"/>
        <v>3544.64</v>
      </c>
      <c r="Q45" s="1" t="s">
        <v>23</v>
      </c>
      <c r="R45" s="1">
        <v>7</v>
      </c>
      <c r="S45" s="1">
        <f t="shared" si="4"/>
        <v>28400.825714285715</v>
      </c>
      <c r="T45" s="1">
        <f t="shared" si="5"/>
        <v>7043.4047771428568</v>
      </c>
      <c r="V45">
        <v>53852</v>
      </c>
      <c r="W45" s="15">
        <v>0.1111</v>
      </c>
    </row>
    <row r="46" spans="1:23">
      <c r="A46" t="s">
        <v>15</v>
      </c>
      <c r="B46" t="s">
        <v>28</v>
      </c>
      <c r="C46" s="2">
        <v>44119</v>
      </c>
      <c r="D46">
        <v>400000</v>
      </c>
      <c r="E46" s="10">
        <f>SUM($H$32:$H$46)</f>
        <v>210459.54</v>
      </c>
      <c r="F46" s="13">
        <f>40/31*15/40</f>
        <v>0.4838709677419355</v>
      </c>
      <c r="G46" s="13">
        <f t="shared" si="6"/>
        <v>0.52614885</v>
      </c>
      <c r="H46" s="8">
        <v>11653.76</v>
      </c>
      <c r="I46" s="1">
        <f t="shared" si="1"/>
        <v>2890.1324800000002</v>
      </c>
      <c r="J46" s="1">
        <v>9.6000000000000002E-2</v>
      </c>
      <c r="K46" s="1">
        <v>2356</v>
      </c>
      <c r="L46" s="1">
        <f t="shared" si="2"/>
        <v>36824.28</v>
      </c>
      <c r="M46" s="1">
        <v>416</v>
      </c>
      <c r="N46" s="1">
        <f t="shared" si="3"/>
        <v>3477.7599999999998</v>
      </c>
      <c r="Q46" s="1" t="s">
        <v>23</v>
      </c>
      <c r="R46" s="1">
        <v>7</v>
      </c>
      <c r="S46" s="1">
        <f t="shared" si="4"/>
        <v>30065.648571428574</v>
      </c>
      <c r="T46" s="1">
        <f t="shared" si="5"/>
        <v>7456.2808457142864</v>
      </c>
      <c r="V46">
        <v>75175</v>
      </c>
      <c r="W46" s="12">
        <v>0.1043</v>
      </c>
    </row>
    <row r="47" spans="1:23">
      <c r="A47" t="s">
        <v>15</v>
      </c>
      <c r="B47" t="s">
        <v>28</v>
      </c>
      <c r="C47" s="2">
        <v>44120</v>
      </c>
      <c r="D47">
        <v>400000</v>
      </c>
      <c r="E47" s="10">
        <f>SUM($H$32:$H$47)</f>
        <v>221269.82</v>
      </c>
      <c r="F47" s="13">
        <f>40/31*16/40</f>
        <v>0.5161290322580645</v>
      </c>
      <c r="G47" s="13">
        <f t="shared" si="6"/>
        <v>0.55317455000000004</v>
      </c>
      <c r="H47" s="8">
        <v>10810.28</v>
      </c>
      <c r="I47" s="1">
        <f t="shared" si="1"/>
        <v>2680.9494400000003</v>
      </c>
      <c r="J47" s="1">
        <v>0.245</v>
      </c>
      <c r="K47" s="1">
        <v>2212</v>
      </c>
      <c r="L47" s="1">
        <f t="shared" si="2"/>
        <v>34573.560000000005</v>
      </c>
      <c r="M47" s="1">
        <v>390</v>
      </c>
      <c r="N47" s="1">
        <f t="shared" si="3"/>
        <v>3260.3999999999996</v>
      </c>
      <c r="Q47" s="1" t="s">
        <v>23</v>
      </c>
      <c r="R47" s="1">
        <v>7</v>
      </c>
      <c r="S47" s="1">
        <f t="shared" si="4"/>
        <v>31609.974285714288</v>
      </c>
      <c r="T47" s="1">
        <f t="shared" si="5"/>
        <v>7839.273622857143</v>
      </c>
      <c r="V47">
        <v>48374</v>
      </c>
      <c r="W47" s="15">
        <v>0.1111</v>
      </c>
    </row>
    <row r="48" spans="1:23">
      <c r="A48" t="s">
        <v>15</v>
      </c>
      <c r="B48" t="s">
        <v>28</v>
      </c>
      <c r="C48" s="2">
        <v>44121</v>
      </c>
      <c r="D48">
        <v>400000</v>
      </c>
      <c r="E48" s="10">
        <f>SUM($H$32:$H$48)</f>
        <v>231661.35</v>
      </c>
      <c r="F48" s="13">
        <f>40/31*17/40</f>
        <v>0.54838709677419351</v>
      </c>
      <c r="G48" s="13">
        <f t="shared" si="6"/>
        <v>0.57915337499999997</v>
      </c>
      <c r="H48" s="8">
        <v>10391.530000000001</v>
      </c>
      <c r="I48" s="1">
        <f t="shared" si="1"/>
        <v>2577.09944</v>
      </c>
      <c r="J48" s="1">
        <v>0.51900000000000002</v>
      </c>
      <c r="K48" s="1">
        <v>2100</v>
      </c>
      <c r="L48" s="1">
        <f t="shared" si="2"/>
        <v>32823</v>
      </c>
      <c r="M48" s="1">
        <v>371</v>
      </c>
      <c r="N48" s="1">
        <f t="shared" si="3"/>
        <v>3101.56</v>
      </c>
      <c r="Q48" s="1" t="s">
        <v>23</v>
      </c>
      <c r="R48" s="1">
        <v>7</v>
      </c>
      <c r="S48" s="1">
        <f t="shared" si="4"/>
        <v>33094.478571428575</v>
      </c>
      <c r="T48" s="1">
        <f t="shared" si="5"/>
        <v>8207.4306857142874</v>
      </c>
      <c r="V48">
        <v>46495</v>
      </c>
      <c r="W48" s="12">
        <v>0.1043</v>
      </c>
    </row>
    <row r="49" spans="1:23">
      <c r="A49" t="s">
        <v>15</v>
      </c>
      <c r="B49" t="s">
        <v>28</v>
      </c>
      <c r="C49" s="2">
        <v>44122</v>
      </c>
      <c r="D49">
        <v>400000</v>
      </c>
      <c r="E49" s="10">
        <f>SUM($H$32:$H$49)</f>
        <v>243418.14</v>
      </c>
      <c r="F49" s="13">
        <f>40/31*18/40</f>
        <v>0.58064516129032262</v>
      </c>
      <c r="G49" s="13">
        <f t="shared" si="6"/>
        <v>0.60854534999999998</v>
      </c>
      <c r="H49" s="8">
        <v>11756.79</v>
      </c>
      <c r="I49" s="1">
        <f t="shared" si="1"/>
        <v>2915.6839200000004</v>
      </c>
      <c r="J49" s="1">
        <v>9.6000000000000002E-2</v>
      </c>
      <c r="K49" s="1">
        <v>3021</v>
      </c>
      <c r="L49" s="1">
        <f t="shared" si="2"/>
        <v>47218.23</v>
      </c>
      <c r="M49" s="1">
        <v>533</v>
      </c>
      <c r="N49" s="1">
        <f t="shared" si="3"/>
        <v>4455.88</v>
      </c>
      <c r="Q49" s="1" t="s">
        <v>23</v>
      </c>
      <c r="R49" s="1">
        <v>7</v>
      </c>
      <c r="S49" s="1">
        <f t="shared" si="4"/>
        <v>34774.020000000004</v>
      </c>
      <c r="T49" s="1">
        <f t="shared" si="5"/>
        <v>8623.9569600000013</v>
      </c>
      <c r="V49">
        <v>74281</v>
      </c>
      <c r="W49" s="12">
        <v>5.8799999999999998E-2</v>
      </c>
    </row>
    <row r="50" spans="1:23">
      <c r="A50" t="s">
        <v>15</v>
      </c>
      <c r="B50" t="s">
        <v>28</v>
      </c>
      <c r="C50" s="2">
        <v>44123</v>
      </c>
      <c r="D50">
        <v>400000</v>
      </c>
      <c r="E50" s="10">
        <f>SUM($H$32:$H$50)</f>
        <v>254600.18000000002</v>
      </c>
      <c r="F50" s="13">
        <f>40/31*19/40</f>
        <v>0.61290322580645162</v>
      </c>
      <c r="G50" s="13">
        <f t="shared" si="6"/>
        <v>0.63650045000000011</v>
      </c>
      <c r="H50" s="8">
        <v>11182.04</v>
      </c>
      <c r="I50" s="1">
        <f t="shared" si="1"/>
        <v>2773.1459200000004</v>
      </c>
      <c r="J50" s="1">
        <v>0.245</v>
      </c>
      <c r="K50" s="1">
        <v>2795</v>
      </c>
      <c r="L50" s="1">
        <f t="shared" si="2"/>
        <v>43685.850000000006</v>
      </c>
      <c r="M50" s="1">
        <v>493</v>
      </c>
      <c r="N50" s="1">
        <f t="shared" si="3"/>
        <v>4121.4799999999996</v>
      </c>
      <c r="Q50" s="1" t="s">
        <v>23</v>
      </c>
      <c r="R50" s="1">
        <v>7</v>
      </c>
      <c r="S50" s="1">
        <f t="shared" si="4"/>
        <v>36371.454285714288</v>
      </c>
      <c r="T50" s="1">
        <f t="shared" si="5"/>
        <v>9020.1206628571435</v>
      </c>
      <c r="V50" s="1">
        <v>85820</v>
      </c>
      <c r="W50" s="12">
        <v>5.8799999999999998E-2</v>
      </c>
    </row>
    <row r="51" spans="1:23">
      <c r="A51" t="s">
        <v>15</v>
      </c>
      <c r="B51" t="s">
        <v>28</v>
      </c>
      <c r="C51" s="2">
        <v>44124</v>
      </c>
      <c r="D51">
        <v>400000</v>
      </c>
      <c r="E51" s="10">
        <f>SUM($H$32:$H$51)</f>
        <v>266963.59000000003</v>
      </c>
      <c r="F51" s="13">
        <f>40/31*20/40</f>
        <v>0.64516129032258063</v>
      </c>
      <c r="G51" s="13">
        <f t="shared" si="6"/>
        <v>0.66740897500000007</v>
      </c>
      <c r="H51" s="4">
        <v>12363.41</v>
      </c>
      <c r="I51" s="1">
        <f t="shared" si="1"/>
        <v>3066.1256800000001</v>
      </c>
      <c r="J51" s="1">
        <v>0.76700000000000002</v>
      </c>
      <c r="K51" s="1">
        <v>2546</v>
      </c>
      <c r="L51" s="1">
        <f t="shared" si="2"/>
        <v>39793.980000000003</v>
      </c>
      <c r="M51" s="1">
        <v>449</v>
      </c>
      <c r="N51" s="1">
        <f t="shared" si="3"/>
        <v>3753.64</v>
      </c>
      <c r="Q51" s="1" t="s">
        <v>23</v>
      </c>
      <c r="R51" s="1">
        <v>7</v>
      </c>
      <c r="S51" s="1">
        <f t="shared" si="4"/>
        <v>38137.65571428572</v>
      </c>
      <c r="T51" s="1">
        <f t="shared" si="5"/>
        <v>9458.1386171428585</v>
      </c>
      <c r="V51" s="1">
        <v>85942</v>
      </c>
      <c r="W51" s="1" t="s">
        <v>25</v>
      </c>
    </row>
    <row r="52" spans="1:23">
      <c r="A52" t="s">
        <v>15</v>
      </c>
      <c r="B52" t="s">
        <v>28</v>
      </c>
      <c r="C52" s="2">
        <v>44125</v>
      </c>
      <c r="D52">
        <v>400000</v>
      </c>
      <c r="E52" s="10">
        <f>SUM($H$32:$H$52)</f>
        <v>279838.08000000002</v>
      </c>
      <c r="F52" s="13">
        <f>40/31*21/40</f>
        <v>0.67741935483870974</v>
      </c>
      <c r="G52" s="13">
        <f t="shared" si="6"/>
        <v>0.69959520000000008</v>
      </c>
      <c r="H52" s="4">
        <v>12874.49</v>
      </c>
      <c r="I52" s="1">
        <f t="shared" si="1"/>
        <v>3192.8735200000001</v>
      </c>
      <c r="J52" s="1">
        <v>0.88600000000000001</v>
      </c>
      <c r="K52" s="1">
        <v>2458</v>
      </c>
      <c r="L52" s="1">
        <f t="shared" si="2"/>
        <v>38418.54</v>
      </c>
      <c r="M52" s="1">
        <v>434</v>
      </c>
      <c r="N52" s="1">
        <f t="shared" si="3"/>
        <v>3628.24</v>
      </c>
      <c r="Q52" s="1" t="s">
        <v>23</v>
      </c>
      <c r="R52" s="1">
        <v>7</v>
      </c>
      <c r="S52" s="1">
        <f t="shared" si="4"/>
        <v>39976.868571428575</v>
      </c>
      <c r="T52" s="1">
        <f t="shared" si="5"/>
        <v>9914.2634057142859</v>
      </c>
      <c r="V52" s="1">
        <v>96227</v>
      </c>
      <c r="W52" s="15">
        <v>0.1111</v>
      </c>
    </row>
    <row r="53" spans="1:23">
      <c r="A53" t="s">
        <v>15</v>
      </c>
      <c r="B53" t="s">
        <v>28</v>
      </c>
      <c r="C53" s="2">
        <v>44126</v>
      </c>
      <c r="D53">
        <v>400000</v>
      </c>
      <c r="E53" s="10">
        <f>SUM($H$32:$H$53)</f>
        <v>292327.09000000003</v>
      </c>
      <c r="F53" s="13">
        <f>40/31*22/40</f>
        <v>0.70967741935483875</v>
      </c>
      <c r="G53" s="13">
        <f t="shared" si="6"/>
        <v>0.73081772500000008</v>
      </c>
      <c r="H53" s="9">
        <v>12489.01</v>
      </c>
      <c r="I53" s="1">
        <f t="shared" si="1"/>
        <v>3097.27448</v>
      </c>
      <c r="J53" s="1">
        <v>0.16600000000000001</v>
      </c>
      <c r="K53" s="1">
        <v>2356</v>
      </c>
      <c r="L53" s="1">
        <f t="shared" si="2"/>
        <v>36824.28</v>
      </c>
      <c r="M53" s="1">
        <v>416</v>
      </c>
      <c r="N53" s="1">
        <f t="shared" si="3"/>
        <v>3477.7599999999998</v>
      </c>
      <c r="Q53" s="1" t="s">
        <v>23</v>
      </c>
      <c r="R53" s="1">
        <v>7</v>
      </c>
      <c r="S53" s="1">
        <f t="shared" si="4"/>
        <v>41761.012857142858</v>
      </c>
      <c r="T53" s="1">
        <f t="shared" si="5"/>
        <v>10356.731188571428</v>
      </c>
      <c r="V53" s="1">
        <v>79047</v>
      </c>
      <c r="W53" s="12">
        <v>0.1043</v>
      </c>
    </row>
    <row r="54" spans="1:23">
      <c r="A54" t="s">
        <v>15</v>
      </c>
      <c r="B54" t="s">
        <v>28</v>
      </c>
      <c r="C54" s="2">
        <v>44127</v>
      </c>
      <c r="D54">
        <v>400000</v>
      </c>
      <c r="E54" s="10">
        <f>SUM($H$32:$H$54)</f>
        <v>305010.75</v>
      </c>
      <c r="F54" s="13">
        <f>40/31*23/40</f>
        <v>0.74193548387096775</v>
      </c>
      <c r="G54" s="13">
        <f t="shared" si="6"/>
        <v>0.76252687500000005</v>
      </c>
      <c r="H54" s="8">
        <v>12683.66</v>
      </c>
      <c r="I54" s="1">
        <f t="shared" si="1"/>
        <v>3145.5476800000001</v>
      </c>
      <c r="J54" s="1">
        <v>9.6000000000000002E-2</v>
      </c>
      <c r="K54" s="1">
        <v>2212</v>
      </c>
      <c r="L54" s="1">
        <f t="shared" si="2"/>
        <v>34573.560000000005</v>
      </c>
      <c r="M54" s="1">
        <v>390</v>
      </c>
      <c r="N54" s="1">
        <f t="shared" si="3"/>
        <v>3260.3999999999996</v>
      </c>
      <c r="Q54" s="1" t="s">
        <v>23</v>
      </c>
      <c r="R54" s="1">
        <v>7</v>
      </c>
      <c r="S54" s="1">
        <f t="shared" si="4"/>
        <v>43572.964285714283</v>
      </c>
      <c r="T54" s="1">
        <f t="shared" si="5"/>
        <v>10806.095142857142</v>
      </c>
      <c r="V54" s="1">
        <v>78332</v>
      </c>
      <c r="W54" s="15">
        <v>0.1111</v>
      </c>
    </row>
    <row r="55" spans="1:23">
      <c r="A55" t="s">
        <v>15</v>
      </c>
      <c r="B55" t="s">
        <v>28</v>
      </c>
      <c r="C55" s="2">
        <v>44128</v>
      </c>
      <c r="D55">
        <v>400000</v>
      </c>
      <c r="E55" s="10">
        <f>SUM($H$32:$H$55)</f>
        <v>316110.07</v>
      </c>
      <c r="F55" s="13">
        <f>40/31*24/40</f>
        <v>0.77419354838709675</v>
      </c>
      <c r="G55" s="13">
        <f t="shared" si="6"/>
        <v>0.790275175</v>
      </c>
      <c r="H55" s="8">
        <v>11099.32</v>
      </c>
      <c r="I55" s="1">
        <f t="shared" si="1"/>
        <v>2752.6313599999999</v>
      </c>
      <c r="J55" s="1">
        <v>0.76700000000000002</v>
      </c>
      <c r="K55" s="1">
        <v>2100</v>
      </c>
      <c r="L55" s="1">
        <f t="shared" si="2"/>
        <v>32823</v>
      </c>
      <c r="M55" s="1">
        <v>317</v>
      </c>
      <c r="N55" s="1">
        <f t="shared" si="3"/>
        <v>2650.12</v>
      </c>
      <c r="Q55" s="1" t="s">
        <v>23</v>
      </c>
      <c r="R55" s="1">
        <v>7</v>
      </c>
      <c r="S55" s="1">
        <f t="shared" si="4"/>
        <v>45158.58142857143</v>
      </c>
      <c r="T55" s="1">
        <f t="shared" si="5"/>
        <v>11199.328194285714</v>
      </c>
      <c r="V55" s="1">
        <v>45855</v>
      </c>
      <c r="W55" s="12">
        <v>0.1043</v>
      </c>
    </row>
    <row r="56" spans="1:23">
      <c r="A56" t="s">
        <v>15</v>
      </c>
      <c r="B56" t="s">
        <v>28</v>
      </c>
      <c r="C56" s="2">
        <v>44129</v>
      </c>
      <c r="D56">
        <v>400000</v>
      </c>
      <c r="E56" s="10">
        <f>SUM($H$32:$H$56)</f>
        <v>328145.38</v>
      </c>
      <c r="F56" s="13">
        <f>40/31*25/40</f>
        <v>0.80645161290322576</v>
      </c>
      <c r="G56" s="13">
        <f t="shared" si="6"/>
        <v>0.82036344999999999</v>
      </c>
      <c r="H56" s="8">
        <v>12035.31</v>
      </c>
      <c r="I56" s="1">
        <f t="shared" si="1"/>
        <v>2984.7568799999999</v>
      </c>
      <c r="J56" s="1">
        <v>0.88600000000000001</v>
      </c>
      <c r="K56" s="1">
        <v>2020</v>
      </c>
      <c r="L56" s="1">
        <f t="shared" si="2"/>
        <v>31572.600000000002</v>
      </c>
      <c r="M56" s="1">
        <v>390</v>
      </c>
      <c r="N56" s="1">
        <f t="shared" si="3"/>
        <v>3260.3999999999996</v>
      </c>
      <c r="Q56" s="1" t="s">
        <v>23</v>
      </c>
      <c r="R56" s="1">
        <v>7</v>
      </c>
      <c r="S56" s="1">
        <f t="shared" si="4"/>
        <v>46877.911428571431</v>
      </c>
      <c r="T56" s="1">
        <f t="shared" si="5"/>
        <v>11625.722034285714</v>
      </c>
      <c r="V56" s="1">
        <v>85942</v>
      </c>
      <c r="W56" s="12">
        <v>5.8799999999999998E-2</v>
      </c>
    </row>
    <row r="57" spans="1:23">
      <c r="A57" t="s">
        <v>15</v>
      </c>
      <c r="B57" t="s">
        <v>28</v>
      </c>
      <c r="C57" s="2">
        <v>44130</v>
      </c>
      <c r="D57">
        <v>400000</v>
      </c>
      <c r="E57" s="10">
        <f>SUM($H$32:$H$57)</f>
        <v>339865.29</v>
      </c>
      <c r="F57" s="13">
        <f>40/31*26/40</f>
        <v>0.83870967741935476</v>
      </c>
      <c r="G57" s="13">
        <f t="shared" si="6"/>
        <v>0.84966322499999991</v>
      </c>
      <c r="H57" s="8">
        <v>11719.91</v>
      </c>
      <c r="I57" s="1">
        <f t="shared" si="1"/>
        <v>2906.5376799999999</v>
      </c>
      <c r="J57" s="1">
        <v>0.51900000000000002</v>
      </c>
      <c r="K57" s="1">
        <v>2560</v>
      </c>
      <c r="L57" s="1">
        <f t="shared" si="2"/>
        <v>40012.800000000003</v>
      </c>
      <c r="M57" s="1">
        <v>371</v>
      </c>
      <c r="N57" s="1">
        <f t="shared" si="3"/>
        <v>3101.56</v>
      </c>
      <c r="Q57" s="1" t="s">
        <v>23</v>
      </c>
      <c r="R57" s="1">
        <v>7</v>
      </c>
      <c r="S57" s="1">
        <f t="shared" si="4"/>
        <v>48552.184285714284</v>
      </c>
      <c r="T57" s="1">
        <f t="shared" si="5"/>
        <v>12040.941702857142</v>
      </c>
      <c r="V57" s="1">
        <v>96227</v>
      </c>
      <c r="W57" s="12">
        <v>5.8799999999999998E-2</v>
      </c>
    </row>
    <row r="58" spans="1:23">
      <c r="A58" t="s">
        <v>15</v>
      </c>
      <c r="B58" t="s">
        <v>28</v>
      </c>
      <c r="C58" s="2">
        <v>44131</v>
      </c>
      <c r="D58">
        <v>400000</v>
      </c>
      <c r="E58" s="10">
        <f>SUM($H$32:$H$58)</f>
        <v>352739.77999999997</v>
      </c>
      <c r="F58" s="13">
        <f>40/31*27/40</f>
        <v>0.87096774193548376</v>
      </c>
      <c r="G58" s="13">
        <f t="shared" si="6"/>
        <v>0.88184944999999992</v>
      </c>
      <c r="H58" s="4">
        <v>12874.49</v>
      </c>
      <c r="I58" s="1">
        <f t="shared" si="1"/>
        <v>3192.8735200000001</v>
      </c>
      <c r="J58" s="1">
        <v>0.51900000000000002</v>
      </c>
      <c r="K58" s="1">
        <v>2400</v>
      </c>
      <c r="L58" s="1">
        <f t="shared" si="2"/>
        <v>37512</v>
      </c>
      <c r="M58" s="1">
        <v>356</v>
      </c>
      <c r="N58" s="1">
        <f t="shared" si="3"/>
        <v>2976.16</v>
      </c>
      <c r="Q58" s="1" t="s">
        <v>23</v>
      </c>
      <c r="R58" s="1">
        <v>7</v>
      </c>
      <c r="S58" s="1">
        <f t="shared" si="4"/>
        <v>50391.397142857139</v>
      </c>
      <c r="T58" s="1">
        <f t="shared" si="5"/>
        <v>12497.06649142857</v>
      </c>
      <c r="V58" s="1">
        <v>85820</v>
      </c>
      <c r="W58" s="15">
        <v>0.1111</v>
      </c>
    </row>
    <row r="59" spans="1:23">
      <c r="A59" t="s">
        <v>15</v>
      </c>
      <c r="B59" t="s">
        <v>28</v>
      </c>
      <c r="C59" s="2">
        <v>44132</v>
      </c>
      <c r="D59">
        <v>400000</v>
      </c>
      <c r="E59" s="10">
        <f>SUM($H$32:$H$59)</f>
        <v>363921.81999999995</v>
      </c>
      <c r="F59" s="13">
        <f>40/31*28/40</f>
        <v>0.90322580645161277</v>
      </c>
      <c r="G59" s="13">
        <f t="shared" si="6"/>
        <v>0.90980454999999982</v>
      </c>
      <c r="H59" s="8">
        <v>11182.04</v>
      </c>
      <c r="I59" s="1">
        <f t="shared" si="1"/>
        <v>2773.1459200000004</v>
      </c>
      <c r="J59" s="1">
        <v>0.498</v>
      </c>
      <c r="K59" s="1">
        <v>2356</v>
      </c>
      <c r="L59" s="1">
        <f t="shared" si="2"/>
        <v>36824.28</v>
      </c>
      <c r="M59" s="1">
        <v>452</v>
      </c>
      <c r="N59" s="1">
        <f t="shared" si="3"/>
        <v>3778.72</v>
      </c>
      <c r="Q59" s="1" t="s">
        <v>23</v>
      </c>
      <c r="R59" s="1">
        <v>7</v>
      </c>
      <c r="S59" s="1">
        <f t="shared" si="4"/>
        <v>51988.831428571422</v>
      </c>
      <c r="T59" s="1">
        <f t="shared" si="5"/>
        <v>12893.230194285712</v>
      </c>
      <c r="V59" s="1">
        <v>85942</v>
      </c>
      <c r="W59" s="12">
        <v>0.1043</v>
      </c>
    </row>
    <row r="60" spans="1:23">
      <c r="A60" t="s">
        <v>15</v>
      </c>
      <c r="B60" t="s">
        <v>28</v>
      </c>
      <c r="C60" s="2">
        <v>44133</v>
      </c>
      <c r="D60">
        <v>400000</v>
      </c>
      <c r="E60" s="10">
        <f>SUM($H$32:$H$60)</f>
        <v>376043.12999999995</v>
      </c>
      <c r="F60" s="13">
        <f>40/31*29/40</f>
        <v>0.93548387096774199</v>
      </c>
      <c r="G60" s="13">
        <f t="shared" si="6"/>
        <v>0.9401078249999999</v>
      </c>
      <c r="H60" s="11">
        <v>12121.31</v>
      </c>
      <c r="I60" s="1">
        <f t="shared" si="1"/>
        <v>3006.0848799999999</v>
      </c>
      <c r="J60" s="1">
        <v>9.6000000000000002E-2</v>
      </c>
      <c r="K60" s="1">
        <v>2212</v>
      </c>
      <c r="L60" s="1">
        <f t="shared" si="2"/>
        <v>34573.560000000005</v>
      </c>
      <c r="M60" s="1">
        <v>424</v>
      </c>
      <c r="N60" s="1">
        <f t="shared" si="3"/>
        <v>3544.64</v>
      </c>
      <c r="Q60" s="1" t="s">
        <v>23</v>
      </c>
      <c r="R60" s="1">
        <v>7</v>
      </c>
      <c r="S60" s="1">
        <f t="shared" si="4"/>
        <v>53720.447142857134</v>
      </c>
      <c r="T60" s="1">
        <f t="shared" si="5"/>
        <v>13322.67089142857</v>
      </c>
      <c r="V60" s="1">
        <v>96227</v>
      </c>
      <c r="W60" s="12">
        <v>5.8799999999999998E-2</v>
      </c>
    </row>
    <row r="61" spans="1:23">
      <c r="A61" t="s">
        <v>15</v>
      </c>
      <c r="B61" t="s">
        <v>28</v>
      </c>
      <c r="C61" s="2">
        <v>44134</v>
      </c>
      <c r="D61">
        <v>400000</v>
      </c>
      <c r="E61" s="10">
        <f>SUM($H$32:$H$61)</f>
        <v>390184.25999999995</v>
      </c>
      <c r="F61" s="13">
        <f>40/31*30/40</f>
        <v>0.967741935483871</v>
      </c>
      <c r="G61" s="13">
        <f t="shared" si="6"/>
        <v>0.97546064999999993</v>
      </c>
      <c r="H61" s="11">
        <v>14141.13</v>
      </c>
      <c r="I61" s="1">
        <f t="shared" si="1"/>
        <v>3507.0002399999998</v>
      </c>
      <c r="J61" s="1">
        <v>9.6000000000000002E-2</v>
      </c>
      <c r="K61" s="1">
        <v>2100</v>
      </c>
      <c r="L61" s="1">
        <f t="shared" si="2"/>
        <v>32823</v>
      </c>
      <c r="M61" s="1">
        <v>416</v>
      </c>
      <c r="N61" s="1">
        <f t="shared" si="3"/>
        <v>3477.7599999999998</v>
      </c>
      <c r="Q61" s="1" t="s">
        <v>23</v>
      </c>
      <c r="R61" s="1">
        <v>7</v>
      </c>
      <c r="S61" s="1">
        <f t="shared" si="4"/>
        <v>55740.608571428565</v>
      </c>
      <c r="T61" s="1">
        <f t="shared" si="5"/>
        <v>13823.670925714285</v>
      </c>
      <c r="V61" s="1">
        <v>79047</v>
      </c>
      <c r="W61" s="12">
        <v>5.8799999999999998E-2</v>
      </c>
    </row>
    <row r="62" spans="1:23">
      <c r="A62" t="s">
        <v>15</v>
      </c>
      <c r="B62" t="s">
        <v>28</v>
      </c>
      <c r="C62" s="2">
        <v>44135</v>
      </c>
      <c r="D62">
        <v>400000</v>
      </c>
      <c r="E62" s="10">
        <f>SUM($H$32:$H$62)</f>
        <v>403058.74999999994</v>
      </c>
      <c r="F62" s="13">
        <f>40/31*31/40</f>
        <v>1</v>
      </c>
      <c r="G62" s="13">
        <f t="shared" si="6"/>
        <v>1.0076468749999998</v>
      </c>
      <c r="H62" s="4">
        <v>12874.49</v>
      </c>
      <c r="I62" s="1">
        <f t="shared" si="1"/>
        <v>3192.8735200000001</v>
      </c>
      <c r="J62" s="1">
        <v>0.76700000000000002</v>
      </c>
      <c r="K62" s="1">
        <v>2400</v>
      </c>
      <c r="L62" s="1">
        <f t="shared" si="2"/>
        <v>37512</v>
      </c>
      <c r="M62" s="1">
        <v>390</v>
      </c>
      <c r="N62" s="1">
        <f t="shared" si="3"/>
        <v>3260.3999999999996</v>
      </c>
      <c r="Q62" s="1" t="s">
        <v>23</v>
      </c>
      <c r="R62" s="1">
        <v>7</v>
      </c>
      <c r="S62" s="1">
        <f t="shared" si="4"/>
        <v>57579.82142857142</v>
      </c>
      <c r="T62" s="1">
        <f t="shared" si="5"/>
        <v>14279.795714285712</v>
      </c>
      <c r="V62" s="1">
        <v>96227</v>
      </c>
      <c r="W62" s="1" t="s">
        <v>25</v>
      </c>
    </row>
    <row r="63" spans="1:23">
      <c r="A63" t="s">
        <v>26</v>
      </c>
      <c r="B63" t="s">
        <v>27</v>
      </c>
      <c r="C63" s="2">
        <v>44075</v>
      </c>
      <c r="D63" s="1">
        <v>400000</v>
      </c>
      <c r="E63" s="14">
        <f>SUM($H$2:$H$2)</f>
        <v>14422.580000000002</v>
      </c>
      <c r="F63" s="12">
        <f>40/30*1/40</f>
        <v>3.3333333333333333E-2</v>
      </c>
      <c r="G63" s="12">
        <f>E63/D63</f>
        <v>3.6056450000000004E-2</v>
      </c>
      <c r="H63" s="1">
        <v>14422.580000000002</v>
      </c>
      <c r="I63" s="1">
        <f>H63*24.8%</f>
        <v>3576.7998400000006</v>
      </c>
      <c r="J63" s="1">
        <v>0.218</v>
      </c>
      <c r="K63" s="1">
        <v>4388</v>
      </c>
      <c r="L63" s="1">
        <f>K63*15.63</f>
        <v>68584.44</v>
      </c>
      <c r="M63" s="1">
        <v>770</v>
      </c>
      <c r="N63" s="1">
        <f>M63*8.36</f>
        <v>6437.2</v>
      </c>
      <c r="O63" s="1"/>
      <c r="P63" s="1"/>
      <c r="Q63" s="1" t="s">
        <v>23</v>
      </c>
      <c r="R63" s="1">
        <v>7</v>
      </c>
      <c r="S63" s="1">
        <f>E63/R63</f>
        <v>2060.3685714285716</v>
      </c>
      <c r="T63" s="1">
        <f>S63*24.8%</f>
        <v>510.97140571428577</v>
      </c>
      <c r="U63" s="1"/>
      <c r="V63" s="1">
        <v>51033</v>
      </c>
      <c r="W63" s="15">
        <v>5.8299999999999998E-2</v>
      </c>
    </row>
    <row r="64" spans="1:23">
      <c r="A64" t="s">
        <v>26</v>
      </c>
      <c r="B64" t="s">
        <v>27</v>
      </c>
      <c r="C64" s="2">
        <v>44076</v>
      </c>
      <c r="D64" s="1">
        <v>400000</v>
      </c>
      <c r="E64" s="14">
        <f>SUM($H$2:$H$3)</f>
        <v>29340.090000000004</v>
      </c>
      <c r="F64" s="12">
        <f>40/30*2/40</f>
        <v>6.6666666666666666E-2</v>
      </c>
      <c r="G64" s="12">
        <f t="shared" ref="G64:G92" si="7">E64/D64</f>
        <v>7.3350225000000005E-2</v>
      </c>
      <c r="H64" s="1">
        <v>14917.51</v>
      </c>
      <c r="I64" s="1">
        <f t="shared" ref="I64:I123" si="8">H64*24.8%</f>
        <v>3699.5424800000001</v>
      </c>
      <c r="J64" s="1">
        <v>0.76700000000000002</v>
      </c>
      <c r="K64" s="1">
        <v>4200</v>
      </c>
      <c r="L64" s="1">
        <f t="shared" si="2"/>
        <v>65646</v>
      </c>
      <c r="M64" s="1">
        <v>742</v>
      </c>
      <c r="N64" s="1">
        <f t="shared" si="3"/>
        <v>6203.12</v>
      </c>
      <c r="O64" s="1"/>
      <c r="P64" s="1"/>
      <c r="Q64" s="1" t="s">
        <v>23</v>
      </c>
      <c r="R64" s="1">
        <v>7</v>
      </c>
      <c r="S64" s="1">
        <f t="shared" ref="S64:S123" si="9">E64/R64</f>
        <v>4191.4414285714292</v>
      </c>
      <c r="T64" s="1">
        <f t="shared" si="5"/>
        <v>1039.4774742857144</v>
      </c>
      <c r="U64" s="1"/>
      <c r="V64" s="1">
        <v>79963</v>
      </c>
      <c r="W64" s="12">
        <v>8.9099999999999999E-2</v>
      </c>
    </row>
    <row r="65" spans="1:23">
      <c r="A65" t="s">
        <v>26</v>
      </c>
      <c r="B65" t="s">
        <v>27</v>
      </c>
      <c r="C65" s="2">
        <v>44077</v>
      </c>
      <c r="D65" s="1">
        <v>400000</v>
      </c>
      <c r="E65" s="14">
        <f>SUM($H$2:$H$4)</f>
        <v>41247.33</v>
      </c>
      <c r="F65" s="12">
        <f>40/30*3/40</f>
        <v>0.1</v>
      </c>
      <c r="G65" s="12">
        <f t="shared" si="7"/>
        <v>0.10311832500000001</v>
      </c>
      <c r="H65" s="1">
        <v>11907.24</v>
      </c>
      <c r="I65" s="1">
        <f t="shared" si="8"/>
        <v>2952.9955199999999</v>
      </c>
      <c r="J65" s="1">
        <v>0.88600000000000001</v>
      </c>
      <c r="K65" s="1">
        <v>4100</v>
      </c>
      <c r="L65" s="1">
        <f t="shared" si="2"/>
        <v>64083</v>
      </c>
      <c r="M65" s="1">
        <v>724</v>
      </c>
      <c r="N65" s="1">
        <f t="shared" si="3"/>
        <v>6052.6399999999994</v>
      </c>
      <c r="O65" s="1"/>
      <c r="P65" s="1"/>
      <c r="Q65" s="1" t="s">
        <v>23</v>
      </c>
      <c r="R65" s="1">
        <v>7</v>
      </c>
      <c r="S65" s="1">
        <f t="shared" si="9"/>
        <v>5892.4757142857143</v>
      </c>
      <c r="T65" s="1">
        <f t="shared" si="5"/>
        <v>1461.3339771428571</v>
      </c>
      <c r="U65" s="1"/>
      <c r="V65" s="1">
        <v>60484</v>
      </c>
      <c r="W65" s="12">
        <v>4.24E-2</v>
      </c>
    </row>
    <row r="66" spans="1:23">
      <c r="A66" t="s">
        <v>26</v>
      </c>
      <c r="B66" t="s">
        <v>27</v>
      </c>
      <c r="C66" s="2">
        <v>44078</v>
      </c>
      <c r="D66" s="1">
        <v>400000</v>
      </c>
      <c r="E66" s="14">
        <f>SUM($H$2:$H$5)</f>
        <v>51280.020000000004</v>
      </c>
      <c r="F66" s="12">
        <f>40/30*4/40</f>
        <v>0.13333333333333333</v>
      </c>
      <c r="G66" s="12">
        <f t="shared" si="7"/>
        <v>0.12820005000000001</v>
      </c>
      <c r="H66" s="1">
        <v>10032.689999999999</v>
      </c>
      <c r="I66" s="1">
        <f t="shared" si="8"/>
        <v>2488.1071199999997</v>
      </c>
      <c r="J66" s="1">
        <v>0.16600000000000001</v>
      </c>
      <c r="K66" s="1">
        <v>4030</v>
      </c>
      <c r="L66" s="1">
        <f t="shared" si="2"/>
        <v>62988.9</v>
      </c>
      <c r="M66" s="1">
        <v>712</v>
      </c>
      <c r="N66" s="1">
        <f t="shared" si="3"/>
        <v>5952.32</v>
      </c>
      <c r="O66" s="1"/>
      <c r="P66" s="1"/>
      <c r="Q66" s="1" t="s">
        <v>23</v>
      </c>
      <c r="R66" s="1">
        <v>7</v>
      </c>
      <c r="S66" s="1">
        <f t="shared" si="9"/>
        <v>7325.7171428571437</v>
      </c>
      <c r="T66" s="1">
        <f t="shared" si="5"/>
        <v>1816.7778514285717</v>
      </c>
      <c r="U66" s="1"/>
      <c r="V66" s="1">
        <v>95716</v>
      </c>
      <c r="W66" s="12">
        <v>2.3800000000000002E-2</v>
      </c>
    </row>
    <row r="67" spans="1:23">
      <c r="A67" t="s">
        <v>26</v>
      </c>
      <c r="B67" t="s">
        <v>27</v>
      </c>
      <c r="C67" s="2">
        <v>44079</v>
      </c>
      <c r="D67" s="1">
        <v>400000</v>
      </c>
      <c r="E67" s="14">
        <f>SUM($H$2:$H$6)</f>
        <v>61645.380000000005</v>
      </c>
      <c r="F67" s="12">
        <f>40/30*5/40</f>
        <v>0.16666666666666666</v>
      </c>
      <c r="G67" s="12">
        <f t="shared" si="7"/>
        <v>0.15411345000000001</v>
      </c>
      <c r="H67" s="1">
        <v>10365.36</v>
      </c>
      <c r="I67" s="1">
        <f t="shared" si="8"/>
        <v>2570.6092800000001</v>
      </c>
      <c r="J67" s="1">
        <v>9.6000000000000002E-2</v>
      </c>
      <c r="K67" s="1">
        <v>3972</v>
      </c>
      <c r="L67" s="1">
        <f t="shared" ref="L67:L123" si="10">K67*15.63</f>
        <v>62082.36</v>
      </c>
      <c r="M67" s="1">
        <v>701</v>
      </c>
      <c r="N67" s="1">
        <f t="shared" ref="N67:N123" si="11">M67*8.36</f>
        <v>5860.36</v>
      </c>
      <c r="O67" s="1"/>
      <c r="P67" s="1"/>
      <c r="Q67" s="1" t="s">
        <v>23</v>
      </c>
      <c r="R67" s="1">
        <v>7</v>
      </c>
      <c r="S67" s="1">
        <f t="shared" si="9"/>
        <v>8806.482857142857</v>
      </c>
      <c r="T67" s="1">
        <f t="shared" ref="T67:T123" si="12">S67*24.8%</f>
        <v>2184.0077485714287</v>
      </c>
      <c r="U67" s="1"/>
      <c r="V67" s="1">
        <v>73807</v>
      </c>
      <c r="W67" s="16">
        <v>6.5699999999999995E-2</v>
      </c>
    </row>
    <row r="68" spans="1:23">
      <c r="A68" t="s">
        <v>26</v>
      </c>
      <c r="B68" t="s">
        <v>27</v>
      </c>
      <c r="C68" s="2">
        <v>44080</v>
      </c>
      <c r="D68" s="1">
        <v>400000</v>
      </c>
      <c r="E68" s="14">
        <f>SUM($H$2:$H$7)</f>
        <v>73257.33</v>
      </c>
      <c r="F68" s="12">
        <f>40/30*6/40</f>
        <v>0.2</v>
      </c>
      <c r="G68" s="12">
        <f t="shared" si="7"/>
        <v>0.183143325</v>
      </c>
      <c r="H68" s="1">
        <v>11611.95</v>
      </c>
      <c r="I68" s="1">
        <f t="shared" si="8"/>
        <v>2879.7636000000002</v>
      </c>
      <c r="J68" s="1">
        <v>0.245</v>
      </c>
      <c r="K68" s="1">
        <v>3711</v>
      </c>
      <c r="L68" s="1">
        <f t="shared" si="10"/>
        <v>58002.93</v>
      </c>
      <c r="M68" s="1">
        <v>655</v>
      </c>
      <c r="N68" s="1">
        <f t="shared" si="11"/>
        <v>5475.7999999999993</v>
      </c>
      <c r="O68" s="1"/>
      <c r="P68" s="1"/>
      <c r="Q68" s="1" t="s">
        <v>23</v>
      </c>
      <c r="R68" s="1">
        <v>7</v>
      </c>
      <c r="S68" s="1">
        <f t="shared" si="9"/>
        <v>10465.332857142857</v>
      </c>
      <c r="T68" s="1">
        <f t="shared" si="12"/>
        <v>2595.4025485714287</v>
      </c>
      <c r="U68" s="1"/>
      <c r="V68" s="1">
        <v>79082</v>
      </c>
      <c r="W68" s="12">
        <v>4.48E-2</v>
      </c>
    </row>
    <row r="69" spans="1:23">
      <c r="A69" t="s">
        <v>26</v>
      </c>
      <c r="B69" t="s">
        <v>27</v>
      </c>
      <c r="C69" s="2">
        <v>44081</v>
      </c>
      <c r="D69" s="1">
        <v>400000</v>
      </c>
      <c r="E69" s="14">
        <f>SUM($H$2:$H$8)</f>
        <v>85187.37</v>
      </c>
      <c r="F69" s="12">
        <f>40/30*7/40</f>
        <v>0.23333333333333331</v>
      </c>
      <c r="G69" s="12">
        <f t="shared" si="7"/>
        <v>0.21296842499999999</v>
      </c>
      <c r="H69" s="1">
        <v>11930.04</v>
      </c>
      <c r="I69" s="1">
        <f t="shared" si="8"/>
        <v>2958.6499200000003</v>
      </c>
      <c r="J69" s="1">
        <v>0.51900000000000002</v>
      </c>
      <c r="K69" s="1">
        <v>3600</v>
      </c>
      <c r="L69" s="1">
        <f t="shared" si="10"/>
        <v>56268</v>
      </c>
      <c r="M69" s="1">
        <v>636</v>
      </c>
      <c r="N69" s="1">
        <f t="shared" si="11"/>
        <v>5316.96</v>
      </c>
      <c r="O69" s="1"/>
      <c r="P69" s="1"/>
      <c r="Q69" s="1" t="s">
        <v>23</v>
      </c>
      <c r="R69" s="1">
        <v>7</v>
      </c>
      <c r="S69" s="1">
        <f t="shared" si="9"/>
        <v>12169.624285714284</v>
      </c>
      <c r="T69" s="1">
        <f t="shared" si="12"/>
        <v>3018.0668228571426</v>
      </c>
      <c r="U69" s="1"/>
      <c r="V69" s="1">
        <v>82841</v>
      </c>
      <c r="W69" s="15">
        <v>3.27E-2</v>
      </c>
    </row>
    <row r="70" spans="1:23">
      <c r="A70" t="s">
        <v>26</v>
      </c>
      <c r="B70" t="s">
        <v>27</v>
      </c>
      <c r="C70" s="2">
        <v>44082</v>
      </c>
      <c r="D70" s="1">
        <v>400000</v>
      </c>
      <c r="E70" s="14">
        <f>SUM($H$2:$H$9)</f>
        <v>97852.959999999992</v>
      </c>
      <c r="F70" s="12">
        <f>40/30*8/40</f>
        <v>0.26666666666666666</v>
      </c>
      <c r="G70" s="12">
        <f t="shared" si="7"/>
        <v>0.24463239999999997</v>
      </c>
      <c r="H70" s="1">
        <v>12665.59</v>
      </c>
      <c r="I70" s="1">
        <f t="shared" si="8"/>
        <v>3141.0663199999999</v>
      </c>
      <c r="J70" s="1">
        <v>0.51900000000000002</v>
      </c>
      <c r="K70" s="1">
        <v>3540</v>
      </c>
      <c r="L70" s="1">
        <f t="shared" si="10"/>
        <v>55330.200000000004</v>
      </c>
      <c r="M70" s="1">
        <v>625</v>
      </c>
      <c r="N70" s="1">
        <f t="shared" si="11"/>
        <v>5225</v>
      </c>
      <c r="O70" s="1"/>
      <c r="P70" s="1"/>
      <c r="Q70" s="1" t="s">
        <v>23</v>
      </c>
      <c r="R70" s="1">
        <v>7</v>
      </c>
      <c r="S70" s="1">
        <f t="shared" si="9"/>
        <v>13978.994285714285</v>
      </c>
      <c r="T70" s="1">
        <f t="shared" si="12"/>
        <v>3466.7905828571425</v>
      </c>
      <c r="U70" s="1"/>
      <c r="V70" s="1">
        <v>83305</v>
      </c>
      <c r="W70" s="15">
        <v>0.1111</v>
      </c>
    </row>
    <row r="71" spans="1:23">
      <c r="A71" t="s">
        <v>26</v>
      </c>
      <c r="B71" t="s">
        <v>27</v>
      </c>
      <c r="C71" s="2">
        <v>44083</v>
      </c>
      <c r="D71" s="1">
        <v>400000</v>
      </c>
      <c r="E71" s="14">
        <f>SUM($H$2:$H$10)</f>
        <v>110477.34999999999</v>
      </c>
      <c r="F71" s="12">
        <f>40/30*9/40</f>
        <v>0.3</v>
      </c>
      <c r="G71" s="12">
        <f t="shared" si="7"/>
        <v>0.27619337499999996</v>
      </c>
      <c r="H71" s="1">
        <v>12624.390000000001</v>
      </c>
      <c r="I71" s="1">
        <f t="shared" si="8"/>
        <v>3130.8487200000004</v>
      </c>
      <c r="J71" s="1">
        <v>0.498</v>
      </c>
      <c r="K71" s="1">
        <v>3420</v>
      </c>
      <c r="L71" s="1">
        <f t="shared" si="10"/>
        <v>53454.600000000006</v>
      </c>
      <c r="M71" s="1">
        <v>6004</v>
      </c>
      <c r="N71" s="1">
        <f t="shared" si="11"/>
        <v>50193.439999999995</v>
      </c>
      <c r="O71" s="1"/>
      <c r="P71" s="1"/>
      <c r="Q71" s="1" t="s">
        <v>23</v>
      </c>
      <c r="R71" s="1">
        <v>7</v>
      </c>
      <c r="S71" s="1">
        <f t="shared" si="9"/>
        <v>15782.47857142857</v>
      </c>
      <c r="T71" s="1">
        <f t="shared" si="12"/>
        <v>3914.0546857142854</v>
      </c>
      <c r="U71" s="1"/>
      <c r="V71" s="1">
        <v>91922</v>
      </c>
      <c r="W71" s="12">
        <v>0.1043</v>
      </c>
    </row>
    <row r="72" spans="1:23">
      <c r="A72" t="s">
        <v>26</v>
      </c>
      <c r="B72" t="s">
        <v>27</v>
      </c>
      <c r="C72" s="2">
        <v>44084</v>
      </c>
      <c r="D72" s="1">
        <v>400000</v>
      </c>
      <c r="E72" s="14">
        <f>SUM($H$2:$H$11)</f>
        <v>125744.09</v>
      </c>
      <c r="F72" s="12">
        <f>40/30*10/40</f>
        <v>0.33333333333333331</v>
      </c>
      <c r="G72" s="12">
        <f t="shared" si="7"/>
        <v>0.31436022499999999</v>
      </c>
      <c r="H72" s="1">
        <v>15266.74</v>
      </c>
      <c r="I72" s="1">
        <f t="shared" si="8"/>
        <v>3786.1515199999999</v>
      </c>
      <c r="J72" s="1">
        <v>9.6000000000000002E-2</v>
      </c>
      <c r="K72" s="1">
        <v>3300</v>
      </c>
      <c r="L72" s="1">
        <f t="shared" si="10"/>
        <v>51579</v>
      </c>
      <c r="M72" s="1">
        <v>583</v>
      </c>
      <c r="N72" s="1">
        <f t="shared" si="11"/>
        <v>4873.88</v>
      </c>
      <c r="O72" s="1"/>
      <c r="P72" s="1"/>
      <c r="Q72" s="1" t="s">
        <v>23</v>
      </c>
      <c r="R72" s="1">
        <v>7</v>
      </c>
      <c r="S72" s="1">
        <f t="shared" si="9"/>
        <v>17963.441428571427</v>
      </c>
      <c r="T72" s="1">
        <f t="shared" si="12"/>
        <v>4454.9334742857136</v>
      </c>
      <c r="U72" s="1"/>
      <c r="V72" s="1">
        <v>85885</v>
      </c>
      <c r="W72" s="12">
        <v>5.8799999999999998E-2</v>
      </c>
    </row>
    <row r="73" spans="1:23">
      <c r="A73" t="s">
        <v>26</v>
      </c>
      <c r="B73" t="s">
        <v>27</v>
      </c>
      <c r="C73" s="2">
        <v>44085</v>
      </c>
      <c r="D73" s="1">
        <v>400000</v>
      </c>
      <c r="E73" s="14">
        <f>SUM($H$2:$H$12)</f>
        <v>137609.19</v>
      </c>
      <c r="F73" s="12">
        <f>40/30*11/40</f>
        <v>0.36666666666666664</v>
      </c>
      <c r="G73" s="12">
        <f t="shared" si="7"/>
        <v>0.34402297500000001</v>
      </c>
      <c r="H73" s="1">
        <v>11865.099999999999</v>
      </c>
      <c r="I73" s="1">
        <f t="shared" si="8"/>
        <v>2942.5447999999997</v>
      </c>
      <c r="J73" s="1">
        <v>0.245</v>
      </c>
      <c r="K73" s="1">
        <v>3200</v>
      </c>
      <c r="L73" s="1">
        <f t="shared" si="10"/>
        <v>50016</v>
      </c>
      <c r="M73" s="1">
        <v>565</v>
      </c>
      <c r="N73" s="1">
        <f t="shared" si="11"/>
        <v>4723.3999999999996</v>
      </c>
      <c r="O73" s="1"/>
      <c r="P73" s="1"/>
      <c r="Q73" s="1" t="s">
        <v>23</v>
      </c>
      <c r="R73" s="1">
        <v>7</v>
      </c>
      <c r="S73" s="1">
        <f t="shared" si="9"/>
        <v>19658.455714285716</v>
      </c>
      <c r="T73" s="1">
        <f t="shared" si="12"/>
        <v>4875.2970171428578</v>
      </c>
      <c r="U73" s="1"/>
      <c r="V73" s="1">
        <v>43811</v>
      </c>
      <c r="W73" s="15">
        <v>3.27E-2</v>
      </c>
    </row>
    <row r="74" spans="1:23">
      <c r="A74" t="s">
        <v>26</v>
      </c>
      <c r="B74" t="s">
        <v>27</v>
      </c>
      <c r="C74" s="2">
        <v>44086</v>
      </c>
      <c r="D74" s="1">
        <v>400000</v>
      </c>
      <c r="E74" s="14">
        <f>SUM($H$2:$H$13)</f>
        <v>150118.04</v>
      </c>
      <c r="F74" s="12">
        <f>40/30*12/40</f>
        <v>0.4</v>
      </c>
      <c r="G74" s="12">
        <f t="shared" si="7"/>
        <v>0.37529510000000005</v>
      </c>
      <c r="H74" s="1">
        <v>12508.85</v>
      </c>
      <c r="I74" s="1">
        <f t="shared" si="8"/>
        <v>3102.1948000000002</v>
      </c>
      <c r="J74" s="1">
        <v>0.51900000000000002</v>
      </c>
      <c r="K74" s="1">
        <v>3160</v>
      </c>
      <c r="L74" s="1">
        <f t="shared" si="10"/>
        <v>49390.8</v>
      </c>
      <c r="M74" s="1">
        <v>558</v>
      </c>
      <c r="N74" s="1">
        <f t="shared" si="11"/>
        <v>4664.88</v>
      </c>
      <c r="O74" s="1"/>
      <c r="P74" s="1"/>
      <c r="Q74" s="1" t="s">
        <v>23</v>
      </c>
      <c r="R74" s="1">
        <v>7</v>
      </c>
      <c r="S74" s="1">
        <f t="shared" si="9"/>
        <v>21445.434285714287</v>
      </c>
      <c r="T74" s="1">
        <f t="shared" si="12"/>
        <v>5318.4677028571432</v>
      </c>
      <c r="U74" s="1"/>
      <c r="V74" s="1">
        <v>70738</v>
      </c>
      <c r="W74" s="15">
        <v>0.1111</v>
      </c>
    </row>
    <row r="75" spans="1:23">
      <c r="A75" t="s">
        <v>26</v>
      </c>
      <c r="B75" t="s">
        <v>27</v>
      </c>
      <c r="C75" s="2">
        <v>44087</v>
      </c>
      <c r="D75" s="1">
        <v>400000</v>
      </c>
      <c r="E75" s="14">
        <f>SUM($H$2:$H$14)</f>
        <v>163639.34</v>
      </c>
      <c r="F75" s="12">
        <f>40/30*13/40</f>
        <v>0.43333333333333329</v>
      </c>
      <c r="G75" s="12">
        <f t="shared" si="7"/>
        <v>0.40909835</v>
      </c>
      <c r="H75" s="1">
        <v>13521.3</v>
      </c>
      <c r="I75" s="1">
        <f t="shared" si="8"/>
        <v>3353.2823999999996</v>
      </c>
      <c r="J75" s="1">
        <v>0.51900000000000002</v>
      </c>
      <c r="K75" s="1">
        <v>3021</v>
      </c>
      <c r="L75" s="1">
        <f t="shared" si="10"/>
        <v>47218.23</v>
      </c>
      <c r="M75" s="1">
        <v>533</v>
      </c>
      <c r="N75" s="1">
        <f t="shared" si="11"/>
        <v>4455.88</v>
      </c>
      <c r="O75" s="1"/>
      <c r="P75" s="1"/>
      <c r="Q75" s="1" t="s">
        <v>23</v>
      </c>
      <c r="R75" s="1">
        <v>7</v>
      </c>
      <c r="S75" s="1">
        <f t="shared" si="9"/>
        <v>23377.048571428571</v>
      </c>
      <c r="T75" s="1">
        <f t="shared" si="12"/>
        <v>5797.5080457142858</v>
      </c>
      <c r="U75" s="1"/>
      <c r="V75" s="1">
        <v>49674</v>
      </c>
      <c r="W75" s="12">
        <v>5.8799999999999998E-2</v>
      </c>
    </row>
    <row r="76" spans="1:23">
      <c r="A76" t="s">
        <v>26</v>
      </c>
      <c r="B76" t="s">
        <v>27</v>
      </c>
      <c r="C76" s="2">
        <v>44088</v>
      </c>
      <c r="D76" s="1">
        <v>400000</v>
      </c>
      <c r="E76" s="14">
        <f>SUM($H$2:$H$15)</f>
        <v>175179.88999999998</v>
      </c>
      <c r="F76" s="12">
        <f>40/30*14/40</f>
        <v>0.46666666666666662</v>
      </c>
      <c r="G76" s="12">
        <f t="shared" si="7"/>
        <v>0.43794972499999996</v>
      </c>
      <c r="H76" s="1">
        <v>11540.55</v>
      </c>
      <c r="I76" s="1">
        <f t="shared" si="8"/>
        <v>2862.0563999999999</v>
      </c>
      <c r="J76" s="1">
        <v>0.498</v>
      </c>
      <c r="K76" s="1">
        <v>2900</v>
      </c>
      <c r="L76" s="1">
        <f t="shared" si="10"/>
        <v>45327</v>
      </c>
      <c r="M76" s="1">
        <v>512</v>
      </c>
      <c r="N76" s="1">
        <f t="shared" si="11"/>
        <v>4280.32</v>
      </c>
      <c r="O76" s="1"/>
      <c r="P76" s="1"/>
      <c r="Q76" s="1" t="s">
        <v>23</v>
      </c>
      <c r="R76" s="1">
        <v>7</v>
      </c>
      <c r="S76" s="1">
        <f t="shared" si="9"/>
        <v>25025.698571428569</v>
      </c>
      <c r="T76" s="1">
        <f t="shared" si="12"/>
        <v>6206.3732457142851</v>
      </c>
      <c r="U76" s="1"/>
      <c r="V76" s="1">
        <v>71720</v>
      </c>
      <c r="W76" s="1" t="s">
        <v>25</v>
      </c>
    </row>
    <row r="77" spans="1:23">
      <c r="A77" t="s">
        <v>26</v>
      </c>
      <c r="B77" t="s">
        <v>27</v>
      </c>
      <c r="C77" s="2">
        <v>44089</v>
      </c>
      <c r="D77" s="1">
        <v>400000</v>
      </c>
      <c r="E77" s="14">
        <f>SUM($H$2:$H$16)</f>
        <v>189453.08</v>
      </c>
      <c r="F77" s="12">
        <f>40/30*15/40</f>
        <v>0.5</v>
      </c>
      <c r="G77" s="12">
        <f t="shared" si="7"/>
        <v>0.47363269999999996</v>
      </c>
      <c r="H77" s="1">
        <v>14273.19</v>
      </c>
      <c r="I77" s="1">
        <f t="shared" si="8"/>
        <v>3539.7511199999999</v>
      </c>
      <c r="J77" s="1">
        <v>0.51900000000000002</v>
      </c>
      <c r="K77" s="1">
        <v>2795</v>
      </c>
      <c r="L77" s="1">
        <f t="shared" si="10"/>
        <v>43685.850000000006</v>
      </c>
      <c r="M77" s="1">
        <v>493</v>
      </c>
      <c r="N77" s="1">
        <f t="shared" si="11"/>
        <v>4121.4799999999996</v>
      </c>
      <c r="O77" s="1"/>
      <c r="P77" s="1"/>
      <c r="Q77" s="1" t="s">
        <v>23</v>
      </c>
      <c r="R77" s="1">
        <v>7</v>
      </c>
      <c r="S77" s="1">
        <f t="shared" si="9"/>
        <v>27064.725714285712</v>
      </c>
      <c r="T77" s="1">
        <f t="shared" si="12"/>
        <v>6712.0519771428562</v>
      </c>
      <c r="U77" s="1"/>
      <c r="V77" s="1">
        <v>88411</v>
      </c>
      <c r="W77" s="12">
        <v>4.48E-2</v>
      </c>
    </row>
    <row r="78" spans="1:23">
      <c r="A78" t="s">
        <v>26</v>
      </c>
      <c r="B78" t="s">
        <v>27</v>
      </c>
      <c r="C78" s="2">
        <v>44090</v>
      </c>
      <c r="D78" s="1">
        <v>400000</v>
      </c>
      <c r="E78" s="14">
        <f>SUM($H$2:$H$17)</f>
        <v>202807.55</v>
      </c>
      <c r="F78" s="12">
        <f>40/30*16/40</f>
        <v>0.53333333333333333</v>
      </c>
      <c r="G78" s="12">
        <f t="shared" si="7"/>
        <v>0.50701887499999998</v>
      </c>
      <c r="H78" s="1">
        <v>13354.47</v>
      </c>
      <c r="I78" s="1">
        <f t="shared" si="8"/>
        <v>3311.9085599999999</v>
      </c>
      <c r="J78" s="1">
        <v>0.51900000000000002</v>
      </c>
      <c r="K78" s="1">
        <v>2546</v>
      </c>
      <c r="L78" s="1">
        <f t="shared" si="10"/>
        <v>39793.980000000003</v>
      </c>
      <c r="M78" s="1">
        <v>49</v>
      </c>
      <c r="N78" s="1">
        <f t="shared" si="11"/>
        <v>409.64</v>
      </c>
      <c r="O78" s="1"/>
      <c r="P78" s="1"/>
      <c r="Q78" s="1" t="s">
        <v>23</v>
      </c>
      <c r="R78" s="1">
        <v>7</v>
      </c>
      <c r="S78" s="1">
        <f t="shared" si="9"/>
        <v>28972.507142857143</v>
      </c>
      <c r="T78" s="1">
        <f t="shared" si="12"/>
        <v>7185.1817714285717</v>
      </c>
      <c r="U78" s="1"/>
      <c r="V78" s="1">
        <v>77289</v>
      </c>
      <c r="W78" s="15">
        <v>3.27E-2</v>
      </c>
    </row>
    <row r="79" spans="1:23">
      <c r="A79" t="s">
        <v>26</v>
      </c>
      <c r="B79" t="s">
        <v>27</v>
      </c>
      <c r="C79" s="2">
        <v>44091</v>
      </c>
      <c r="D79" s="1">
        <v>400000</v>
      </c>
      <c r="E79" s="14">
        <f>SUM($H$2:$H$18)</f>
        <v>215388.37</v>
      </c>
      <c r="F79" s="12">
        <f>40/30*17/40</f>
        <v>0.56666666666666665</v>
      </c>
      <c r="G79" s="12">
        <f t="shared" si="7"/>
        <v>0.53847092499999993</v>
      </c>
      <c r="H79" s="1">
        <v>12580.82</v>
      </c>
      <c r="I79" s="1">
        <f t="shared" si="8"/>
        <v>3120.0433600000001</v>
      </c>
      <c r="J79" s="1">
        <v>0.498</v>
      </c>
      <c r="K79" s="1">
        <v>2458</v>
      </c>
      <c r="L79" s="1">
        <f t="shared" si="10"/>
        <v>38418.54</v>
      </c>
      <c r="M79" s="1">
        <v>434</v>
      </c>
      <c r="N79" s="1">
        <f t="shared" si="11"/>
        <v>3628.24</v>
      </c>
      <c r="O79" s="1"/>
      <c r="P79" s="1"/>
      <c r="Q79" s="1" t="s">
        <v>23</v>
      </c>
      <c r="R79" s="1">
        <v>7</v>
      </c>
      <c r="S79" s="1">
        <f t="shared" si="9"/>
        <v>30769.767142857141</v>
      </c>
      <c r="T79" s="1">
        <f t="shared" si="12"/>
        <v>7630.9022514285707</v>
      </c>
      <c r="U79" s="1"/>
      <c r="V79" s="1">
        <v>79720</v>
      </c>
      <c r="W79" s="15">
        <v>0.1111</v>
      </c>
    </row>
    <row r="80" spans="1:23">
      <c r="A80" t="s">
        <v>26</v>
      </c>
      <c r="B80" t="s">
        <v>27</v>
      </c>
      <c r="C80" s="2">
        <v>44092</v>
      </c>
      <c r="D80" s="1">
        <v>400000</v>
      </c>
      <c r="E80" s="14">
        <f>SUM($H$2:$H$19)</f>
        <v>227351.35</v>
      </c>
      <c r="F80" s="12">
        <f>40/30*18/40</f>
        <v>0.6</v>
      </c>
      <c r="G80" s="12">
        <f t="shared" si="7"/>
        <v>0.56837837499999999</v>
      </c>
      <c r="H80" s="1">
        <v>11962.98</v>
      </c>
      <c r="I80" s="1">
        <f t="shared" si="8"/>
        <v>2966.8190399999999</v>
      </c>
      <c r="J80" s="1">
        <v>0.51900000000000002</v>
      </c>
      <c r="K80" s="1">
        <v>2356</v>
      </c>
      <c r="L80" s="1">
        <f t="shared" si="10"/>
        <v>36824.28</v>
      </c>
      <c r="M80" s="1">
        <v>416</v>
      </c>
      <c r="N80" s="1">
        <f t="shared" si="11"/>
        <v>3477.7599999999998</v>
      </c>
      <c r="O80" s="1"/>
      <c r="P80" s="1"/>
      <c r="Q80" s="1" t="s">
        <v>23</v>
      </c>
      <c r="R80" s="1">
        <v>7</v>
      </c>
      <c r="S80" s="1">
        <f t="shared" si="9"/>
        <v>32478.764285714286</v>
      </c>
      <c r="T80" s="1">
        <f t="shared" si="12"/>
        <v>8054.7335428571423</v>
      </c>
      <c r="U80" s="1"/>
      <c r="V80" s="1">
        <v>55053</v>
      </c>
      <c r="W80" s="12">
        <v>0.1043</v>
      </c>
    </row>
    <row r="81" spans="1:23">
      <c r="A81" t="s">
        <v>26</v>
      </c>
      <c r="B81" t="s">
        <v>27</v>
      </c>
      <c r="C81" s="2">
        <v>44093</v>
      </c>
      <c r="D81" s="1">
        <v>400000</v>
      </c>
      <c r="E81" s="14">
        <f>SUM($H$2:$H$20)</f>
        <v>240582.95</v>
      </c>
      <c r="F81" s="12">
        <f>40/30*19/40</f>
        <v>0.6333333333333333</v>
      </c>
      <c r="G81" s="12">
        <f t="shared" si="7"/>
        <v>0.60145737500000007</v>
      </c>
      <c r="H81" s="1">
        <v>13231.6</v>
      </c>
      <c r="I81" s="1">
        <f t="shared" si="8"/>
        <v>3281.4367999999999</v>
      </c>
      <c r="J81" s="1">
        <v>0.498</v>
      </c>
      <c r="K81" s="1">
        <v>2212</v>
      </c>
      <c r="L81" s="1">
        <f t="shared" si="10"/>
        <v>34573.560000000005</v>
      </c>
      <c r="M81" s="1">
        <v>390</v>
      </c>
      <c r="N81" s="1">
        <f t="shared" si="11"/>
        <v>3260.3999999999996</v>
      </c>
      <c r="O81" s="1"/>
      <c r="P81" s="1"/>
      <c r="Q81" s="1" t="s">
        <v>23</v>
      </c>
      <c r="R81" s="1">
        <v>7</v>
      </c>
      <c r="S81" s="1">
        <f t="shared" si="9"/>
        <v>34368.992857142861</v>
      </c>
      <c r="T81" s="1">
        <f t="shared" si="12"/>
        <v>8523.5102285714293</v>
      </c>
      <c r="U81" s="1"/>
      <c r="V81" s="1">
        <v>60309</v>
      </c>
      <c r="W81" s="15">
        <v>0.1111</v>
      </c>
    </row>
    <row r="82" spans="1:23">
      <c r="A82" t="s">
        <v>26</v>
      </c>
      <c r="B82" t="s">
        <v>27</v>
      </c>
      <c r="C82" s="2">
        <v>44094</v>
      </c>
      <c r="D82" s="1">
        <v>400000</v>
      </c>
      <c r="E82" s="14">
        <f>SUM($H$2:$H$21)</f>
        <v>252413.65000000002</v>
      </c>
      <c r="F82" s="12">
        <f>40/30*20/40</f>
        <v>0.66666666666666663</v>
      </c>
      <c r="G82" s="12">
        <f t="shared" si="7"/>
        <v>0.63103412500000011</v>
      </c>
      <c r="H82" s="1">
        <v>11830.699999999999</v>
      </c>
      <c r="I82" s="1">
        <f t="shared" si="8"/>
        <v>2934.0135999999998</v>
      </c>
      <c r="J82" s="1">
        <v>9.6000000000000002E-2</v>
      </c>
      <c r="K82" s="1">
        <v>2100</v>
      </c>
      <c r="L82" s="1">
        <f t="shared" si="10"/>
        <v>32823</v>
      </c>
      <c r="M82" s="1">
        <v>371</v>
      </c>
      <c r="N82" s="1">
        <f t="shared" si="11"/>
        <v>3101.56</v>
      </c>
      <c r="O82" s="1"/>
      <c r="P82" s="1"/>
      <c r="Q82" s="1" t="s">
        <v>23</v>
      </c>
      <c r="R82" s="1">
        <v>7</v>
      </c>
      <c r="S82" s="1">
        <f t="shared" si="9"/>
        <v>36059.092857142859</v>
      </c>
      <c r="T82" s="1">
        <f t="shared" si="12"/>
        <v>8942.6550285714293</v>
      </c>
      <c r="U82" s="1"/>
      <c r="V82" s="1">
        <v>58380</v>
      </c>
      <c r="W82" s="12">
        <v>0.1043</v>
      </c>
    </row>
    <row r="83" spans="1:23">
      <c r="A83" t="s">
        <v>26</v>
      </c>
      <c r="B83" t="s">
        <v>27</v>
      </c>
      <c r="C83" s="2">
        <v>44095</v>
      </c>
      <c r="D83" s="1">
        <v>400000</v>
      </c>
      <c r="E83" s="14">
        <f>SUM($H$2:$H$22)</f>
        <v>263992.05000000005</v>
      </c>
      <c r="F83" s="12">
        <f>40/30*21/40</f>
        <v>0.7</v>
      </c>
      <c r="G83" s="12">
        <f t="shared" si="7"/>
        <v>0.65998012500000014</v>
      </c>
      <c r="H83" s="1">
        <v>11578.400000000001</v>
      </c>
      <c r="I83" s="1">
        <f t="shared" si="8"/>
        <v>2871.4432000000002</v>
      </c>
      <c r="J83" s="1">
        <v>0.245</v>
      </c>
      <c r="K83" s="1">
        <v>2020</v>
      </c>
      <c r="L83" s="1">
        <f t="shared" si="10"/>
        <v>31572.600000000002</v>
      </c>
      <c r="M83" s="1">
        <v>356</v>
      </c>
      <c r="N83" s="1">
        <f t="shared" si="11"/>
        <v>2976.16</v>
      </c>
      <c r="O83" s="1"/>
      <c r="P83" s="1"/>
      <c r="Q83" s="1" t="s">
        <v>23</v>
      </c>
      <c r="R83" s="1">
        <v>7</v>
      </c>
      <c r="S83" s="1">
        <f t="shared" si="9"/>
        <v>37713.150000000009</v>
      </c>
      <c r="T83" s="1">
        <f t="shared" si="12"/>
        <v>9352.8612000000012</v>
      </c>
      <c r="U83" s="1"/>
      <c r="V83" s="1">
        <v>91724</v>
      </c>
      <c r="W83" s="12">
        <v>5.8799999999999998E-2</v>
      </c>
    </row>
    <row r="84" spans="1:23">
      <c r="A84" t="s">
        <v>26</v>
      </c>
      <c r="B84" t="s">
        <v>27</v>
      </c>
      <c r="C84" s="2">
        <v>44096</v>
      </c>
      <c r="D84" s="1">
        <v>400000</v>
      </c>
      <c r="E84" s="14">
        <f>SUM($H$2:$H$23)</f>
        <v>274762.21000000002</v>
      </c>
      <c r="F84" s="12">
        <f>40/30*22/40</f>
        <v>0.73333333333333328</v>
      </c>
      <c r="G84" s="12">
        <f t="shared" si="7"/>
        <v>0.68690552500000002</v>
      </c>
      <c r="H84" s="1">
        <v>10770.160000000002</v>
      </c>
      <c r="I84" s="1">
        <f t="shared" si="8"/>
        <v>2670.9996800000004</v>
      </c>
      <c r="J84" s="1">
        <v>0.88600000000000001</v>
      </c>
      <c r="K84" s="1">
        <v>2560</v>
      </c>
      <c r="L84" s="1">
        <f t="shared" si="10"/>
        <v>40012.800000000003</v>
      </c>
      <c r="M84" s="1">
        <v>452</v>
      </c>
      <c r="N84" s="1">
        <f t="shared" si="11"/>
        <v>3778.72</v>
      </c>
      <c r="O84" s="1"/>
      <c r="P84" s="1"/>
      <c r="Q84" s="1" t="s">
        <v>23</v>
      </c>
      <c r="R84" s="1">
        <v>7</v>
      </c>
      <c r="S84" s="1">
        <f t="shared" si="9"/>
        <v>39251.744285714289</v>
      </c>
      <c r="T84" s="1">
        <f t="shared" si="12"/>
        <v>9734.4325828571436</v>
      </c>
      <c r="U84" s="1"/>
      <c r="V84" s="1">
        <v>85118</v>
      </c>
      <c r="W84" s="15">
        <v>3.27E-2</v>
      </c>
    </row>
    <row r="85" spans="1:23">
      <c r="A85" t="s">
        <v>26</v>
      </c>
      <c r="B85" t="s">
        <v>27</v>
      </c>
      <c r="C85" s="2">
        <v>44097</v>
      </c>
      <c r="D85" s="1">
        <v>400000</v>
      </c>
      <c r="E85" s="14">
        <f>SUM($H$2:$H$24)</f>
        <v>287534.82</v>
      </c>
      <c r="F85" s="12">
        <f>40/30*23/40</f>
        <v>0.76666666666666661</v>
      </c>
      <c r="G85" s="12">
        <f t="shared" si="7"/>
        <v>0.71883704999999998</v>
      </c>
      <c r="H85" s="1">
        <v>12772.609999999999</v>
      </c>
      <c r="I85" s="1">
        <f t="shared" si="8"/>
        <v>3167.6072799999997</v>
      </c>
      <c r="J85" s="1">
        <v>0.16600000000000001</v>
      </c>
      <c r="K85" s="1">
        <v>2400</v>
      </c>
      <c r="L85" s="1">
        <f t="shared" si="10"/>
        <v>37512</v>
      </c>
      <c r="M85" s="1">
        <v>424</v>
      </c>
      <c r="N85" s="1">
        <f t="shared" si="11"/>
        <v>3544.64</v>
      </c>
      <c r="O85" s="1"/>
      <c r="P85" s="1"/>
      <c r="Q85" s="1" t="s">
        <v>23</v>
      </c>
      <c r="R85" s="1">
        <v>7</v>
      </c>
      <c r="S85" s="1">
        <f t="shared" si="9"/>
        <v>41076.402857142857</v>
      </c>
      <c r="T85" s="1">
        <f t="shared" si="12"/>
        <v>10186.947908571428</v>
      </c>
      <c r="U85" s="1"/>
      <c r="V85" s="1">
        <v>72450</v>
      </c>
      <c r="W85" s="15">
        <v>0.1111</v>
      </c>
    </row>
    <row r="86" spans="1:23">
      <c r="A86" t="s">
        <v>26</v>
      </c>
      <c r="B86" t="s">
        <v>27</v>
      </c>
      <c r="C86" s="2">
        <v>44098</v>
      </c>
      <c r="D86" s="1">
        <v>400000</v>
      </c>
      <c r="E86" s="14">
        <f>SUM($H$2:$H$25)</f>
        <v>298712.56</v>
      </c>
      <c r="F86" s="12">
        <f>40/30*24/40</f>
        <v>0.8</v>
      </c>
      <c r="G86" s="12">
        <f t="shared" si="7"/>
        <v>0.74678140000000004</v>
      </c>
      <c r="H86" s="1">
        <v>11177.740000000002</v>
      </c>
      <c r="I86" s="1">
        <f t="shared" si="8"/>
        <v>2772.0795200000002</v>
      </c>
      <c r="J86" s="1">
        <v>9.6000000000000002E-2</v>
      </c>
      <c r="K86" s="1">
        <v>2356</v>
      </c>
      <c r="L86" s="1">
        <f t="shared" si="10"/>
        <v>36824.28</v>
      </c>
      <c r="M86" s="1">
        <v>416</v>
      </c>
      <c r="N86" s="1">
        <f t="shared" si="11"/>
        <v>3477.7599999999998</v>
      </c>
      <c r="O86" s="1"/>
      <c r="P86" s="1"/>
      <c r="Q86" s="1" t="s">
        <v>23</v>
      </c>
      <c r="R86" s="1">
        <v>7</v>
      </c>
      <c r="S86" s="1">
        <f t="shared" si="9"/>
        <v>42673.222857142857</v>
      </c>
      <c r="T86" s="1">
        <f t="shared" si="12"/>
        <v>10582.959268571429</v>
      </c>
      <c r="U86" s="1"/>
      <c r="V86" s="1">
        <v>99607</v>
      </c>
      <c r="W86" s="12">
        <v>5.8799999999999998E-2</v>
      </c>
    </row>
    <row r="87" spans="1:23">
      <c r="A87" t="s">
        <v>26</v>
      </c>
      <c r="B87" t="s">
        <v>27</v>
      </c>
      <c r="C87" s="2">
        <v>44099</v>
      </c>
      <c r="D87" s="1">
        <v>400000</v>
      </c>
      <c r="E87" s="14">
        <f>SUM($H$2:$H$26)</f>
        <v>309175.07</v>
      </c>
      <c r="F87" s="12">
        <f>40/30*25/40</f>
        <v>0.83333333333333326</v>
      </c>
      <c r="G87" s="12">
        <f t="shared" si="7"/>
        <v>0.77293767499999999</v>
      </c>
      <c r="H87" s="1">
        <v>10462.51</v>
      </c>
      <c r="I87" s="1">
        <f t="shared" si="8"/>
        <v>2594.7024799999999</v>
      </c>
      <c r="J87" s="1">
        <v>0.245</v>
      </c>
      <c r="K87" s="1">
        <v>2212</v>
      </c>
      <c r="L87" s="1">
        <f t="shared" si="10"/>
        <v>34573.560000000005</v>
      </c>
      <c r="M87" s="1">
        <v>390</v>
      </c>
      <c r="N87" s="1">
        <f t="shared" si="11"/>
        <v>3260.3999999999996</v>
      </c>
      <c r="O87" s="1"/>
      <c r="P87" s="1"/>
      <c r="Q87" s="1" t="s">
        <v>23</v>
      </c>
      <c r="R87" s="1">
        <v>7</v>
      </c>
      <c r="S87" s="1">
        <f t="shared" si="9"/>
        <v>44167.867142857147</v>
      </c>
      <c r="T87" s="1">
        <f t="shared" si="12"/>
        <v>10953.631051428572</v>
      </c>
      <c r="U87" s="1"/>
      <c r="V87" s="1">
        <v>85820</v>
      </c>
      <c r="W87" s="1" t="s">
        <v>25</v>
      </c>
    </row>
    <row r="88" spans="1:23">
      <c r="A88" t="s">
        <v>26</v>
      </c>
      <c r="B88" t="s">
        <v>27</v>
      </c>
      <c r="C88" s="2">
        <v>44100</v>
      </c>
      <c r="D88" s="1">
        <v>400000</v>
      </c>
      <c r="E88" s="14">
        <f>SUM($H$2:$H$27)</f>
        <v>318824.57</v>
      </c>
      <c r="F88" s="12">
        <f>40/30*26/40</f>
        <v>0.86666666666666659</v>
      </c>
      <c r="G88" s="12">
        <f t="shared" si="7"/>
        <v>0.79706142499999999</v>
      </c>
      <c r="H88" s="1">
        <v>9649.5</v>
      </c>
      <c r="I88" s="1">
        <f t="shared" si="8"/>
        <v>2393.076</v>
      </c>
      <c r="J88" s="1">
        <v>0.51900000000000002</v>
      </c>
      <c r="K88" s="1">
        <v>2100</v>
      </c>
      <c r="L88" s="1">
        <f t="shared" si="10"/>
        <v>32823</v>
      </c>
      <c r="M88" s="1">
        <v>371</v>
      </c>
      <c r="N88" s="1">
        <f t="shared" si="11"/>
        <v>3101.56</v>
      </c>
      <c r="O88" s="1"/>
      <c r="P88" s="1"/>
      <c r="Q88" s="1" t="s">
        <v>23</v>
      </c>
      <c r="R88" s="1">
        <v>7</v>
      </c>
      <c r="S88" s="1">
        <f t="shared" si="9"/>
        <v>45546.367142857147</v>
      </c>
      <c r="T88" s="1">
        <f t="shared" si="12"/>
        <v>11295.499051428573</v>
      </c>
      <c r="U88" s="1"/>
      <c r="V88" s="1">
        <v>85942</v>
      </c>
      <c r="W88" s="12">
        <v>5.8799999999999998E-2</v>
      </c>
    </row>
    <row r="89" spans="1:23">
      <c r="A89" t="s">
        <v>26</v>
      </c>
      <c r="B89" t="s">
        <v>27</v>
      </c>
      <c r="C89" s="2">
        <v>44101</v>
      </c>
      <c r="D89" s="1">
        <v>400000</v>
      </c>
      <c r="E89" s="14">
        <f>SUM($H$2:$H$28)</f>
        <v>330622.43</v>
      </c>
      <c r="F89" s="12">
        <f>40/30*27/40</f>
        <v>0.9</v>
      </c>
      <c r="G89" s="12">
        <f t="shared" si="7"/>
        <v>0.82655607499999995</v>
      </c>
      <c r="H89" s="1">
        <v>11797.86</v>
      </c>
      <c r="I89" s="1">
        <f t="shared" si="8"/>
        <v>2925.8692800000003</v>
      </c>
      <c r="J89" s="1">
        <v>0.51900000000000002</v>
      </c>
      <c r="K89" s="1">
        <v>2020</v>
      </c>
      <c r="L89" s="1">
        <f t="shared" si="10"/>
        <v>31572.600000000002</v>
      </c>
      <c r="M89" s="1">
        <v>356</v>
      </c>
      <c r="N89" s="1">
        <f t="shared" si="11"/>
        <v>2976.16</v>
      </c>
      <c r="O89" s="1"/>
      <c r="P89" s="1"/>
      <c r="Q89" s="1" t="s">
        <v>23</v>
      </c>
      <c r="R89" s="1">
        <v>7</v>
      </c>
      <c r="S89" s="1">
        <f t="shared" si="9"/>
        <v>47231.775714285715</v>
      </c>
      <c r="T89" s="1">
        <f t="shared" si="12"/>
        <v>11713.480377142858</v>
      </c>
      <c r="U89" s="1"/>
      <c r="V89" s="1">
        <v>96227</v>
      </c>
      <c r="W89" s="15">
        <v>3.27E-2</v>
      </c>
    </row>
    <row r="90" spans="1:23">
      <c r="A90" t="s">
        <v>26</v>
      </c>
      <c r="B90" t="s">
        <v>27</v>
      </c>
      <c r="C90" s="2">
        <v>44102</v>
      </c>
      <c r="D90" s="1">
        <v>400000</v>
      </c>
      <c r="E90" s="14">
        <f>SUM($H$2:$H$29)</f>
        <v>343490.81</v>
      </c>
      <c r="F90" s="12">
        <f>40/30*28/40</f>
        <v>0.93333333333333324</v>
      </c>
      <c r="G90" s="12">
        <f t="shared" si="7"/>
        <v>0.85872702499999998</v>
      </c>
      <c r="H90" s="1">
        <v>12868.380000000001</v>
      </c>
      <c r="I90" s="1">
        <f t="shared" si="8"/>
        <v>3191.35824</v>
      </c>
      <c r="J90" s="1">
        <v>0.498</v>
      </c>
      <c r="K90" s="1">
        <v>2560</v>
      </c>
      <c r="L90" s="1">
        <f t="shared" si="10"/>
        <v>40012.800000000003</v>
      </c>
      <c r="M90" s="1">
        <v>452</v>
      </c>
      <c r="N90" s="1">
        <f t="shared" si="11"/>
        <v>3778.72</v>
      </c>
      <c r="O90" s="1"/>
      <c r="P90" s="1"/>
      <c r="Q90" s="1" t="s">
        <v>23</v>
      </c>
      <c r="R90" s="1">
        <v>7</v>
      </c>
      <c r="S90" s="1">
        <f t="shared" si="9"/>
        <v>49070.115714285712</v>
      </c>
      <c r="T90" s="1">
        <f t="shared" si="12"/>
        <v>12169.388697142856</v>
      </c>
      <c r="U90" s="1"/>
      <c r="V90" s="1">
        <v>79047</v>
      </c>
      <c r="W90" s="15">
        <v>0.1111</v>
      </c>
    </row>
    <row r="91" spans="1:23">
      <c r="A91" t="s">
        <v>26</v>
      </c>
      <c r="B91" t="s">
        <v>27</v>
      </c>
      <c r="C91" s="2">
        <v>44103</v>
      </c>
      <c r="D91" s="1">
        <v>400000</v>
      </c>
      <c r="E91" s="14">
        <f>SUM($H$2:$H$30)</f>
        <v>356648.59</v>
      </c>
      <c r="F91" s="12">
        <f>40/30*29/40</f>
        <v>0.96666666666666656</v>
      </c>
      <c r="G91" s="12">
        <f t="shared" si="7"/>
        <v>0.89162147500000011</v>
      </c>
      <c r="H91" s="1">
        <v>13157.78</v>
      </c>
      <c r="I91" s="1">
        <f t="shared" si="8"/>
        <v>3263.1294400000002</v>
      </c>
      <c r="J91" s="1">
        <v>0.245</v>
      </c>
      <c r="K91" s="1">
        <v>2400</v>
      </c>
      <c r="L91" s="1">
        <f t="shared" si="10"/>
        <v>37512</v>
      </c>
      <c r="M91" s="1">
        <v>424</v>
      </c>
      <c r="N91" s="1">
        <f t="shared" si="11"/>
        <v>3544.64</v>
      </c>
      <c r="O91" s="1"/>
      <c r="P91" s="1"/>
      <c r="Q91" s="1" t="s">
        <v>23</v>
      </c>
      <c r="R91" s="1">
        <v>7</v>
      </c>
      <c r="S91" s="1">
        <f t="shared" si="9"/>
        <v>50949.798571428575</v>
      </c>
      <c r="T91" s="1">
        <f t="shared" si="12"/>
        <v>12635.550045714286</v>
      </c>
      <c r="U91" s="1"/>
      <c r="V91" s="1">
        <v>78332</v>
      </c>
      <c r="W91" s="12">
        <v>5.8799999999999998E-2</v>
      </c>
    </row>
    <row r="92" spans="1:23">
      <c r="A92" t="s">
        <v>26</v>
      </c>
      <c r="B92" t="s">
        <v>27</v>
      </c>
      <c r="C92" s="2">
        <v>44104</v>
      </c>
      <c r="D92" s="1">
        <v>400000</v>
      </c>
      <c r="E92" s="14">
        <f>SUM($H$2:$H$31)</f>
        <v>367270.5</v>
      </c>
      <c r="F92" s="12">
        <f>40/30*30/40</f>
        <v>1</v>
      </c>
      <c r="G92" s="12">
        <f t="shared" si="7"/>
        <v>0.91817625000000003</v>
      </c>
      <c r="H92" s="1">
        <v>10621.91</v>
      </c>
      <c r="I92" s="1">
        <f t="shared" si="8"/>
        <v>2634.2336799999998</v>
      </c>
      <c r="J92" s="1">
        <v>0.51900000000000002</v>
      </c>
      <c r="K92" s="1">
        <v>3540</v>
      </c>
      <c r="L92" s="1">
        <f t="shared" si="10"/>
        <v>55330.200000000004</v>
      </c>
      <c r="M92" s="1">
        <v>625</v>
      </c>
      <c r="N92" s="1">
        <f t="shared" si="11"/>
        <v>5225</v>
      </c>
      <c r="O92" s="1"/>
      <c r="P92" s="1"/>
      <c r="Q92" s="1" t="s">
        <v>23</v>
      </c>
      <c r="R92" s="1">
        <v>7</v>
      </c>
      <c r="S92" s="1">
        <f t="shared" si="9"/>
        <v>52467.214285714283</v>
      </c>
      <c r="T92" s="1">
        <f t="shared" si="12"/>
        <v>13011.869142857142</v>
      </c>
      <c r="U92" s="1"/>
      <c r="V92" s="1">
        <v>45855</v>
      </c>
      <c r="W92" s="1" t="s">
        <v>25</v>
      </c>
    </row>
    <row r="93" spans="1:23">
      <c r="A93" t="s">
        <v>26</v>
      </c>
      <c r="B93" t="s">
        <v>27</v>
      </c>
      <c r="C93" s="2">
        <v>44105</v>
      </c>
      <c r="D93">
        <v>400000</v>
      </c>
      <c r="E93" s="10">
        <f>SUM($H$32:$H$32)</f>
        <v>10888.17</v>
      </c>
      <c r="F93" s="13">
        <f>F63</f>
        <v>3.3333333333333333E-2</v>
      </c>
      <c r="G93" s="13">
        <f>E93/D93</f>
        <v>2.7220424999999999E-2</v>
      </c>
      <c r="H93" s="3">
        <v>10888.17</v>
      </c>
      <c r="I93" s="1">
        <f t="shared" si="8"/>
        <v>2700.2661600000001</v>
      </c>
      <c r="J93" s="1">
        <v>0.51900000000000002</v>
      </c>
      <c r="K93" s="1">
        <v>3420</v>
      </c>
      <c r="L93" s="1">
        <f t="shared" si="10"/>
        <v>53454.600000000006</v>
      </c>
      <c r="M93" s="1">
        <v>604</v>
      </c>
      <c r="N93" s="1">
        <f t="shared" si="11"/>
        <v>5049.4399999999996</v>
      </c>
      <c r="Q93" s="1" t="s">
        <v>23</v>
      </c>
      <c r="R93" s="1">
        <v>7</v>
      </c>
      <c r="S93" s="1">
        <f t="shared" si="9"/>
        <v>1555.4528571428571</v>
      </c>
      <c r="T93" s="1">
        <f t="shared" si="12"/>
        <v>385.75230857142856</v>
      </c>
      <c r="V93">
        <v>89405</v>
      </c>
      <c r="W93" s="15">
        <v>0.1111</v>
      </c>
    </row>
    <row r="94" spans="1:23">
      <c r="A94" t="s">
        <v>26</v>
      </c>
      <c r="B94" t="s">
        <v>27</v>
      </c>
      <c r="C94" s="2">
        <v>44106</v>
      </c>
      <c r="D94">
        <v>400000</v>
      </c>
      <c r="E94" s="10">
        <f>SUM($H$32:$H$33)</f>
        <v>21102.41</v>
      </c>
      <c r="F94" s="13">
        <f>40/31*2/40</f>
        <v>6.4516129032258063E-2</v>
      </c>
      <c r="G94" s="13">
        <f t="shared" ref="G94:G123" si="13">E94/D94</f>
        <v>5.2756024999999998E-2</v>
      </c>
      <c r="H94" s="3">
        <v>10214.24</v>
      </c>
      <c r="I94" s="1">
        <f t="shared" si="8"/>
        <v>2533.1315199999999</v>
      </c>
      <c r="J94" s="1">
        <v>0.498</v>
      </c>
      <c r="K94" s="1">
        <v>3300</v>
      </c>
      <c r="L94" s="1">
        <f t="shared" si="10"/>
        <v>51579</v>
      </c>
      <c r="M94" s="1">
        <v>583</v>
      </c>
      <c r="N94" s="1">
        <f t="shared" si="11"/>
        <v>4873.88</v>
      </c>
      <c r="Q94" s="1" t="s">
        <v>23</v>
      </c>
      <c r="R94" s="1">
        <v>7</v>
      </c>
      <c r="S94" s="1">
        <f t="shared" si="9"/>
        <v>3014.63</v>
      </c>
      <c r="T94" s="1">
        <f t="shared" si="12"/>
        <v>747.62824000000001</v>
      </c>
      <c r="V94">
        <v>50599</v>
      </c>
      <c r="W94" s="12">
        <v>0.1043</v>
      </c>
    </row>
    <row r="95" spans="1:23">
      <c r="A95" t="s">
        <v>26</v>
      </c>
      <c r="B95" t="s">
        <v>27</v>
      </c>
      <c r="C95" s="2">
        <v>44107</v>
      </c>
      <c r="D95">
        <v>400000</v>
      </c>
      <c r="E95" s="10">
        <f>SUM($H$32:$H$34)</f>
        <v>31416.440000000002</v>
      </c>
      <c r="F95" s="13">
        <f>40/31*3/40</f>
        <v>9.6774193548387094E-2</v>
      </c>
      <c r="G95" s="13">
        <f t="shared" si="13"/>
        <v>7.8541100000000003E-2</v>
      </c>
      <c r="H95" s="3">
        <v>10314.030000000001</v>
      </c>
      <c r="I95" s="1">
        <f t="shared" si="8"/>
        <v>2557.8794400000002</v>
      </c>
      <c r="J95" s="1">
        <v>0.51900000000000002</v>
      </c>
      <c r="K95" s="1">
        <v>3200</v>
      </c>
      <c r="L95" s="1">
        <f t="shared" si="10"/>
        <v>50016</v>
      </c>
      <c r="M95" s="1">
        <v>565</v>
      </c>
      <c r="N95" s="1">
        <f t="shared" si="11"/>
        <v>4723.3999999999996</v>
      </c>
      <c r="Q95" s="1" t="s">
        <v>23</v>
      </c>
      <c r="R95" s="1">
        <v>7</v>
      </c>
      <c r="S95" s="1">
        <f t="shared" si="9"/>
        <v>4488.0628571428579</v>
      </c>
      <c r="T95" s="1">
        <f t="shared" si="12"/>
        <v>1113.0395885714288</v>
      </c>
      <c r="V95">
        <v>53852</v>
      </c>
      <c r="W95" s="15">
        <v>0.1111</v>
      </c>
    </row>
    <row r="96" spans="1:23">
      <c r="A96" t="s">
        <v>26</v>
      </c>
      <c r="B96" t="s">
        <v>27</v>
      </c>
      <c r="C96" s="2">
        <v>44108</v>
      </c>
      <c r="D96">
        <v>400000</v>
      </c>
      <c r="E96" s="10">
        <f>SUM($H$32:$H$35)</f>
        <v>43244.9</v>
      </c>
      <c r="F96" s="13">
        <f>40/31*4/40</f>
        <v>0.12903225806451613</v>
      </c>
      <c r="G96" s="13">
        <f t="shared" si="13"/>
        <v>0.10811225000000001</v>
      </c>
      <c r="H96" s="3">
        <v>11828.46</v>
      </c>
      <c r="I96" s="1">
        <f t="shared" si="8"/>
        <v>2933.4580799999999</v>
      </c>
      <c r="J96" s="1">
        <v>0.498</v>
      </c>
      <c r="K96" s="1">
        <v>3160</v>
      </c>
      <c r="L96" s="1">
        <f t="shared" si="10"/>
        <v>49390.8</v>
      </c>
      <c r="M96" s="1">
        <v>558</v>
      </c>
      <c r="N96" s="1">
        <f t="shared" si="11"/>
        <v>4664.88</v>
      </c>
      <c r="Q96" s="1" t="s">
        <v>23</v>
      </c>
      <c r="R96" s="1">
        <v>7</v>
      </c>
      <c r="S96" s="1">
        <f t="shared" si="9"/>
        <v>6177.8428571428576</v>
      </c>
      <c r="T96" s="1">
        <f t="shared" si="12"/>
        <v>1532.1050285714286</v>
      </c>
      <c r="V96">
        <v>75175</v>
      </c>
      <c r="W96" s="12">
        <v>0.1043</v>
      </c>
    </row>
    <row r="97" spans="1:23">
      <c r="A97" t="s">
        <v>26</v>
      </c>
      <c r="B97" t="s">
        <v>27</v>
      </c>
      <c r="C97" s="2">
        <v>44109</v>
      </c>
      <c r="D97">
        <v>400000</v>
      </c>
      <c r="E97" s="10">
        <f>SUM($H$32:$H$36)</f>
        <v>53859.520000000004</v>
      </c>
      <c r="F97" s="13">
        <f>40/31*5/40</f>
        <v>0.16129032258064516</v>
      </c>
      <c r="G97" s="13">
        <f t="shared" si="13"/>
        <v>0.13464880000000001</v>
      </c>
      <c r="H97" s="3">
        <v>10614.62</v>
      </c>
      <c r="I97" s="1">
        <f t="shared" si="8"/>
        <v>2632.4257600000001</v>
      </c>
      <c r="J97" s="1">
        <v>9.6000000000000002E-2</v>
      </c>
      <c r="K97" s="1">
        <v>3021</v>
      </c>
      <c r="L97" s="1">
        <f t="shared" si="10"/>
        <v>47218.23</v>
      </c>
      <c r="M97" s="1">
        <v>533</v>
      </c>
      <c r="N97" s="1">
        <f t="shared" si="11"/>
        <v>4455.88</v>
      </c>
      <c r="Q97" s="1" t="s">
        <v>23</v>
      </c>
      <c r="R97" s="1">
        <v>7</v>
      </c>
      <c r="S97" s="1">
        <f t="shared" si="9"/>
        <v>7694.2171428571437</v>
      </c>
      <c r="T97" s="1">
        <f t="shared" si="12"/>
        <v>1908.1658514285716</v>
      </c>
      <c r="V97">
        <v>48374</v>
      </c>
      <c r="W97" s="12">
        <v>5.8799999999999998E-2</v>
      </c>
    </row>
    <row r="98" spans="1:23">
      <c r="A98" t="s">
        <v>26</v>
      </c>
      <c r="B98" t="s">
        <v>27</v>
      </c>
      <c r="C98" s="2">
        <v>44110</v>
      </c>
      <c r="D98">
        <v>400000</v>
      </c>
      <c r="E98" s="10">
        <f>SUM($H$32:$H$37)</f>
        <v>67757.88</v>
      </c>
      <c r="F98" s="13">
        <f>40/31*6/40</f>
        <v>0.19354838709677419</v>
      </c>
      <c r="G98" s="13">
        <f t="shared" si="13"/>
        <v>0.16939470000000001</v>
      </c>
      <c r="H98" s="4">
        <v>13898.36</v>
      </c>
      <c r="I98" s="1">
        <f t="shared" si="8"/>
        <v>3446.7932800000003</v>
      </c>
      <c r="J98" s="1">
        <v>0.245</v>
      </c>
      <c r="K98" s="1">
        <v>2795</v>
      </c>
      <c r="L98" s="1">
        <f t="shared" si="10"/>
        <v>43685.850000000006</v>
      </c>
      <c r="M98" s="1">
        <v>493</v>
      </c>
      <c r="N98" s="1">
        <f t="shared" si="11"/>
        <v>4121.4799999999996</v>
      </c>
      <c r="Q98" s="1" t="s">
        <v>23</v>
      </c>
      <c r="R98" s="1">
        <v>7</v>
      </c>
      <c r="S98" s="1">
        <f t="shared" si="9"/>
        <v>9679.6971428571433</v>
      </c>
      <c r="T98" s="1">
        <f t="shared" si="12"/>
        <v>2400.5648914285716</v>
      </c>
      <c r="V98">
        <v>46495</v>
      </c>
      <c r="W98" s="12">
        <v>0.1043</v>
      </c>
    </row>
    <row r="99" spans="1:23">
      <c r="A99" t="s">
        <v>26</v>
      </c>
      <c r="B99" t="s">
        <v>27</v>
      </c>
      <c r="C99" s="2">
        <v>44111</v>
      </c>
      <c r="D99">
        <v>400000</v>
      </c>
      <c r="E99" s="10">
        <f>SUM($H$32:$H$38)</f>
        <v>80137.66</v>
      </c>
      <c r="F99" s="13">
        <f>40/31*7/40</f>
        <v>0.22580645161290319</v>
      </c>
      <c r="G99" s="13">
        <f t="shared" si="13"/>
        <v>0.20034415</v>
      </c>
      <c r="H99" s="4">
        <v>12379.78</v>
      </c>
      <c r="I99" s="1">
        <f t="shared" si="8"/>
        <v>3070.1854400000002</v>
      </c>
      <c r="J99" s="1">
        <v>0.76700000000000002</v>
      </c>
      <c r="K99" s="1">
        <v>2546</v>
      </c>
      <c r="L99" s="1">
        <f t="shared" si="10"/>
        <v>39793.980000000003</v>
      </c>
      <c r="M99" s="1">
        <v>449</v>
      </c>
      <c r="N99" s="1">
        <f t="shared" si="11"/>
        <v>3753.64</v>
      </c>
      <c r="Q99" s="1" t="s">
        <v>23</v>
      </c>
      <c r="R99" s="1">
        <v>7</v>
      </c>
      <c r="S99" s="1">
        <f t="shared" si="9"/>
        <v>11448.237142857144</v>
      </c>
      <c r="T99" s="1">
        <f t="shared" si="12"/>
        <v>2839.1628114285718</v>
      </c>
      <c r="V99">
        <v>74281</v>
      </c>
      <c r="W99" s="12">
        <v>5.8799999999999998E-2</v>
      </c>
    </row>
    <row r="100" spans="1:23">
      <c r="A100" t="s">
        <v>26</v>
      </c>
      <c r="B100" t="s">
        <v>27</v>
      </c>
      <c r="C100" s="2">
        <v>44112</v>
      </c>
      <c r="D100">
        <v>400000</v>
      </c>
      <c r="E100" s="10">
        <f>SUM($H$32:$H$39)</f>
        <v>91296.540000000008</v>
      </c>
      <c r="F100" s="13">
        <f>40/31*8/40</f>
        <v>0.25806451612903225</v>
      </c>
      <c r="G100" s="13">
        <f t="shared" si="13"/>
        <v>0.22824135000000001</v>
      </c>
      <c r="H100" s="3">
        <v>11158.88</v>
      </c>
      <c r="I100" s="1">
        <f t="shared" si="8"/>
        <v>2767.4022399999999</v>
      </c>
      <c r="J100" s="1">
        <v>0.88600000000000001</v>
      </c>
      <c r="K100" s="1">
        <v>2458</v>
      </c>
      <c r="L100" s="1">
        <f t="shared" si="10"/>
        <v>38418.54</v>
      </c>
      <c r="M100" s="1">
        <v>434</v>
      </c>
      <c r="N100" s="1">
        <f t="shared" si="11"/>
        <v>3628.24</v>
      </c>
      <c r="Q100" s="1" t="s">
        <v>23</v>
      </c>
      <c r="R100" s="1">
        <v>7</v>
      </c>
      <c r="S100" s="1">
        <f t="shared" si="9"/>
        <v>13042.362857142858</v>
      </c>
      <c r="T100" s="1">
        <f t="shared" si="12"/>
        <v>3234.5059885714286</v>
      </c>
      <c r="V100">
        <v>66095</v>
      </c>
      <c r="W100" s="12">
        <v>5.8799999999999998E-2</v>
      </c>
    </row>
    <row r="101" spans="1:23">
      <c r="A101" t="s">
        <v>26</v>
      </c>
      <c r="B101" t="s">
        <v>27</v>
      </c>
      <c r="C101" s="2">
        <v>44113</v>
      </c>
      <c r="D101">
        <v>400000</v>
      </c>
      <c r="E101" s="10">
        <f>SUM($H$32:$H$40)</f>
        <v>101875.24</v>
      </c>
      <c r="F101" s="13">
        <f>40/31*9/40</f>
        <v>0.29032258064516131</v>
      </c>
      <c r="G101" s="13">
        <f t="shared" si="13"/>
        <v>0.25468810000000003</v>
      </c>
      <c r="H101" s="3">
        <v>10578.7</v>
      </c>
      <c r="I101" s="1">
        <f t="shared" si="8"/>
        <v>2623.5176000000001</v>
      </c>
      <c r="J101" s="1">
        <v>0.16600000000000001</v>
      </c>
      <c r="K101" s="1">
        <v>2356</v>
      </c>
      <c r="L101" s="1">
        <f t="shared" si="10"/>
        <v>36824.28</v>
      </c>
      <c r="M101" s="1">
        <v>416</v>
      </c>
      <c r="N101" s="1">
        <f t="shared" si="11"/>
        <v>3477.7599999999998</v>
      </c>
      <c r="Q101" s="1" t="s">
        <v>23</v>
      </c>
      <c r="R101" s="1">
        <v>7</v>
      </c>
      <c r="S101" s="1">
        <f t="shared" si="9"/>
        <v>14553.605714285715</v>
      </c>
      <c r="T101" s="1">
        <f t="shared" si="12"/>
        <v>3609.2942171428572</v>
      </c>
      <c r="V101">
        <v>95454</v>
      </c>
      <c r="W101" s="1" t="s">
        <v>25</v>
      </c>
    </row>
    <row r="102" spans="1:23">
      <c r="A102" t="s">
        <v>26</v>
      </c>
      <c r="B102" t="s">
        <v>27</v>
      </c>
      <c r="C102" s="2">
        <v>44114</v>
      </c>
      <c r="D102">
        <v>400000</v>
      </c>
      <c r="E102" s="10">
        <f>SUM($H$32:$H$41)</f>
        <v>113132.70000000001</v>
      </c>
      <c r="F102" s="13">
        <f>40/31*10/40</f>
        <v>0.32258064516129031</v>
      </c>
      <c r="G102" s="13">
        <f t="shared" si="13"/>
        <v>0.28283175000000005</v>
      </c>
      <c r="H102" s="3">
        <v>11257.46</v>
      </c>
      <c r="I102" s="1">
        <f t="shared" si="8"/>
        <v>2791.8500799999997</v>
      </c>
      <c r="J102" s="1">
        <v>9.6000000000000002E-2</v>
      </c>
      <c r="K102" s="1">
        <v>2212</v>
      </c>
      <c r="L102" s="1">
        <f t="shared" si="10"/>
        <v>34573.560000000005</v>
      </c>
      <c r="M102" s="1">
        <v>390</v>
      </c>
      <c r="N102" s="1">
        <f t="shared" si="11"/>
        <v>3260.3999999999996</v>
      </c>
      <c r="Q102" s="1" t="s">
        <v>23</v>
      </c>
      <c r="R102" s="1">
        <v>7</v>
      </c>
      <c r="S102" s="1">
        <f t="shared" si="9"/>
        <v>16161.814285714287</v>
      </c>
      <c r="T102" s="1">
        <f t="shared" si="12"/>
        <v>4008.1299428571429</v>
      </c>
      <c r="V102">
        <v>70325</v>
      </c>
      <c r="W102" s="15">
        <v>0.1111</v>
      </c>
    </row>
    <row r="103" spans="1:23">
      <c r="A103" t="s">
        <v>26</v>
      </c>
      <c r="B103" t="s">
        <v>27</v>
      </c>
      <c r="C103" s="2">
        <v>44115</v>
      </c>
      <c r="D103">
        <v>400000</v>
      </c>
      <c r="E103" s="10">
        <f>SUM($H$32:$H$42)</f>
        <v>125896.68000000001</v>
      </c>
      <c r="F103" s="13">
        <f>40/31*11/40</f>
        <v>0.35483870967741937</v>
      </c>
      <c r="G103" s="13">
        <f t="shared" si="13"/>
        <v>0.31474170000000001</v>
      </c>
      <c r="H103" s="5">
        <v>12763.98</v>
      </c>
      <c r="I103" s="1">
        <f t="shared" si="8"/>
        <v>3165.46704</v>
      </c>
      <c r="J103" s="1">
        <v>0.245</v>
      </c>
      <c r="K103" s="1">
        <v>2100</v>
      </c>
      <c r="L103" s="1">
        <f t="shared" si="10"/>
        <v>32823</v>
      </c>
      <c r="M103" s="1">
        <v>371</v>
      </c>
      <c r="N103" s="1">
        <f t="shared" si="11"/>
        <v>3101.56</v>
      </c>
      <c r="Q103" s="1" t="s">
        <v>23</v>
      </c>
      <c r="R103" s="1">
        <v>7</v>
      </c>
      <c r="S103" s="1">
        <f t="shared" si="9"/>
        <v>17985.240000000002</v>
      </c>
      <c r="T103" s="1">
        <f t="shared" si="12"/>
        <v>4460.3395200000004</v>
      </c>
      <c r="V103">
        <v>66095</v>
      </c>
      <c r="W103" s="12">
        <v>0.1043</v>
      </c>
    </row>
    <row r="104" spans="1:23">
      <c r="A104" t="s">
        <v>26</v>
      </c>
      <c r="B104" t="s">
        <v>27</v>
      </c>
      <c r="C104" s="2">
        <v>44116</v>
      </c>
      <c r="D104">
        <v>400000</v>
      </c>
      <c r="E104" s="10">
        <f>SUM($H$32:$H$43)</f>
        <v>138305.93</v>
      </c>
      <c r="F104" s="13">
        <f>40/31*12/40</f>
        <v>0.38709677419354838</v>
      </c>
      <c r="G104" s="13">
        <f t="shared" si="13"/>
        <v>0.345764825</v>
      </c>
      <c r="H104" s="6">
        <v>12409.25</v>
      </c>
      <c r="I104" s="1">
        <f t="shared" si="8"/>
        <v>3077.4940000000001</v>
      </c>
      <c r="J104" s="1">
        <v>0.51900000000000002</v>
      </c>
      <c r="K104" s="1">
        <v>2020</v>
      </c>
      <c r="L104" s="1">
        <f t="shared" si="10"/>
        <v>31572.600000000002</v>
      </c>
      <c r="M104" s="1">
        <v>356</v>
      </c>
      <c r="N104" s="1">
        <f t="shared" si="11"/>
        <v>2976.16</v>
      </c>
      <c r="Q104" s="1" t="s">
        <v>23</v>
      </c>
      <c r="R104" s="1">
        <v>7</v>
      </c>
      <c r="S104" s="1">
        <f t="shared" si="9"/>
        <v>19757.989999999998</v>
      </c>
      <c r="T104" s="1">
        <f t="shared" si="12"/>
        <v>4899.9815199999994</v>
      </c>
      <c r="V104">
        <v>89405</v>
      </c>
      <c r="W104" s="15">
        <v>0.1111</v>
      </c>
    </row>
    <row r="105" spans="1:23">
      <c r="A105" t="s">
        <v>26</v>
      </c>
      <c r="B105" t="s">
        <v>27</v>
      </c>
      <c r="C105" s="2">
        <v>44117</v>
      </c>
      <c r="D105">
        <v>400000</v>
      </c>
      <c r="E105" s="10">
        <f>SUM($H$32:$H$44)</f>
        <v>168549.51</v>
      </c>
      <c r="F105" s="13">
        <f>40/31*13/40</f>
        <v>0.41935483870967738</v>
      </c>
      <c r="G105" s="13">
        <f t="shared" si="13"/>
        <v>0.42137377500000001</v>
      </c>
      <c r="H105" s="7">
        <v>30243.58</v>
      </c>
      <c r="I105" s="1">
        <f t="shared" si="8"/>
        <v>7500.4078400000008</v>
      </c>
      <c r="J105" s="1">
        <v>0.51900000000000002</v>
      </c>
      <c r="K105" s="1">
        <v>2560</v>
      </c>
      <c r="L105" s="1">
        <f t="shared" si="10"/>
        <v>40012.800000000003</v>
      </c>
      <c r="M105" s="1">
        <v>452</v>
      </c>
      <c r="N105" s="1">
        <f t="shared" si="11"/>
        <v>3778.72</v>
      </c>
      <c r="Q105" s="1" t="s">
        <v>23</v>
      </c>
      <c r="R105" s="1">
        <v>7</v>
      </c>
      <c r="S105" s="1">
        <f t="shared" si="9"/>
        <v>24078.501428571431</v>
      </c>
      <c r="T105" s="1">
        <f t="shared" si="12"/>
        <v>5971.4683542857147</v>
      </c>
      <c r="V105">
        <v>50599</v>
      </c>
      <c r="W105" s="1" t="s">
        <v>25</v>
      </c>
    </row>
    <row r="106" spans="1:23">
      <c r="A106" t="s">
        <v>26</v>
      </c>
      <c r="B106" t="s">
        <v>27</v>
      </c>
      <c r="C106" s="2">
        <v>44118</v>
      </c>
      <c r="D106">
        <v>400000</v>
      </c>
      <c r="E106" s="10">
        <f>SUM($H$32:$H$45)</f>
        <v>198805.78</v>
      </c>
      <c r="F106" s="13">
        <f>40/31*14/40</f>
        <v>0.45161290322580638</v>
      </c>
      <c r="G106" s="13">
        <f t="shared" si="13"/>
        <v>0.49701445</v>
      </c>
      <c r="H106" s="7">
        <v>30256.27</v>
      </c>
      <c r="I106" s="1">
        <f t="shared" si="8"/>
        <v>7503.5549600000004</v>
      </c>
      <c r="J106" s="1">
        <v>0.498</v>
      </c>
      <c r="K106" s="1">
        <v>2400</v>
      </c>
      <c r="L106" s="1">
        <f t="shared" si="10"/>
        <v>37512</v>
      </c>
      <c r="M106" s="1">
        <v>424</v>
      </c>
      <c r="N106" s="1">
        <f t="shared" si="11"/>
        <v>3544.64</v>
      </c>
      <c r="Q106" s="1" t="s">
        <v>23</v>
      </c>
      <c r="R106" s="1">
        <v>7</v>
      </c>
      <c r="S106" s="1">
        <f t="shared" si="9"/>
        <v>28400.825714285715</v>
      </c>
      <c r="T106" s="1">
        <f t="shared" si="12"/>
        <v>7043.4047771428568</v>
      </c>
      <c r="V106">
        <v>53852</v>
      </c>
      <c r="W106" s="15">
        <v>0.1111</v>
      </c>
    </row>
    <row r="107" spans="1:23">
      <c r="A107" t="s">
        <v>26</v>
      </c>
      <c r="B107" t="s">
        <v>27</v>
      </c>
      <c r="C107" s="2">
        <v>44119</v>
      </c>
      <c r="D107">
        <v>400000</v>
      </c>
      <c r="E107" s="10">
        <f>SUM($H$32:$H$46)</f>
        <v>210459.54</v>
      </c>
      <c r="F107" s="13">
        <f>40/31*15/40</f>
        <v>0.4838709677419355</v>
      </c>
      <c r="G107" s="13">
        <f t="shared" si="13"/>
        <v>0.52614885</v>
      </c>
      <c r="H107" s="8">
        <v>11653.76</v>
      </c>
      <c r="I107" s="1">
        <f t="shared" si="8"/>
        <v>2890.1324800000002</v>
      </c>
      <c r="J107" s="1">
        <v>9.6000000000000002E-2</v>
      </c>
      <c r="K107" s="1">
        <v>2356</v>
      </c>
      <c r="L107" s="1">
        <f t="shared" si="10"/>
        <v>36824.28</v>
      </c>
      <c r="M107" s="1">
        <v>416</v>
      </c>
      <c r="N107" s="1">
        <f t="shared" si="11"/>
        <v>3477.7599999999998</v>
      </c>
      <c r="Q107" s="1" t="s">
        <v>23</v>
      </c>
      <c r="R107" s="1">
        <v>7</v>
      </c>
      <c r="S107" s="1">
        <f t="shared" si="9"/>
        <v>30065.648571428574</v>
      </c>
      <c r="T107" s="1">
        <f t="shared" si="12"/>
        <v>7456.2808457142864</v>
      </c>
      <c r="V107">
        <v>75175</v>
      </c>
      <c r="W107" s="12">
        <v>0.1043</v>
      </c>
    </row>
    <row r="108" spans="1:23">
      <c r="A108" t="s">
        <v>26</v>
      </c>
      <c r="B108" t="s">
        <v>27</v>
      </c>
      <c r="C108" s="2">
        <v>44120</v>
      </c>
      <c r="D108">
        <v>400000</v>
      </c>
      <c r="E108" s="10">
        <f>SUM($H$32:$H$47)</f>
        <v>221269.82</v>
      </c>
      <c r="F108" s="13">
        <f>40/31*16/40</f>
        <v>0.5161290322580645</v>
      </c>
      <c r="G108" s="13">
        <f t="shared" si="13"/>
        <v>0.55317455000000004</v>
      </c>
      <c r="H108" s="8">
        <v>10810.28</v>
      </c>
      <c r="I108" s="1">
        <f t="shared" si="8"/>
        <v>2680.9494400000003</v>
      </c>
      <c r="J108" s="1">
        <v>0.245</v>
      </c>
      <c r="K108" s="1">
        <v>2212</v>
      </c>
      <c r="L108" s="1">
        <f t="shared" si="10"/>
        <v>34573.560000000005</v>
      </c>
      <c r="M108" s="1">
        <v>390</v>
      </c>
      <c r="N108" s="1">
        <f t="shared" si="11"/>
        <v>3260.3999999999996</v>
      </c>
      <c r="Q108" s="1" t="s">
        <v>23</v>
      </c>
      <c r="R108" s="1">
        <v>7</v>
      </c>
      <c r="S108" s="1">
        <f t="shared" si="9"/>
        <v>31609.974285714288</v>
      </c>
      <c r="T108" s="1">
        <f t="shared" si="12"/>
        <v>7839.273622857143</v>
      </c>
      <c r="V108">
        <v>48374</v>
      </c>
      <c r="W108" s="15">
        <v>0.1111</v>
      </c>
    </row>
    <row r="109" spans="1:23">
      <c r="A109" t="s">
        <v>26</v>
      </c>
      <c r="B109" t="s">
        <v>27</v>
      </c>
      <c r="C109" s="2">
        <v>44121</v>
      </c>
      <c r="D109">
        <v>400000</v>
      </c>
      <c r="E109" s="10">
        <f>SUM($H$32:$H$48)</f>
        <v>231661.35</v>
      </c>
      <c r="F109" s="13">
        <f>40/31*17/40</f>
        <v>0.54838709677419351</v>
      </c>
      <c r="G109" s="13">
        <f t="shared" si="13"/>
        <v>0.57915337499999997</v>
      </c>
      <c r="H109" s="8">
        <v>10391.530000000001</v>
      </c>
      <c r="I109" s="1">
        <f t="shared" si="8"/>
        <v>2577.09944</v>
      </c>
      <c r="J109" s="1">
        <v>0.51900000000000002</v>
      </c>
      <c r="K109" s="1">
        <v>2100</v>
      </c>
      <c r="L109" s="1">
        <f t="shared" si="10"/>
        <v>32823</v>
      </c>
      <c r="M109" s="1">
        <v>371</v>
      </c>
      <c r="N109" s="1">
        <f t="shared" si="11"/>
        <v>3101.56</v>
      </c>
      <c r="Q109" s="1" t="s">
        <v>23</v>
      </c>
      <c r="R109" s="1">
        <v>7</v>
      </c>
      <c r="S109" s="1">
        <f t="shared" si="9"/>
        <v>33094.478571428575</v>
      </c>
      <c r="T109" s="1">
        <f t="shared" si="12"/>
        <v>8207.4306857142874</v>
      </c>
      <c r="V109">
        <v>46495</v>
      </c>
      <c r="W109" s="12">
        <v>0.1043</v>
      </c>
    </row>
    <row r="110" spans="1:23">
      <c r="A110" t="s">
        <v>26</v>
      </c>
      <c r="B110" t="s">
        <v>27</v>
      </c>
      <c r="C110" s="2">
        <v>44122</v>
      </c>
      <c r="D110">
        <v>400000</v>
      </c>
      <c r="E110" s="10">
        <f>SUM($H$32:$H$49)</f>
        <v>243418.14</v>
      </c>
      <c r="F110" s="13">
        <f>40/31*18/40</f>
        <v>0.58064516129032262</v>
      </c>
      <c r="G110" s="13">
        <f t="shared" si="13"/>
        <v>0.60854534999999998</v>
      </c>
      <c r="H110" s="8">
        <v>11756.79</v>
      </c>
      <c r="I110" s="1">
        <f t="shared" si="8"/>
        <v>2915.6839200000004</v>
      </c>
      <c r="J110" s="1">
        <v>9.6000000000000002E-2</v>
      </c>
      <c r="K110" s="1">
        <v>3021</v>
      </c>
      <c r="L110" s="1">
        <f t="shared" si="10"/>
        <v>47218.23</v>
      </c>
      <c r="M110" s="1">
        <v>533</v>
      </c>
      <c r="N110" s="1">
        <f t="shared" si="11"/>
        <v>4455.88</v>
      </c>
      <c r="Q110" s="1" t="s">
        <v>23</v>
      </c>
      <c r="R110" s="1">
        <v>7</v>
      </c>
      <c r="S110" s="1">
        <f t="shared" si="9"/>
        <v>34774.020000000004</v>
      </c>
      <c r="T110" s="1">
        <f t="shared" si="12"/>
        <v>8623.9569600000013</v>
      </c>
      <c r="V110">
        <v>74281</v>
      </c>
      <c r="W110" s="12">
        <v>5.8799999999999998E-2</v>
      </c>
    </row>
    <row r="111" spans="1:23">
      <c r="A111" t="s">
        <v>26</v>
      </c>
      <c r="B111" t="s">
        <v>27</v>
      </c>
      <c r="C111" s="2">
        <v>44123</v>
      </c>
      <c r="D111">
        <v>400000</v>
      </c>
      <c r="E111" s="10">
        <f>SUM($H$32:$H$50)</f>
        <v>254600.18000000002</v>
      </c>
      <c r="F111" s="13">
        <f>40/31*19/40</f>
        <v>0.61290322580645162</v>
      </c>
      <c r="G111" s="13">
        <f t="shared" si="13"/>
        <v>0.63650045000000011</v>
      </c>
      <c r="H111" s="8">
        <v>11182.04</v>
      </c>
      <c r="I111" s="1">
        <f t="shared" si="8"/>
        <v>2773.1459200000004</v>
      </c>
      <c r="J111" s="1">
        <v>0.245</v>
      </c>
      <c r="K111" s="1">
        <v>2795</v>
      </c>
      <c r="L111" s="1">
        <f t="shared" si="10"/>
        <v>43685.850000000006</v>
      </c>
      <c r="M111" s="1">
        <v>493</v>
      </c>
      <c r="N111" s="1">
        <f t="shared" si="11"/>
        <v>4121.4799999999996</v>
      </c>
      <c r="Q111" s="1" t="s">
        <v>23</v>
      </c>
      <c r="R111" s="1">
        <v>7</v>
      </c>
      <c r="S111" s="1">
        <f t="shared" si="9"/>
        <v>36371.454285714288</v>
      </c>
      <c r="T111" s="1">
        <f t="shared" si="12"/>
        <v>9020.1206628571435</v>
      </c>
      <c r="V111" s="1">
        <v>85820</v>
      </c>
      <c r="W111" s="12">
        <v>5.8799999999999998E-2</v>
      </c>
    </row>
    <row r="112" spans="1:23">
      <c r="A112" t="s">
        <v>26</v>
      </c>
      <c r="B112" t="s">
        <v>27</v>
      </c>
      <c r="C112" s="2">
        <v>44124</v>
      </c>
      <c r="D112">
        <v>400000</v>
      </c>
      <c r="E112" s="10">
        <f>SUM($H$32:$H$51)</f>
        <v>266963.59000000003</v>
      </c>
      <c r="F112" s="13">
        <f>40/31*20/40</f>
        <v>0.64516129032258063</v>
      </c>
      <c r="G112" s="13">
        <f t="shared" si="13"/>
        <v>0.66740897500000007</v>
      </c>
      <c r="H112" s="4">
        <v>12363.41</v>
      </c>
      <c r="I112" s="1">
        <f t="shared" si="8"/>
        <v>3066.1256800000001</v>
      </c>
      <c r="J112" s="1">
        <v>0.76700000000000002</v>
      </c>
      <c r="K112" s="1">
        <v>2546</v>
      </c>
      <c r="L112" s="1">
        <f t="shared" si="10"/>
        <v>39793.980000000003</v>
      </c>
      <c r="M112" s="1">
        <v>449</v>
      </c>
      <c r="N112" s="1">
        <f t="shared" si="11"/>
        <v>3753.64</v>
      </c>
      <c r="Q112" s="1" t="s">
        <v>23</v>
      </c>
      <c r="R112" s="1">
        <v>7</v>
      </c>
      <c r="S112" s="1">
        <f t="shared" si="9"/>
        <v>38137.65571428572</v>
      </c>
      <c r="T112" s="1">
        <f t="shared" si="12"/>
        <v>9458.1386171428585</v>
      </c>
      <c r="V112" s="1">
        <v>85942</v>
      </c>
      <c r="W112" s="1" t="s">
        <v>25</v>
      </c>
    </row>
    <row r="113" spans="1:23">
      <c r="A113" t="s">
        <v>26</v>
      </c>
      <c r="B113" t="s">
        <v>27</v>
      </c>
      <c r="C113" s="2">
        <v>44125</v>
      </c>
      <c r="D113">
        <v>400000</v>
      </c>
      <c r="E113" s="10">
        <f>SUM($H$32:$H$52)</f>
        <v>279838.08000000002</v>
      </c>
      <c r="F113" s="13">
        <f>40/31*21/40</f>
        <v>0.67741935483870974</v>
      </c>
      <c r="G113" s="13">
        <f t="shared" si="13"/>
        <v>0.69959520000000008</v>
      </c>
      <c r="H113" s="4">
        <v>12874.49</v>
      </c>
      <c r="I113" s="1">
        <f t="shared" si="8"/>
        <v>3192.8735200000001</v>
      </c>
      <c r="J113" s="1">
        <v>0.88600000000000001</v>
      </c>
      <c r="K113" s="1">
        <v>2458</v>
      </c>
      <c r="L113" s="1">
        <f t="shared" si="10"/>
        <v>38418.54</v>
      </c>
      <c r="M113" s="1">
        <v>434</v>
      </c>
      <c r="N113" s="1">
        <f t="shared" si="11"/>
        <v>3628.24</v>
      </c>
      <c r="Q113" s="1" t="s">
        <v>23</v>
      </c>
      <c r="R113" s="1">
        <v>7</v>
      </c>
      <c r="S113" s="1">
        <f t="shared" si="9"/>
        <v>39976.868571428575</v>
      </c>
      <c r="T113" s="1">
        <f t="shared" si="12"/>
        <v>9914.2634057142859</v>
      </c>
      <c r="V113" s="1">
        <v>96227</v>
      </c>
      <c r="W113" s="15">
        <v>0.1111</v>
      </c>
    </row>
    <row r="114" spans="1:23">
      <c r="A114" t="s">
        <v>26</v>
      </c>
      <c r="B114" t="s">
        <v>27</v>
      </c>
      <c r="C114" s="2">
        <v>44126</v>
      </c>
      <c r="D114">
        <v>400000</v>
      </c>
      <c r="E114" s="10">
        <f>SUM($H$32:$H$53)</f>
        <v>292327.09000000003</v>
      </c>
      <c r="F114" s="13">
        <f>40/31*22/40</f>
        <v>0.70967741935483875</v>
      </c>
      <c r="G114" s="13">
        <f t="shared" si="13"/>
        <v>0.73081772500000008</v>
      </c>
      <c r="H114" s="9">
        <v>12489.01</v>
      </c>
      <c r="I114" s="1">
        <f t="shared" si="8"/>
        <v>3097.27448</v>
      </c>
      <c r="J114" s="1">
        <v>0.16600000000000001</v>
      </c>
      <c r="K114" s="1">
        <v>2356</v>
      </c>
      <c r="L114" s="1">
        <f t="shared" si="10"/>
        <v>36824.28</v>
      </c>
      <c r="M114" s="1">
        <v>416</v>
      </c>
      <c r="N114" s="1">
        <f t="shared" si="11"/>
        <v>3477.7599999999998</v>
      </c>
      <c r="Q114" s="1" t="s">
        <v>23</v>
      </c>
      <c r="R114" s="1">
        <v>7</v>
      </c>
      <c r="S114" s="1">
        <f t="shared" si="9"/>
        <v>41761.012857142858</v>
      </c>
      <c r="T114" s="1">
        <f t="shared" si="12"/>
        <v>10356.731188571428</v>
      </c>
      <c r="V114" s="1">
        <v>79047</v>
      </c>
      <c r="W114" s="12">
        <v>0.1043</v>
      </c>
    </row>
    <row r="115" spans="1:23">
      <c r="A115" t="s">
        <v>26</v>
      </c>
      <c r="B115" t="s">
        <v>27</v>
      </c>
      <c r="C115" s="2">
        <v>44127</v>
      </c>
      <c r="D115">
        <v>400000</v>
      </c>
      <c r="E115" s="10">
        <f>SUM($H$32:$H$54)</f>
        <v>305010.75</v>
      </c>
      <c r="F115" s="13">
        <f>40/31*23/40</f>
        <v>0.74193548387096775</v>
      </c>
      <c r="G115" s="13">
        <f t="shared" si="13"/>
        <v>0.76252687500000005</v>
      </c>
      <c r="H115" s="8">
        <v>12683.66</v>
      </c>
      <c r="I115" s="1">
        <f t="shared" si="8"/>
        <v>3145.5476800000001</v>
      </c>
      <c r="J115" s="1">
        <v>9.6000000000000002E-2</v>
      </c>
      <c r="K115" s="1">
        <v>2212</v>
      </c>
      <c r="L115" s="1">
        <f t="shared" si="10"/>
        <v>34573.560000000005</v>
      </c>
      <c r="M115" s="1">
        <v>390</v>
      </c>
      <c r="N115" s="1">
        <f t="shared" si="11"/>
        <v>3260.3999999999996</v>
      </c>
      <c r="Q115" s="1" t="s">
        <v>23</v>
      </c>
      <c r="R115" s="1">
        <v>7</v>
      </c>
      <c r="S115" s="1">
        <f t="shared" si="9"/>
        <v>43572.964285714283</v>
      </c>
      <c r="T115" s="1">
        <f t="shared" si="12"/>
        <v>10806.095142857142</v>
      </c>
      <c r="V115" s="1">
        <v>78332</v>
      </c>
      <c r="W115" s="15">
        <v>0.1111</v>
      </c>
    </row>
    <row r="116" spans="1:23">
      <c r="A116" t="s">
        <v>26</v>
      </c>
      <c r="B116" t="s">
        <v>27</v>
      </c>
      <c r="C116" s="2">
        <v>44128</v>
      </c>
      <c r="D116">
        <v>400000</v>
      </c>
      <c r="E116" s="10">
        <f>SUM($H$32:$H$55)</f>
        <v>316110.07</v>
      </c>
      <c r="F116" s="13">
        <f>40/31*24/40</f>
        <v>0.77419354838709675</v>
      </c>
      <c r="G116" s="13">
        <f t="shared" si="13"/>
        <v>0.790275175</v>
      </c>
      <c r="H116" s="8">
        <v>11099.32</v>
      </c>
      <c r="I116" s="1">
        <f t="shared" si="8"/>
        <v>2752.6313599999999</v>
      </c>
      <c r="J116" s="1">
        <v>0.76700000000000002</v>
      </c>
      <c r="K116" s="1">
        <v>2100</v>
      </c>
      <c r="L116" s="1">
        <f t="shared" si="10"/>
        <v>32823</v>
      </c>
      <c r="M116" s="1">
        <v>317</v>
      </c>
      <c r="N116" s="1">
        <f t="shared" si="11"/>
        <v>2650.12</v>
      </c>
      <c r="Q116" s="1" t="s">
        <v>23</v>
      </c>
      <c r="R116" s="1">
        <v>7</v>
      </c>
      <c r="S116" s="1">
        <f t="shared" si="9"/>
        <v>45158.58142857143</v>
      </c>
      <c r="T116" s="1">
        <f t="shared" si="12"/>
        <v>11199.328194285714</v>
      </c>
      <c r="V116" s="1">
        <v>45855</v>
      </c>
      <c r="W116" s="12">
        <v>0.1043</v>
      </c>
    </row>
    <row r="117" spans="1:23">
      <c r="A117" t="s">
        <v>26</v>
      </c>
      <c r="B117" t="s">
        <v>27</v>
      </c>
      <c r="C117" s="2">
        <v>44129</v>
      </c>
      <c r="D117">
        <v>400000</v>
      </c>
      <c r="E117" s="10">
        <f>SUM($H$32:$H$56)</f>
        <v>328145.38</v>
      </c>
      <c r="F117" s="13">
        <f>40/31*25/40</f>
        <v>0.80645161290322576</v>
      </c>
      <c r="G117" s="13">
        <f t="shared" si="13"/>
        <v>0.82036344999999999</v>
      </c>
      <c r="H117" s="8">
        <v>12035.31</v>
      </c>
      <c r="I117" s="1">
        <f t="shared" si="8"/>
        <v>2984.7568799999999</v>
      </c>
      <c r="J117" s="1">
        <v>0.88600000000000001</v>
      </c>
      <c r="K117" s="1">
        <v>2020</v>
      </c>
      <c r="L117" s="1">
        <f t="shared" si="10"/>
        <v>31572.600000000002</v>
      </c>
      <c r="M117" s="1">
        <v>390</v>
      </c>
      <c r="N117" s="1">
        <f t="shared" si="11"/>
        <v>3260.3999999999996</v>
      </c>
      <c r="Q117" s="1" t="s">
        <v>23</v>
      </c>
      <c r="R117" s="1">
        <v>7</v>
      </c>
      <c r="S117" s="1">
        <f t="shared" si="9"/>
        <v>46877.911428571431</v>
      </c>
      <c r="T117" s="1">
        <f t="shared" si="12"/>
        <v>11625.722034285714</v>
      </c>
      <c r="V117" s="1">
        <v>85942</v>
      </c>
      <c r="W117" s="12">
        <v>5.8799999999999998E-2</v>
      </c>
    </row>
    <row r="118" spans="1:23">
      <c r="A118" t="s">
        <v>26</v>
      </c>
      <c r="B118" t="s">
        <v>27</v>
      </c>
      <c r="C118" s="2">
        <v>44130</v>
      </c>
      <c r="D118">
        <v>400000</v>
      </c>
      <c r="E118" s="10">
        <f>SUM($H$32:$H$57)</f>
        <v>339865.29</v>
      </c>
      <c r="F118" s="13">
        <f>40/31*26/40</f>
        <v>0.83870967741935476</v>
      </c>
      <c r="G118" s="13">
        <f t="shared" si="13"/>
        <v>0.84966322499999991</v>
      </c>
      <c r="H118" s="8">
        <v>11719.91</v>
      </c>
      <c r="I118" s="1">
        <f t="shared" si="8"/>
        <v>2906.5376799999999</v>
      </c>
      <c r="J118" s="1">
        <v>0.51900000000000002</v>
      </c>
      <c r="K118" s="1">
        <v>2560</v>
      </c>
      <c r="L118" s="1">
        <f t="shared" si="10"/>
        <v>40012.800000000003</v>
      </c>
      <c r="M118" s="1">
        <v>371</v>
      </c>
      <c r="N118" s="1">
        <f t="shared" si="11"/>
        <v>3101.56</v>
      </c>
      <c r="Q118" s="1" t="s">
        <v>23</v>
      </c>
      <c r="R118" s="1">
        <v>7</v>
      </c>
      <c r="S118" s="1">
        <f t="shared" si="9"/>
        <v>48552.184285714284</v>
      </c>
      <c r="T118" s="1">
        <f t="shared" si="12"/>
        <v>12040.941702857142</v>
      </c>
      <c r="V118" s="1">
        <v>96227</v>
      </c>
      <c r="W118" s="12">
        <v>5.8799999999999998E-2</v>
      </c>
    </row>
    <row r="119" spans="1:23">
      <c r="A119" t="s">
        <v>26</v>
      </c>
      <c r="B119" t="s">
        <v>27</v>
      </c>
      <c r="C119" s="2">
        <v>44131</v>
      </c>
      <c r="D119">
        <v>400000</v>
      </c>
      <c r="E119" s="10">
        <f>SUM($H$32:$H$58)</f>
        <v>352739.77999999997</v>
      </c>
      <c r="F119" s="13">
        <f>40/31*27/40</f>
        <v>0.87096774193548376</v>
      </c>
      <c r="G119" s="13">
        <f t="shared" si="13"/>
        <v>0.88184944999999992</v>
      </c>
      <c r="H119" s="4">
        <v>12874.49</v>
      </c>
      <c r="I119" s="1">
        <f t="shared" si="8"/>
        <v>3192.8735200000001</v>
      </c>
      <c r="J119" s="1">
        <v>0.51900000000000002</v>
      </c>
      <c r="K119" s="1">
        <v>2400</v>
      </c>
      <c r="L119" s="1">
        <f t="shared" si="10"/>
        <v>37512</v>
      </c>
      <c r="M119" s="1">
        <v>356</v>
      </c>
      <c r="N119" s="1">
        <f t="shared" si="11"/>
        <v>2976.16</v>
      </c>
      <c r="Q119" s="1" t="s">
        <v>23</v>
      </c>
      <c r="R119" s="1">
        <v>7</v>
      </c>
      <c r="S119" s="1">
        <f t="shared" si="9"/>
        <v>50391.397142857139</v>
      </c>
      <c r="T119" s="1">
        <f t="shared" si="12"/>
        <v>12497.06649142857</v>
      </c>
      <c r="V119" s="1">
        <v>85820</v>
      </c>
      <c r="W119" s="15">
        <v>0.1111</v>
      </c>
    </row>
    <row r="120" spans="1:23">
      <c r="A120" t="s">
        <v>26</v>
      </c>
      <c r="B120" t="s">
        <v>27</v>
      </c>
      <c r="C120" s="2">
        <v>44132</v>
      </c>
      <c r="D120">
        <v>400000</v>
      </c>
      <c r="E120" s="10">
        <f>SUM($H$32:$H$59)</f>
        <v>363921.81999999995</v>
      </c>
      <c r="F120" s="13">
        <f>40/31*28/40</f>
        <v>0.90322580645161277</v>
      </c>
      <c r="G120" s="13">
        <f t="shared" si="13"/>
        <v>0.90980454999999982</v>
      </c>
      <c r="H120" s="8">
        <v>11182.04</v>
      </c>
      <c r="I120" s="1">
        <f t="shared" si="8"/>
        <v>2773.1459200000004</v>
      </c>
      <c r="J120" s="1">
        <v>0.498</v>
      </c>
      <c r="K120" s="1">
        <v>2356</v>
      </c>
      <c r="L120" s="1">
        <f t="shared" si="10"/>
        <v>36824.28</v>
      </c>
      <c r="M120" s="1">
        <v>452</v>
      </c>
      <c r="N120" s="1">
        <f t="shared" si="11"/>
        <v>3778.72</v>
      </c>
      <c r="Q120" s="1" t="s">
        <v>23</v>
      </c>
      <c r="R120" s="1">
        <v>7</v>
      </c>
      <c r="S120" s="1">
        <f t="shared" si="9"/>
        <v>51988.831428571422</v>
      </c>
      <c r="T120" s="1">
        <f t="shared" si="12"/>
        <v>12893.230194285712</v>
      </c>
      <c r="V120" s="1">
        <v>85942</v>
      </c>
      <c r="W120" s="12">
        <v>0.1043</v>
      </c>
    </row>
    <row r="121" spans="1:23">
      <c r="A121" t="s">
        <v>26</v>
      </c>
      <c r="B121" t="s">
        <v>27</v>
      </c>
      <c r="C121" s="2">
        <v>44133</v>
      </c>
      <c r="D121">
        <v>400000</v>
      </c>
      <c r="E121" s="10">
        <f>SUM($H$32:$H$60)</f>
        <v>376043.12999999995</v>
      </c>
      <c r="F121" s="13">
        <f>40/31*29/40</f>
        <v>0.93548387096774199</v>
      </c>
      <c r="G121" s="13">
        <f t="shared" si="13"/>
        <v>0.9401078249999999</v>
      </c>
      <c r="H121" s="11">
        <v>12121.31</v>
      </c>
      <c r="I121" s="1">
        <f t="shared" si="8"/>
        <v>3006.0848799999999</v>
      </c>
      <c r="J121" s="1">
        <v>9.6000000000000002E-2</v>
      </c>
      <c r="K121" s="1">
        <v>2212</v>
      </c>
      <c r="L121" s="1">
        <f t="shared" si="10"/>
        <v>34573.560000000005</v>
      </c>
      <c r="M121" s="1">
        <v>424</v>
      </c>
      <c r="N121" s="1">
        <f t="shared" si="11"/>
        <v>3544.64</v>
      </c>
      <c r="Q121" s="1" t="s">
        <v>23</v>
      </c>
      <c r="R121" s="1">
        <v>7</v>
      </c>
      <c r="S121" s="1">
        <f t="shared" si="9"/>
        <v>53720.447142857134</v>
      </c>
      <c r="T121" s="1">
        <f t="shared" si="12"/>
        <v>13322.67089142857</v>
      </c>
      <c r="V121" s="1">
        <v>96227</v>
      </c>
      <c r="W121" s="12">
        <v>5.8799999999999998E-2</v>
      </c>
    </row>
    <row r="122" spans="1:23">
      <c r="A122" t="s">
        <v>26</v>
      </c>
      <c r="B122" t="s">
        <v>27</v>
      </c>
      <c r="C122" s="2">
        <v>44134</v>
      </c>
      <c r="D122">
        <v>400000</v>
      </c>
      <c r="E122" s="10">
        <f>SUM($H$32:$H$61)</f>
        <v>390184.25999999995</v>
      </c>
      <c r="F122" s="13">
        <f>40/31*30/40</f>
        <v>0.967741935483871</v>
      </c>
      <c r="G122" s="13">
        <f t="shared" si="13"/>
        <v>0.97546064999999993</v>
      </c>
      <c r="H122" s="11">
        <v>14141.13</v>
      </c>
      <c r="I122" s="1">
        <f t="shared" si="8"/>
        <v>3507.0002399999998</v>
      </c>
      <c r="J122" s="1">
        <v>9.6000000000000002E-2</v>
      </c>
      <c r="K122" s="1">
        <v>2100</v>
      </c>
      <c r="L122" s="1">
        <f t="shared" si="10"/>
        <v>32823</v>
      </c>
      <c r="M122" s="1">
        <v>416</v>
      </c>
      <c r="N122" s="1">
        <f t="shared" si="11"/>
        <v>3477.7599999999998</v>
      </c>
      <c r="Q122" s="1" t="s">
        <v>23</v>
      </c>
      <c r="R122" s="1">
        <v>7</v>
      </c>
      <c r="S122" s="1">
        <f t="shared" si="9"/>
        <v>55740.608571428565</v>
      </c>
      <c r="T122" s="1">
        <f t="shared" si="12"/>
        <v>13823.670925714285</v>
      </c>
      <c r="V122" s="1">
        <v>79047</v>
      </c>
      <c r="W122" s="12">
        <v>5.8799999999999998E-2</v>
      </c>
    </row>
    <row r="123" spans="1:23">
      <c r="A123" t="s">
        <v>26</v>
      </c>
      <c r="B123" t="s">
        <v>27</v>
      </c>
      <c r="C123" s="2">
        <v>44135</v>
      </c>
      <c r="D123">
        <v>400000</v>
      </c>
      <c r="E123" s="10">
        <f>SUM($H$32:$H$62)</f>
        <v>403058.74999999994</v>
      </c>
      <c r="F123" s="13">
        <f>40/31*31/40</f>
        <v>1</v>
      </c>
      <c r="G123" s="13">
        <f t="shared" si="13"/>
        <v>1.0076468749999998</v>
      </c>
      <c r="H123" s="4">
        <v>12874.49</v>
      </c>
      <c r="I123" s="1">
        <f t="shared" si="8"/>
        <v>3192.8735200000001</v>
      </c>
      <c r="J123" s="1">
        <v>0.76700000000000002</v>
      </c>
      <c r="K123" s="1">
        <v>2400</v>
      </c>
      <c r="L123" s="1">
        <f t="shared" si="10"/>
        <v>37512</v>
      </c>
      <c r="M123" s="1">
        <v>390</v>
      </c>
      <c r="N123" s="1">
        <f t="shared" si="11"/>
        <v>3260.3999999999996</v>
      </c>
      <c r="Q123" s="1" t="s">
        <v>23</v>
      </c>
      <c r="R123" s="1">
        <v>7</v>
      </c>
      <c r="S123" s="1">
        <f t="shared" si="9"/>
        <v>57579.82142857142</v>
      </c>
      <c r="T123" s="1">
        <f t="shared" si="12"/>
        <v>14279.795714285712</v>
      </c>
      <c r="V123" s="1">
        <v>96227</v>
      </c>
      <c r="W123" s="1" t="s">
        <v>25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X_Jun</dc:creator>
  <cp:lastModifiedBy>WANG</cp:lastModifiedBy>
  <dcterms:created xsi:type="dcterms:W3CDTF">2015-06-05T18:19:34Z</dcterms:created>
  <dcterms:modified xsi:type="dcterms:W3CDTF">2020-11-02T14:28:34Z</dcterms:modified>
</cp:coreProperties>
</file>