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go\Documents\CROWD FUNDING\conti\"/>
    </mc:Choice>
  </mc:AlternateContent>
  <xr:revisionPtr revIDLastSave="0" documentId="12_ncr:500000_{767EF6D0-FEEA-4F66-916C-03E5232B4F2A}" xr6:coauthVersionLast="31" xr6:coauthVersionMax="31" xr10:uidLastSave="{00000000-0000-0000-0000-000000000000}"/>
  <bookViews>
    <workbookView minimized="1" xWindow="0" yWindow="0" windowWidth="28005" windowHeight="11250" activeTab="6" xr2:uid="{00000000-000D-0000-FFFF-FFFF00000000}"/>
  </bookViews>
  <sheets>
    <sheet name="Foglio1" sheetId="1" r:id="rId1"/>
    <sheet name="Foglio2" sheetId="5" r:id="rId2"/>
    <sheet name="sintetico" sheetId="2" r:id="rId3"/>
    <sheet name="BUDGET1" sheetId="3" r:id="rId4"/>
    <sheet name="Multipli 1" sheetId="4" r:id="rId5"/>
    <sheet name="sintetico (2)" sheetId="8" r:id="rId6"/>
    <sheet name="BUDGET(2)" sheetId="6" r:id="rId7"/>
    <sheet name="Multipli(2)" sheetId="7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8" l="1"/>
  <c r="D8" i="8"/>
  <c r="D5" i="8"/>
  <c r="E10" i="7"/>
  <c r="G14" i="7"/>
  <c r="J14" i="7" s="1"/>
  <c r="F14" i="7"/>
  <c r="I14" i="7" s="1"/>
  <c r="E14" i="7"/>
  <c r="H14" i="7" s="1"/>
  <c r="G13" i="7"/>
  <c r="J13" i="7" s="1"/>
  <c r="F13" i="7"/>
  <c r="I13" i="7" s="1"/>
  <c r="E13" i="7"/>
  <c r="H13" i="7" s="1"/>
  <c r="G12" i="7"/>
  <c r="J12" i="7" s="1"/>
  <c r="F12" i="7"/>
  <c r="I12" i="7" s="1"/>
  <c r="E12" i="7"/>
  <c r="H12" i="7" s="1"/>
  <c r="G11" i="7"/>
  <c r="J11" i="7" s="1"/>
  <c r="F11" i="7"/>
  <c r="I11" i="7" s="1"/>
  <c r="E11" i="7"/>
  <c r="H11" i="7" s="1"/>
  <c r="G10" i="7"/>
  <c r="J10" i="7" s="1"/>
  <c r="F10" i="7"/>
  <c r="I10" i="7" s="1"/>
  <c r="H10" i="7"/>
  <c r="G7" i="7"/>
  <c r="J7" i="7" s="1"/>
  <c r="F7" i="7"/>
  <c r="I7" i="7" s="1"/>
  <c r="E7" i="7"/>
  <c r="H7" i="7" s="1"/>
  <c r="H6" i="7"/>
  <c r="G6" i="7"/>
  <c r="J6" i="7" s="1"/>
  <c r="F6" i="7"/>
  <c r="I6" i="7" s="1"/>
  <c r="E6" i="7"/>
  <c r="G5" i="7"/>
  <c r="J5" i="7" s="1"/>
  <c r="F5" i="7"/>
  <c r="I5" i="7" s="1"/>
  <c r="E5" i="7"/>
  <c r="H5" i="7" s="1"/>
  <c r="G4" i="7"/>
  <c r="J4" i="7" s="1"/>
  <c r="F4" i="7"/>
  <c r="I4" i="7" s="1"/>
  <c r="E4" i="7"/>
  <c r="H4" i="7" s="1"/>
  <c r="G3" i="7"/>
  <c r="J3" i="7" s="1"/>
  <c r="F3" i="7"/>
  <c r="I3" i="7" s="1"/>
  <c r="E3" i="7"/>
  <c r="H3" i="7" s="1"/>
  <c r="D21" i="6"/>
  <c r="D22" i="6" s="1"/>
  <c r="D16" i="6"/>
  <c r="I12" i="6"/>
  <c r="H12" i="6"/>
  <c r="G12" i="6"/>
  <c r="F12" i="6"/>
  <c r="E12" i="6"/>
  <c r="E11" i="6"/>
  <c r="D11" i="6"/>
  <c r="F6" i="6"/>
  <c r="G6" i="6" s="1"/>
  <c r="F4" i="6"/>
  <c r="G4" i="6" s="1"/>
  <c r="H4" i="6" s="1"/>
  <c r="I4" i="6" s="1"/>
  <c r="D2" i="6"/>
  <c r="D5" i="6" s="1"/>
  <c r="F10" i="8" l="1"/>
  <c r="F16" i="8" s="1"/>
  <c r="H6" i="6"/>
  <c r="G11" i="6"/>
  <c r="F11" i="6"/>
  <c r="E2" i="6"/>
  <c r="B15" i="5"/>
  <c r="C15" i="2"/>
  <c r="F2" i="6" l="1"/>
  <c r="E5" i="6"/>
  <c r="E9" i="6" s="1"/>
  <c r="H11" i="6"/>
  <c r="I6" i="6"/>
  <c r="I11" i="6" s="1"/>
  <c r="D8" i="2"/>
  <c r="C14" i="2"/>
  <c r="J12" i="4"/>
  <c r="H13" i="4"/>
  <c r="I13" i="4"/>
  <c r="J10" i="4"/>
  <c r="H10" i="4"/>
  <c r="E11" i="4"/>
  <c r="H11" i="4" s="1"/>
  <c r="F11" i="4"/>
  <c r="I11" i="4" s="1"/>
  <c r="G11" i="4"/>
  <c r="J11" i="4" s="1"/>
  <c r="E12" i="4"/>
  <c r="H12" i="4" s="1"/>
  <c r="F12" i="4"/>
  <c r="I12" i="4" s="1"/>
  <c r="G12" i="4"/>
  <c r="E13" i="4"/>
  <c r="F13" i="4"/>
  <c r="G13" i="4"/>
  <c r="J13" i="4" s="1"/>
  <c r="E14" i="4"/>
  <c r="H14" i="4" s="1"/>
  <c r="F14" i="4"/>
  <c r="I14" i="4" s="1"/>
  <c r="G14" i="4"/>
  <c r="J14" i="4" s="1"/>
  <c r="F10" i="4"/>
  <c r="I10" i="4" s="1"/>
  <c r="G10" i="4"/>
  <c r="E10" i="4"/>
  <c r="E4" i="4"/>
  <c r="H4" i="4" s="1"/>
  <c r="E3" i="4"/>
  <c r="H3" i="4" s="1"/>
  <c r="J3" i="4"/>
  <c r="I4" i="4"/>
  <c r="J4" i="4"/>
  <c r="I5" i="4"/>
  <c r="J5" i="4"/>
  <c r="I7" i="4"/>
  <c r="J7" i="4"/>
  <c r="H5" i="4"/>
  <c r="H6" i="4"/>
  <c r="H7" i="4"/>
  <c r="F3" i="4"/>
  <c r="I3" i="4" s="1"/>
  <c r="G3" i="4"/>
  <c r="F4" i="4"/>
  <c r="G4" i="4"/>
  <c r="F5" i="4"/>
  <c r="G5" i="4"/>
  <c r="F6" i="4"/>
  <c r="I6" i="4" s="1"/>
  <c r="G6" i="4"/>
  <c r="J6" i="4" s="1"/>
  <c r="F7" i="4"/>
  <c r="G7" i="4"/>
  <c r="E5" i="4"/>
  <c r="E6" i="4"/>
  <c r="E7" i="4"/>
  <c r="F4" i="3"/>
  <c r="G4" i="3" s="1"/>
  <c r="H4" i="3" s="1"/>
  <c r="I4" i="3" s="1"/>
  <c r="F5" i="6" l="1"/>
  <c r="F9" i="6" s="1"/>
  <c r="G2" i="6"/>
  <c r="E14" i="6"/>
  <c r="E21" i="6"/>
  <c r="E22" i="6" s="1"/>
  <c r="E13" i="6"/>
  <c r="D16" i="3"/>
  <c r="I12" i="3"/>
  <c r="H12" i="3"/>
  <c r="G12" i="3"/>
  <c r="F12" i="3"/>
  <c r="E12" i="3"/>
  <c r="E11" i="3"/>
  <c r="D11" i="3"/>
  <c r="D21" i="3" s="1"/>
  <c r="D22" i="3" s="1"/>
  <c r="F6" i="3"/>
  <c r="F11" i="3" s="1"/>
  <c r="D2" i="3"/>
  <c r="D5" i="3" s="1"/>
  <c r="E18" i="6" l="1"/>
  <c r="F17" i="6" s="1"/>
  <c r="E20" i="6"/>
  <c r="E15" i="6"/>
  <c r="E16" i="6" s="1"/>
  <c r="G5" i="6"/>
  <c r="G9" i="6" s="1"/>
  <c r="H2" i="6"/>
  <c r="F14" i="6"/>
  <c r="F13" i="6"/>
  <c r="E2" i="3"/>
  <c r="G6" i="3"/>
  <c r="D5" i="2"/>
  <c r="G6" i="2" s="1"/>
  <c r="I2" i="6" l="1"/>
  <c r="I5" i="6" s="1"/>
  <c r="I9" i="6" s="1"/>
  <c r="H5" i="6"/>
  <c r="H9" i="6" s="1"/>
  <c r="F15" i="6"/>
  <c r="F16" i="6" s="1"/>
  <c r="F18" i="6"/>
  <c r="G13" i="6"/>
  <c r="G14" i="6"/>
  <c r="E5" i="3"/>
  <c r="E9" i="3" s="1"/>
  <c r="E21" i="3" s="1"/>
  <c r="F2" i="3"/>
  <c r="H6" i="3"/>
  <c r="G11" i="3"/>
  <c r="G12" i="1"/>
  <c r="G4" i="1"/>
  <c r="I8" i="1" s="1"/>
  <c r="G15" i="6" l="1"/>
  <c r="G16" i="6" s="1"/>
  <c r="H13" i="6"/>
  <c r="H14" i="6"/>
  <c r="F19" i="6"/>
  <c r="G17" i="6"/>
  <c r="G18" i="6" s="1"/>
  <c r="I13" i="6"/>
  <c r="I14" i="6"/>
  <c r="G2" i="3"/>
  <c r="F5" i="3"/>
  <c r="F9" i="3" s="1"/>
  <c r="E14" i="3"/>
  <c r="E22" i="3"/>
  <c r="E13" i="3"/>
  <c r="I6" i="3"/>
  <c r="I11" i="3" s="1"/>
  <c r="H11" i="3"/>
  <c r="I17" i="1"/>
  <c r="I28" i="1" s="1"/>
  <c r="E28" i="1"/>
  <c r="G19" i="6" l="1"/>
  <c r="H17" i="6"/>
  <c r="H18" i="6" s="1"/>
  <c r="H15" i="6"/>
  <c r="H16" i="6" s="1"/>
  <c r="F21" i="6"/>
  <c r="F22" i="6" s="1"/>
  <c r="F20" i="6"/>
  <c r="I15" i="6"/>
  <c r="I16" i="6" s="1"/>
  <c r="H2" i="3"/>
  <c r="G5" i="3"/>
  <c r="G9" i="3" s="1"/>
  <c r="F14" i="3"/>
  <c r="F13" i="3"/>
  <c r="E20" i="3"/>
  <c r="E15" i="3"/>
  <c r="E16" i="3" s="1"/>
  <c r="E18" i="3"/>
  <c r="F17" i="3" s="1"/>
  <c r="H19" i="6" l="1"/>
  <c r="I17" i="6"/>
  <c r="I18" i="6" s="1"/>
  <c r="I19" i="6" s="1"/>
  <c r="G21" i="6"/>
  <c r="G22" i="6" s="1"/>
  <c r="G20" i="6"/>
  <c r="F18" i="3"/>
  <c r="I2" i="3"/>
  <c r="I5" i="3" s="1"/>
  <c r="I9" i="3" s="1"/>
  <c r="H5" i="3"/>
  <c r="H9" i="3" s="1"/>
  <c r="F15" i="3"/>
  <c r="F16" i="3" s="1"/>
  <c r="G14" i="3"/>
  <c r="G13" i="3"/>
  <c r="I21" i="6" l="1"/>
  <c r="I20" i="6"/>
  <c r="H21" i="6"/>
  <c r="H22" i="6" s="1"/>
  <c r="H20" i="6"/>
  <c r="I13" i="3"/>
  <c r="I14" i="3"/>
  <c r="G15" i="3"/>
  <c r="G16" i="3" s="1"/>
  <c r="F19" i="3"/>
  <c r="G17" i="3"/>
  <c r="G18" i="3" s="1"/>
  <c r="H14" i="3"/>
  <c r="H13" i="3"/>
  <c r="I22" i="6" l="1"/>
  <c r="F20" i="3"/>
  <c r="F21" i="3"/>
  <c r="F22" i="3" s="1"/>
  <c r="H17" i="3"/>
  <c r="H18" i="3" s="1"/>
  <c r="H15" i="3"/>
  <c r="H16" i="3" s="1"/>
  <c r="I15" i="3"/>
  <c r="I16" i="3" s="1"/>
  <c r="G19" i="3" l="1"/>
  <c r="I17" i="3"/>
  <c r="G20" i="3" l="1"/>
  <c r="G21" i="3"/>
  <c r="G22" i="3" s="1"/>
  <c r="I18" i="3"/>
  <c r="I19" i="3" s="1"/>
  <c r="H19" i="3"/>
  <c r="I20" i="3" l="1"/>
  <c r="I21" i="3"/>
  <c r="H20" i="3"/>
  <c r="H21" i="3"/>
  <c r="H22" i="3" s="1"/>
  <c r="I22" i="3" l="1"/>
  <c r="F10" i="2"/>
  <c r="F15" i="2" s="1"/>
</calcChain>
</file>

<file path=xl/sharedStrings.xml><?xml version="1.0" encoding="utf-8"?>
<sst xmlns="http://schemas.openxmlformats.org/spreadsheetml/2006/main" count="177" uniqueCount="97">
  <si>
    <t>Contabilità annua</t>
  </si>
  <si>
    <t>Programmazione sito</t>
  </si>
  <si>
    <t>Relazione annuale Consob su offerte ed esiti</t>
  </si>
  <si>
    <t>Relazione annuale Consob su modifica organizzativa</t>
  </si>
  <si>
    <t>Apertura SRL / notaio</t>
  </si>
  <si>
    <t>Adempimenti societari iniziali</t>
  </si>
  <si>
    <t>Costi annui (running):</t>
  </si>
  <si>
    <t>Costi one-off:</t>
  </si>
  <si>
    <t>€</t>
  </si>
  <si>
    <t>Relazioni Compliance</t>
  </si>
  <si>
    <t>Profilazione Mifid e adeguatezza per gli utilizzatori</t>
  </si>
  <si>
    <t>Totale</t>
  </si>
  <si>
    <t>Marketing e/o promozione</t>
  </si>
  <si>
    <t>Rendimento annuo necessario</t>
  </si>
  <si>
    <t>Sottoscrizioni annue necessarie</t>
  </si>
  <si>
    <t>Tasso di rendimento sito</t>
  </si>
  <si>
    <t>equivalente a annui:</t>
  </si>
  <si>
    <t>Due diligence esterna</t>
  </si>
  <si>
    <t>Provider</t>
  </si>
  <si>
    <t>Generali</t>
  </si>
  <si>
    <t>Nicola Di Matteo</t>
  </si>
  <si>
    <t>Giulia Borrini</t>
  </si>
  <si>
    <t>Paolo Cristin</t>
  </si>
  <si>
    <t>Project management (proporzionale)</t>
  </si>
  <si>
    <t>Update sito annuo (proporzionale)</t>
  </si>
  <si>
    <t>KPMG</t>
  </si>
  <si>
    <t>PC GB</t>
  </si>
  <si>
    <t>PC GB NDM Avv??</t>
  </si>
  <si>
    <t>Estrazione e aggregazione dati x Relazione annuale Consob su offerte ed esiti</t>
  </si>
  <si>
    <t>Informativa Conflitto di interessi</t>
  </si>
  <si>
    <t>Descrizione offerta</t>
  </si>
  <si>
    <t>Descrizione rischio</t>
  </si>
  <si>
    <t>Storage dati 12 m (pubblicati 12 m e conservati 5 anni)</t>
  </si>
  <si>
    <t>Reg.Consob</t>
  </si>
  <si>
    <t>Allegato 1</t>
  </si>
  <si>
    <t>Allegato 2</t>
  </si>
  <si>
    <t>Domanda di iscrizione</t>
  </si>
  <si>
    <t>Art.4-6</t>
  </si>
  <si>
    <t>Redazione relazione sull'attività e organizzazione</t>
  </si>
  <si>
    <t>tempi</t>
  </si>
  <si>
    <t>Art 7 bis e art 59 TUF</t>
  </si>
  <si>
    <t>Polizza Rc per danni al cliente derivanti da att.professionale (20k€/indennizzo e 1000.k€/anno)</t>
  </si>
  <si>
    <t>Art 13</t>
  </si>
  <si>
    <t>Tasso di rendimento atteso annuo</t>
  </si>
  <si>
    <t xml:space="preserve"> sull'investimento iniziale</t>
  </si>
  <si>
    <t>per coprire spese running e Rend. atteso</t>
  </si>
  <si>
    <t xml:space="preserve"> </t>
  </si>
  <si>
    <t>Adempimenti societari iniziali SRL e CONSOB</t>
  </si>
  <si>
    <t>Relazioni annue Consob Mifid Compliance</t>
  </si>
  <si>
    <t>Spazio server (proporzionale)</t>
  </si>
  <si>
    <t>Costi annui (running)</t>
  </si>
  <si>
    <t>Costi one-off</t>
  </si>
  <si>
    <t>Polizza Rc per danni al cliente (20k€/indennizzo e 1000.k€/anno)</t>
  </si>
  <si>
    <t>equivalente a:</t>
  </si>
  <si>
    <t>Mercato equity crowd funding</t>
  </si>
  <si>
    <t>Crescita annua</t>
  </si>
  <si>
    <t>Quota mercato della startup</t>
  </si>
  <si>
    <t>Raccolta</t>
  </si>
  <si>
    <t>Spese per personale</t>
  </si>
  <si>
    <t>Spese amministrative correnti</t>
  </si>
  <si>
    <t>Commissioni di collocamento</t>
  </si>
  <si>
    <t>Ricavi da Commissioni attive</t>
  </si>
  <si>
    <t>Costi iniziali di costituzione</t>
  </si>
  <si>
    <t>Costi ricorrenti</t>
  </si>
  <si>
    <t>Ammortamento spese costituzione</t>
  </si>
  <si>
    <t>EBITDA</t>
  </si>
  <si>
    <t>Risultato Lordo</t>
  </si>
  <si>
    <t>Imponibile</t>
  </si>
  <si>
    <t>Imposte dell'anno teoriche</t>
  </si>
  <si>
    <t>Perdite pregresse residue</t>
  </si>
  <si>
    <t>Imposte dell'anno effettivamente da pagare</t>
  </si>
  <si>
    <t>Risultato netto</t>
  </si>
  <si>
    <t>Cash Flow</t>
  </si>
  <si>
    <t>Cash Flow cumulato</t>
  </si>
  <si>
    <t>Perdite pregresse da compensare/utilizzare</t>
  </si>
  <si>
    <t>Quota di mercato (ipotesi)</t>
  </si>
  <si>
    <t>Impiego massimo di cassa</t>
  </si>
  <si>
    <t>EBITDA 2023</t>
  </si>
  <si>
    <t>Multiplo EBITDA = Enterprise Value</t>
  </si>
  <si>
    <t>Tasso interno Rendimento</t>
  </si>
  <si>
    <t>Altri costi</t>
  </si>
  <si>
    <t>Startsup</t>
  </si>
  <si>
    <t>Unicaseed</t>
  </si>
  <si>
    <t>Action Crowd</t>
  </si>
  <si>
    <t>Next Equity</t>
  </si>
  <si>
    <t>CFMe</t>
  </si>
  <si>
    <t>200Crowd</t>
  </si>
  <si>
    <t>Investire</t>
  </si>
  <si>
    <t>WeAreStarting</t>
  </si>
  <si>
    <t>Equinvest</t>
  </si>
  <si>
    <t>Opstart</t>
  </si>
  <si>
    <t>Muum Lab</t>
  </si>
  <si>
    <t>Mama Crowd</t>
  </si>
  <si>
    <t>Cofyp</t>
  </si>
  <si>
    <t>€mln</t>
  </si>
  <si>
    <t>netto dal retrocesso soci</t>
  </si>
  <si>
    <t>Personale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</si>
</sst>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Border="1"/>
    <xf numFmtId="0" fontId="4" fillId="0" borderId="0" xfId="0" applyFont="1"/>
    <xf numFmtId="164" fontId="4" fillId="0" borderId="2" xfId="1" applyNumberFormat="1" applyFont="1" applyBorder="1"/>
    <xf numFmtId="0" fontId="0" fillId="0" borderId="10" xfId="0" applyBorder="1"/>
    <xf numFmtId="0" fontId="0" fillId="0" borderId="9" xfId="0" applyBorder="1"/>
    <xf numFmtId="0" fontId="0" fillId="0" borderId="12" xfId="0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9" xfId="0" applyFont="1" applyBorder="1"/>
    <xf numFmtId="164" fontId="4" fillId="0" borderId="0" xfId="1" applyNumberFormat="1" applyFont="1" applyBorder="1"/>
    <xf numFmtId="9" fontId="2" fillId="3" borderId="9" xfId="0" applyNumberFormat="1" applyFont="1" applyFill="1" applyBorder="1"/>
    <xf numFmtId="164" fontId="2" fillId="3" borderId="2" xfId="1" applyNumberFormat="1" applyFont="1" applyFill="1" applyBorder="1"/>
    <xf numFmtId="164" fontId="2" fillId="4" borderId="2" xfId="0" applyNumberFormat="1" applyFont="1" applyFill="1" applyBorder="1"/>
    <xf numFmtId="9" fontId="2" fillId="4" borderId="2" xfId="2" applyFont="1" applyFill="1" applyBorder="1"/>
    <xf numFmtId="0" fontId="4" fillId="5" borderId="0" xfId="0" applyFont="1" applyFill="1" applyAlignment="1">
      <alignment horizontal="center"/>
    </xf>
    <xf numFmtId="164" fontId="4" fillId="5" borderId="0" xfId="1" applyNumberFormat="1" applyFont="1" applyFill="1" applyAlignment="1">
      <alignment horizontal="center"/>
    </xf>
    <xf numFmtId="164" fontId="5" fillId="5" borderId="0" xfId="1" applyNumberFormat="1" applyFont="1" applyFill="1"/>
    <xf numFmtId="0" fontId="3" fillId="5" borderId="9" xfId="0" applyFont="1" applyFill="1" applyBorder="1"/>
    <xf numFmtId="0" fontId="3" fillId="5" borderId="0" xfId="0" applyFont="1" applyFill="1" applyBorder="1"/>
    <xf numFmtId="0" fontId="0" fillId="5" borderId="0" xfId="0" applyFill="1" applyBorder="1"/>
    <xf numFmtId="164" fontId="3" fillId="5" borderId="11" xfId="1" applyNumberFormat="1" applyFont="1" applyFill="1" applyBorder="1"/>
    <xf numFmtId="0" fontId="3" fillId="5" borderId="1" xfId="0" applyFont="1" applyFill="1" applyBorder="1"/>
    <xf numFmtId="0" fontId="0" fillId="5" borderId="1" xfId="0" applyFill="1" applyBorder="1"/>
    <xf numFmtId="164" fontId="4" fillId="6" borderId="2" xfId="1" applyNumberFormat="1" applyFont="1" applyFill="1" applyBorder="1"/>
    <xf numFmtId="0" fontId="4" fillId="5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0" fillId="5" borderId="0" xfId="0" applyFont="1" applyFill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4" fillId="0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4" fillId="0" borderId="0" xfId="0" applyFont="1" applyBorder="1"/>
    <xf numFmtId="164" fontId="4" fillId="0" borderId="7" xfId="0" applyNumberFormat="1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4" fontId="4" fillId="6" borderId="3" xfId="1" applyNumberFormat="1" applyFont="1" applyFill="1" applyBorder="1" applyAlignment="1">
      <alignment vertical="center"/>
    </xf>
    <xf numFmtId="164" fontId="4" fillId="6" borderId="4" xfId="1" applyNumberFormat="1" applyFont="1" applyFill="1" applyBorder="1" applyAlignment="1">
      <alignment vertical="center"/>
    </xf>
    <xf numFmtId="164" fontId="4" fillId="6" borderId="5" xfId="1" applyNumberFormat="1" applyFont="1" applyFill="1" applyBorder="1" applyAlignment="1">
      <alignment vertical="center"/>
    </xf>
    <xf numFmtId="0" fontId="0" fillId="7" borderId="0" xfId="0" applyFill="1" applyBorder="1"/>
    <xf numFmtId="0" fontId="2" fillId="7" borderId="0" xfId="0" applyFont="1" applyFill="1" applyBorder="1"/>
    <xf numFmtId="0" fontId="4" fillId="7" borderId="0" xfId="0" applyFont="1" applyFill="1" applyBorder="1"/>
    <xf numFmtId="0" fontId="3" fillId="7" borderId="0" xfId="0" applyFont="1" applyFill="1" applyBorder="1"/>
    <xf numFmtId="0" fontId="0" fillId="7" borderId="0" xfId="0" applyFill="1" applyBorder="1" applyAlignment="1">
      <alignment wrapText="1"/>
    </xf>
    <xf numFmtId="0" fontId="4" fillId="7" borderId="0" xfId="0" applyFont="1" applyFill="1" applyBorder="1" applyAlignment="1">
      <alignment horizontal="center" wrapText="1"/>
    </xf>
    <xf numFmtId="164" fontId="4" fillId="7" borderId="0" xfId="0" applyNumberFormat="1" applyFont="1" applyFill="1" applyBorder="1" applyAlignment="1">
      <alignment vertical="center"/>
    </xf>
    <xf numFmtId="0" fontId="4" fillId="9" borderId="0" xfId="0" applyFont="1" applyFill="1" applyBorder="1" applyAlignment="1">
      <alignment horizontal="center" wrapText="1"/>
    </xf>
    <xf numFmtId="0" fontId="4" fillId="9" borderId="0" xfId="0" applyFont="1" applyFill="1" applyBorder="1" applyAlignment="1">
      <alignment horizontal="center"/>
    </xf>
    <xf numFmtId="0" fontId="4" fillId="9" borderId="0" xfId="0" applyFont="1" applyFill="1" applyBorder="1"/>
    <xf numFmtId="9" fontId="2" fillId="7" borderId="2" xfId="0" applyNumberFormat="1" applyFont="1" applyFill="1" applyBorder="1"/>
    <xf numFmtId="9" fontId="2" fillId="10" borderId="2" xfId="2" applyFont="1" applyFill="1" applyBorder="1"/>
    <xf numFmtId="164" fontId="3" fillId="10" borderId="2" xfId="1" applyNumberFormat="1" applyFont="1" applyFill="1" applyBorder="1"/>
    <xf numFmtId="0" fontId="5" fillId="7" borderId="13" xfId="0" applyFont="1" applyFill="1" applyBorder="1" applyAlignment="1">
      <alignment wrapText="1"/>
    </xf>
    <xf numFmtId="164" fontId="4" fillId="7" borderId="14" xfId="0" applyNumberFormat="1" applyFont="1" applyFill="1" applyBorder="1" applyAlignment="1">
      <alignment vertical="center"/>
    </xf>
    <xf numFmtId="0" fontId="4" fillId="7" borderId="6" xfId="0" applyFont="1" applyFill="1" applyBorder="1" applyAlignment="1">
      <alignment wrapText="1"/>
    </xf>
    <xf numFmtId="0" fontId="4" fillId="7" borderId="9" xfId="0" applyFont="1" applyFill="1" applyBorder="1" applyAlignment="1">
      <alignment wrapText="1"/>
    </xf>
    <xf numFmtId="164" fontId="5" fillId="7" borderId="14" xfId="1" applyNumberFormat="1" applyFont="1" applyFill="1" applyBorder="1"/>
    <xf numFmtId="164" fontId="4" fillId="3" borderId="8" xfId="1" applyNumberFormat="1" applyFont="1" applyFill="1" applyBorder="1"/>
    <xf numFmtId="0" fontId="4" fillId="7" borderId="11" xfId="0" applyFont="1" applyFill="1" applyBorder="1" applyAlignment="1">
      <alignment wrapText="1"/>
    </xf>
    <xf numFmtId="164" fontId="4" fillId="3" borderId="12" xfId="1" applyNumberFormat="1" applyFont="1" applyFill="1" applyBorder="1"/>
    <xf numFmtId="164" fontId="0" fillId="11" borderId="0" xfId="1" applyNumberFormat="1" applyFont="1" applyFill="1"/>
    <xf numFmtId="164" fontId="8" fillId="11" borderId="0" xfId="1" applyNumberFormat="1" applyFont="1" applyFill="1"/>
    <xf numFmtId="9" fontId="0" fillId="3" borderId="0" xfId="2" applyFont="1" applyFill="1"/>
    <xf numFmtId="9" fontId="8" fillId="3" borderId="0" xfId="2" applyFont="1" applyFill="1"/>
    <xf numFmtId="9" fontId="0" fillId="11" borderId="0" xfId="2" applyFont="1" applyFill="1"/>
    <xf numFmtId="9" fontId="8" fillId="11" borderId="0" xfId="2" applyFont="1" applyFill="1"/>
    <xf numFmtId="164" fontId="0" fillId="7" borderId="0" xfId="1" applyNumberFormat="1" applyFont="1" applyFill="1"/>
    <xf numFmtId="164" fontId="8" fillId="7" borderId="0" xfId="1" applyNumberFormat="1" applyFont="1" applyFill="1"/>
    <xf numFmtId="164" fontId="6" fillId="3" borderId="1" xfId="1" applyNumberFormat="1" applyFont="1" applyFill="1" applyBorder="1"/>
    <xf numFmtId="164" fontId="7" fillId="3" borderId="1" xfId="1" applyNumberFormat="1" applyFont="1" applyFill="1" applyBorder="1"/>
    <xf numFmtId="9" fontId="6" fillId="11" borderId="0" xfId="2" applyFont="1" applyFill="1"/>
    <xf numFmtId="164" fontId="0" fillId="11" borderId="1" xfId="1" applyNumberFormat="1" applyFont="1" applyFill="1" applyBorder="1"/>
    <xf numFmtId="164" fontId="8" fillId="11" borderId="1" xfId="1" applyNumberFormat="1" applyFont="1" applyFill="1" applyBorder="1"/>
    <xf numFmtId="164" fontId="0" fillId="11" borderId="0" xfId="1" applyNumberFormat="1" applyFont="1" applyFill="1" applyBorder="1"/>
    <xf numFmtId="164" fontId="8" fillId="11" borderId="0" xfId="1" applyNumberFormat="1" applyFont="1" applyFill="1" applyBorder="1"/>
    <xf numFmtId="164" fontId="0" fillId="8" borderId="0" xfId="1" applyNumberFormat="1" applyFont="1" applyFill="1"/>
    <xf numFmtId="164" fontId="8" fillId="8" borderId="0" xfId="1" applyNumberFormat="1" applyFont="1" applyFill="1"/>
    <xf numFmtId="166" fontId="0" fillId="11" borderId="0" xfId="2" applyNumberFormat="1" applyFont="1" applyFill="1"/>
    <xf numFmtId="0" fontId="0" fillId="7" borderId="0" xfId="0" applyFill="1" applyAlignment="1">
      <alignment horizontal="center" vertical="center" wrapText="1"/>
    </xf>
    <xf numFmtId="0" fontId="0" fillId="7" borderId="0" xfId="0" applyFill="1"/>
    <xf numFmtId="0" fontId="0" fillId="7" borderId="7" xfId="0" applyFill="1" applyBorder="1"/>
    <xf numFmtId="0" fontId="0" fillId="7" borderId="1" xfId="0" applyFill="1" applyBorder="1"/>
    <xf numFmtId="164" fontId="0" fillId="7" borderId="7" xfId="1" applyNumberFormat="1" applyFont="1" applyFill="1" applyBorder="1"/>
    <xf numFmtId="164" fontId="0" fillId="7" borderId="1" xfId="1" applyNumberFormat="1" applyFont="1" applyFill="1" applyBorder="1"/>
    <xf numFmtId="164" fontId="0" fillId="7" borderId="6" xfId="1" applyNumberFormat="1" applyFont="1" applyFill="1" applyBorder="1"/>
    <xf numFmtId="164" fontId="0" fillId="7" borderId="8" xfId="1" applyNumberFormat="1" applyFont="1" applyFill="1" applyBorder="1"/>
    <xf numFmtId="0" fontId="0" fillId="7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9" fontId="0" fillId="7" borderId="6" xfId="2" applyFont="1" applyFill="1" applyBorder="1"/>
    <xf numFmtId="9" fontId="0" fillId="7" borderId="6" xfId="0" applyNumberFormat="1" applyFill="1" applyBorder="1"/>
    <xf numFmtId="9" fontId="0" fillId="7" borderId="3" xfId="2" applyFont="1" applyFill="1" applyBorder="1"/>
    <xf numFmtId="9" fontId="0" fillId="7" borderId="11" xfId="0" applyNumberFormat="1" applyFill="1" applyBorder="1"/>
    <xf numFmtId="0" fontId="0" fillId="7" borderId="3" xfId="0" applyFill="1" applyBorder="1" applyAlignment="1">
      <alignment vertical="center"/>
    </xf>
    <xf numFmtId="164" fontId="0" fillId="7" borderId="3" xfId="1" applyNumberFormat="1" applyFont="1" applyFill="1" applyBorder="1"/>
    <xf numFmtId="0" fontId="0" fillId="7" borderId="2" xfId="0" applyFill="1" applyBorder="1" applyAlignment="1">
      <alignment vertical="center"/>
    </xf>
    <xf numFmtId="0" fontId="0" fillId="12" borderId="7" xfId="0" applyFill="1" applyBorder="1"/>
    <xf numFmtId="9" fontId="0" fillId="12" borderId="6" xfId="0" applyNumberFormat="1" applyFill="1" applyBorder="1"/>
    <xf numFmtId="164" fontId="0" fillId="12" borderId="7" xfId="1" applyNumberFormat="1" applyFont="1" applyFill="1" applyBorder="1"/>
    <xf numFmtId="164" fontId="0" fillId="12" borderId="6" xfId="1" applyNumberFormat="1" applyFont="1" applyFill="1" applyBorder="1"/>
    <xf numFmtId="164" fontId="0" fillId="12" borderId="3" xfId="1" applyNumberFormat="1" applyFont="1" applyFill="1" applyBorder="1"/>
    <xf numFmtId="164" fontId="0" fillId="12" borderId="8" xfId="1" applyNumberFormat="1" applyFont="1" applyFill="1" applyBorder="1"/>
    <xf numFmtId="9" fontId="0" fillId="12" borderId="6" xfId="2" applyFont="1" applyFill="1" applyBorder="1"/>
    <xf numFmtId="9" fontId="0" fillId="12" borderId="3" xfId="2" applyFont="1" applyFill="1" applyBorder="1"/>
    <xf numFmtId="9" fontId="0" fillId="12" borderId="13" xfId="0" applyNumberFormat="1" applyFill="1" applyBorder="1"/>
    <xf numFmtId="164" fontId="0" fillId="12" borderId="15" xfId="1" applyNumberFormat="1" applyFont="1" applyFill="1" applyBorder="1"/>
    <xf numFmtId="0" fontId="0" fillId="12" borderId="15" xfId="0" applyFill="1" applyBorder="1"/>
    <xf numFmtId="164" fontId="0" fillId="12" borderId="13" xfId="1" applyNumberFormat="1" applyFont="1" applyFill="1" applyBorder="1"/>
    <xf numFmtId="164" fontId="0" fillId="12" borderId="2" xfId="1" applyNumberFormat="1" applyFont="1" applyFill="1" applyBorder="1"/>
    <xf numFmtId="164" fontId="0" fillId="12" borderId="14" xfId="1" applyNumberFormat="1" applyFont="1" applyFill="1" applyBorder="1"/>
    <xf numFmtId="9" fontId="0" fillId="12" borderId="13" xfId="2" applyFont="1" applyFill="1" applyBorder="1"/>
    <xf numFmtId="9" fontId="0" fillId="12" borderId="2" xfId="2" applyFont="1" applyFill="1" applyBorder="1"/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1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2" xfId="0" applyFill="1" applyBorder="1" applyAlignment="1">
      <alignment vertical="center"/>
    </xf>
    <xf numFmtId="164" fontId="7" fillId="7" borderId="0" xfId="1" applyNumberFormat="1" applyFont="1" applyFill="1"/>
    <xf numFmtId="164" fontId="6" fillId="7" borderId="0" xfId="1" applyNumberFormat="1" applyFont="1" applyFill="1"/>
    <xf numFmtId="165" fontId="3" fillId="7" borderId="1" xfId="1" applyNumberFormat="1" applyFont="1" applyFill="1" applyBorder="1" applyAlignment="1">
      <alignment horizontal="center"/>
    </xf>
    <xf numFmtId="9" fontId="0" fillId="3" borderId="0" xfId="2" applyFont="1" applyFill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4" fontId="4" fillId="2" borderId="8" xfId="1" applyNumberFormat="1" applyFont="1" applyFill="1" applyBorder="1" applyAlignment="1">
      <alignment vertical="center"/>
    </xf>
    <xf numFmtId="164" fontId="4" fillId="2" borderId="10" xfId="1" applyNumberFormat="1" applyFont="1" applyFill="1" applyBorder="1"/>
    <xf numFmtId="164" fontId="0" fillId="2" borderId="0" xfId="0" applyNumberFormat="1" applyFill="1" applyBorder="1"/>
    <xf numFmtId="0" fontId="0" fillId="2" borderId="0" xfId="0" applyFill="1" applyBorder="1"/>
    <xf numFmtId="43" fontId="0" fillId="0" borderId="0" xfId="1" applyFont="1"/>
    <xf numFmtId="0" fontId="0" fillId="9" borderId="0" xfId="0" applyFill="1"/>
    <xf numFmtId="43" fontId="0" fillId="9" borderId="0" xfId="1" applyFont="1" applyFill="1"/>
    <xf numFmtId="0" fontId="0" fillId="12" borderId="0" xfId="0" applyFill="1"/>
    <xf numFmtId="43" fontId="0" fillId="12" borderId="0" xfId="1" applyFont="1" applyFill="1"/>
    <xf numFmtId="43" fontId="0" fillId="12" borderId="0" xfId="1" applyFont="1" applyFill="1" applyAlignment="1">
      <alignment horizontal="center"/>
    </xf>
    <xf numFmtId="164" fontId="4" fillId="2" borderId="10" xfId="1" applyNumberFormat="1" applyFont="1" applyFill="1" applyBorder="1" applyAlignment="1">
      <alignment horizontal="center" vertical="center"/>
    </xf>
    <xf numFmtId="164" fontId="4" fillId="2" borderId="12" xfId="1" applyNumberFormat="1" applyFont="1" applyFill="1" applyBorder="1"/>
    <xf numFmtId="164" fontId="4" fillId="3" borderId="3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2" borderId="5" xfId="0" applyNumberFormat="1" applyFont="1" applyFill="1" applyBorder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/>
    </xf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78"/>
  <sheetViews>
    <sheetView workbookViewId="0">
      <selection activeCell="R8" sqref="R8"/>
    </sheetView>
  </sheetViews>
  <sheetFormatPr defaultRowHeight="15" x14ac:dyDescent="0.25"/>
  <cols>
    <col min="1" max="1" width="16.140625" style="29" customWidth="1"/>
    <col min="2" max="2" width="50.85546875" style="29" customWidth="1"/>
    <col min="3" max="3" width="20.7109375" style="29" hidden="1" customWidth="1"/>
    <col min="4" max="4" width="14.28515625" style="29" hidden="1" customWidth="1"/>
    <col min="5" max="5" width="11.85546875" bestFit="1" customWidth="1"/>
    <col min="6" max="6" width="4.140625" customWidth="1"/>
    <col min="7" max="7" width="11.5703125" bestFit="1" customWidth="1"/>
    <col min="8" max="8" width="4.85546875" customWidth="1"/>
    <col min="9" max="9" width="12.28515625" bestFit="1" customWidth="1"/>
    <col min="13" max="13" width="5.140625" customWidth="1"/>
    <col min="14" max="14" width="18.7109375" customWidth="1"/>
  </cols>
  <sheetData>
    <row r="3" spans="1:19" ht="21" x14ac:dyDescent="0.35">
      <c r="A3" s="28" t="s">
        <v>33</v>
      </c>
      <c r="B3" s="28" t="s">
        <v>7</v>
      </c>
      <c r="C3" s="28" t="s">
        <v>18</v>
      </c>
      <c r="D3" s="28" t="s">
        <v>39</v>
      </c>
      <c r="E3" s="18" t="s">
        <v>8</v>
      </c>
      <c r="F3" s="2"/>
      <c r="G3" s="2"/>
      <c r="N3" s="1"/>
    </row>
    <row r="4" spans="1:19" ht="21" x14ac:dyDescent="0.35">
      <c r="B4" s="30" t="s">
        <v>4</v>
      </c>
      <c r="C4" s="30" t="s">
        <v>22</v>
      </c>
      <c r="D4" s="31"/>
      <c r="E4" s="3">
        <v>2500</v>
      </c>
      <c r="F4" s="2"/>
      <c r="G4" s="146">
        <f>+SUM(E4:E9)</f>
        <v>10500</v>
      </c>
      <c r="I4" s="7" t="s">
        <v>43</v>
      </c>
      <c r="J4" s="8"/>
      <c r="K4" s="8"/>
      <c r="L4" s="8"/>
      <c r="M4" s="9"/>
      <c r="N4" s="10"/>
      <c r="O4" s="1"/>
      <c r="P4" s="1"/>
      <c r="Q4" s="1"/>
    </row>
    <row r="5" spans="1:19" ht="21" x14ac:dyDescent="0.35">
      <c r="A5" s="29" t="s">
        <v>37</v>
      </c>
      <c r="B5" s="30" t="s">
        <v>5</v>
      </c>
      <c r="C5" s="30" t="s">
        <v>22</v>
      </c>
      <c r="D5" s="31"/>
      <c r="E5" s="3">
        <v>600</v>
      </c>
      <c r="F5" s="2"/>
      <c r="G5" s="147"/>
      <c r="I5" s="12" t="s">
        <v>44</v>
      </c>
      <c r="J5" s="10"/>
      <c r="K5" s="10"/>
      <c r="L5" s="10"/>
      <c r="M5" s="11"/>
      <c r="N5" s="10"/>
      <c r="O5" s="1"/>
      <c r="P5" s="1"/>
      <c r="Q5" s="1"/>
      <c r="S5" t="s">
        <v>46</v>
      </c>
    </row>
    <row r="6" spans="1:19" ht="21" x14ac:dyDescent="0.35">
      <c r="A6" s="29" t="s">
        <v>34</v>
      </c>
      <c r="B6" s="30" t="s">
        <v>36</v>
      </c>
      <c r="C6" s="30" t="s">
        <v>26</v>
      </c>
      <c r="D6" s="31"/>
      <c r="E6" s="3">
        <v>400</v>
      </c>
      <c r="F6" s="2"/>
      <c r="G6" s="147"/>
      <c r="I6" s="14">
        <v>0.1</v>
      </c>
      <c r="J6" s="10"/>
      <c r="K6" s="10"/>
      <c r="L6" s="10"/>
      <c r="M6" s="11"/>
      <c r="N6" s="10"/>
      <c r="O6" s="1"/>
      <c r="P6" s="1"/>
      <c r="Q6" s="1"/>
    </row>
    <row r="7" spans="1:19" ht="21" x14ac:dyDescent="0.35">
      <c r="A7" s="29" t="s">
        <v>35</v>
      </c>
      <c r="B7" s="30" t="s">
        <v>38</v>
      </c>
      <c r="C7" s="30" t="s">
        <v>27</v>
      </c>
      <c r="D7" s="31"/>
      <c r="E7" s="3">
        <v>1000</v>
      </c>
      <c r="F7" s="2"/>
      <c r="G7" s="147"/>
      <c r="I7" s="12" t="s">
        <v>16</v>
      </c>
      <c r="J7" s="10"/>
      <c r="K7" s="10"/>
      <c r="L7" s="10"/>
      <c r="M7" s="11"/>
      <c r="N7" s="10"/>
      <c r="O7" s="1"/>
      <c r="P7" s="1"/>
      <c r="Q7" s="1"/>
    </row>
    <row r="8" spans="1:19" ht="21" x14ac:dyDescent="0.35">
      <c r="B8" s="30" t="s">
        <v>10</v>
      </c>
      <c r="C8" s="30" t="s">
        <v>27</v>
      </c>
      <c r="D8" s="31"/>
      <c r="E8" s="3">
        <v>1000</v>
      </c>
      <c r="F8" s="2"/>
      <c r="G8" s="147"/>
      <c r="I8" s="15">
        <f>+G4*I6</f>
        <v>1050</v>
      </c>
      <c r="J8" s="10"/>
      <c r="K8" s="10"/>
      <c r="L8" s="10"/>
      <c r="M8" s="11"/>
      <c r="N8" s="10"/>
      <c r="O8" s="1"/>
      <c r="P8" s="1"/>
      <c r="Q8" s="1"/>
    </row>
    <row r="9" spans="1:19" ht="21" x14ac:dyDescent="0.35">
      <c r="B9" s="30" t="s">
        <v>1</v>
      </c>
      <c r="C9" s="30" t="s">
        <v>20</v>
      </c>
      <c r="D9" s="31"/>
      <c r="E9" s="3">
        <v>5000</v>
      </c>
      <c r="F9" s="2"/>
      <c r="G9" s="147"/>
      <c r="I9" s="12"/>
      <c r="J9" s="10"/>
      <c r="K9" s="10"/>
      <c r="L9" s="10"/>
      <c r="M9" s="11"/>
      <c r="N9" s="10"/>
      <c r="O9" s="1"/>
      <c r="P9" s="1"/>
      <c r="Q9" s="1"/>
    </row>
    <row r="10" spans="1:19" ht="21" x14ac:dyDescent="0.35">
      <c r="B10" s="32"/>
      <c r="C10" s="32"/>
      <c r="D10" s="33"/>
      <c r="E10" s="13"/>
      <c r="F10" s="41"/>
      <c r="G10" s="42"/>
      <c r="I10" s="12"/>
      <c r="J10" s="10"/>
      <c r="K10" s="10"/>
      <c r="L10" s="10"/>
      <c r="M10" s="11"/>
      <c r="N10" s="10"/>
      <c r="O10" s="1"/>
      <c r="P10" s="1"/>
      <c r="Q10" s="1"/>
    </row>
    <row r="11" spans="1:19" ht="21" x14ac:dyDescent="0.35">
      <c r="B11" s="34" t="s">
        <v>6</v>
      </c>
      <c r="C11" s="34" t="s">
        <v>18</v>
      </c>
      <c r="D11" s="28"/>
      <c r="E11" s="19" t="s">
        <v>8</v>
      </c>
      <c r="F11" s="41"/>
      <c r="G11" s="43"/>
      <c r="I11" s="12"/>
      <c r="J11" s="10"/>
      <c r="K11" s="10"/>
      <c r="L11" s="10"/>
      <c r="M11" s="11"/>
      <c r="N11" s="10"/>
      <c r="O11" s="1"/>
      <c r="P11" s="1"/>
      <c r="Q11" s="1"/>
    </row>
    <row r="12" spans="1:19" ht="21" x14ac:dyDescent="0.35">
      <c r="B12" s="30" t="s">
        <v>3</v>
      </c>
      <c r="C12" s="30" t="s">
        <v>22</v>
      </c>
      <c r="D12" s="35"/>
      <c r="E12" s="44">
        <v>1000</v>
      </c>
      <c r="F12" s="2"/>
      <c r="G12" s="148">
        <f>+SUM(E12:E26)</f>
        <v>27000</v>
      </c>
      <c r="I12" s="12"/>
      <c r="J12" s="10"/>
      <c r="K12" s="10"/>
      <c r="L12" s="10"/>
      <c r="M12" s="11"/>
      <c r="N12" s="10"/>
      <c r="O12" s="1"/>
      <c r="P12" s="1"/>
      <c r="Q12" s="1"/>
    </row>
    <row r="13" spans="1:19" ht="31.5" x14ac:dyDescent="0.35">
      <c r="B13" s="30" t="s">
        <v>28</v>
      </c>
      <c r="C13" s="30" t="s">
        <v>20</v>
      </c>
      <c r="D13" s="36"/>
      <c r="E13" s="45">
        <v>1000</v>
      </c>
      <c r="F13" s="2"/>
      <c r="G13" s="149"/>
      <c r="I13" s="12"/>
      <c r="J13" s="10"/>
      <c r="K13" s="10"/>
      <c r="L13" s="10"/>
      <c r="M13" s="11"/>
      <c r="N13" s="10"/>
      <c r="O13" s="1"/>
      <c r="P13" s="1"/>
      <c r="Q13" s="1"/>
    </row>
    <row r="14" spans="1:19" ht="21" x14ac:dyDescent="0.35">
      <c r="B14" s="30" t="s">
        <v>2</v>
      </c>
      <c r="C14" s="30" t="s">
        <v>22</v>
      </c>
      <c r="D14" s="36"/>
      <c r="E14" s="45">
        <v>1000</v>
      </c>
      <c r="F14" s="2"/>
      <c r="G14" s="149"/>
      <c r="I14" s="12"/>
      <c r="J14" s="10"/>
      <c r="K14" s="10"/>
      <c r="L14" s="10"/>
      <c r="M14" s="11"/>
      <c r="N14" s="10"/>
      <c r="O14" s="1"/>
      <c r="P14" s="1"/>
      <c r="Q14" s="1"/>
    </row>
    <row r="15" spans="1:19" ht="21" x14ac:dyDescent="0.35">
      <c r="B15" s="30" t="s">
        <v>9</v>
      </c>
      <c r="C15" s="37" t="s">
        <v>21</v>
      </c>
      <c r="D15" s="36"/>
      <c r="E15" s="45">
        <v>1000</v>
      </c>
      <c r="F15" s="2"/>
      <c r="G15" s="149"/>
      <c r="I15" s="12" t="s">
        <v>13</v>
      </c>
      <c r="J15" s="10"/>
      <c r="K15" s="10"/>
      <c r="L15" s="10"/>
      <c r="M15" s="11"/>
      <c r="N15" s="10"/>
      <c r="O15" s="1"/>
      <c r="P15" s="1"/>
      <c r="Q15" s="1"/>
    </row>
    <row r="16" spans="1:19" ht="21" x14ac:dyDescent="0.35">
      <c r="B16" s="30" t="s">
        <v>10</v>
      </c>
      <c r="C16" s="30" t="s">
        <v>20</v>
      </c>
      <c r="D16" s="36"/>
      <c r="E16" s="46">
        <v>1000</v>
      </c>
      <c r="F16" s="2"/>
      <c r="G16" s="149"/>
      <c r="I16" s="12" t="s">
        <v>45</v>
      </c>
      <c r="J16" s="10"/>
      <c r="K16" s="10"/>
      <c r="L16" s="10"/>
      <c r="M16" s="11"/>
      <c r="N16" s="10"/>
      <c r="O16" s="1"/>
      <c r="P16" s="1"/>
      <c r="Q16" s="1"/>
    </row>
    <row r="17" spans="1:17" ht="21" x14ac:dyDescent="0.35">
      <c r="B17" s="30" t="s">
        <v>17</v>
      </c>
      <c r="C17" s="30" t="s">
        <v>25</v>
      </c>
      <c r="D17" s="31"/>
      <c r="E17" s="27">
        <v>2000</v>
      </c>
      <c r="F17" s="2"/>
      <c r="G17" s="149"/>
      <c r="I17" s="16">
        <f>+G12+I8</f>
        <v>28050</v>
      </c>
      <c r="J17" s="10"/>
      <c r="K17" s="10"/>
      <c r="L17" s="10"/>
      <c r="M17" s="11"/>
      <c r="N17" s="10"/>
      <c r="O17" s="1"/>
      <c r="P17" s="1"/>
      <c r="Q17" s="1"/>
    </row>
    <row r="18" spans="1:17" ht="21" x14ac:dyDescent="0.35">
      <c r="B18" s="30" t="s">
        <v>0</v>
      </c>
      <c r="C18" s="30" t="s">
        <v>22</v>
      </c>
      <c r="D18" s="31"/>
      <c r="E18" s="3">
        <v>6000</v>
      </c>
      <c r="F18" s="2"/>
      <c r="G18" s="149"/>
      <c r="I18" s="12" t="s">
        <v>15</v>
      </c>
      <c r="J18" s="10"/>
      <c r="K18" s="10"/>
      <c r="L18" s="10"/>
      <c r="M18" s="11"/>
      <c r="N18" s="10"/>
      <c r="O18" s="1"/>
      <c r="P18" s="1"/>
      <c r="Q18" s="1"/>
    </row>
    <row r="19" spans="1:17" ht="31.5" x14ac:dyDescent="0.35">
      <c r="A19" s="29" t="s">
        <v>40</v>
      </c>
      <c r="B19" s="30" t="s">
        <v>41</v>
      </c>
      <c r="C19" s="30" t="s">
        <v>19</v>
      </c>
      <c r="D19" s="31"/>
      <c r="E19" s="3">
        <v>3000</v>
      </c>
      <c r="F19" s="2"/>
      <c r="G19" s="149"/>
      <c r="I19" s="17">
        <v>0.05</v>
      </c>
      <c r="J19" s="10"/>
      <c r="K19" s="10"/>
      <c r="L19" s="10"/>
      <c r="M19" s="11"/>
      <c r="N19" s="10"/>
      <c r="O19" s="1"/>
      <c r="P19" s="1"/>
      <c r="Q19" s="1"/>
    </row>
    <row r="20" spans="1:17" ht="21" x14ac:dyDescent="0.35">
      <c r="B20" s="30" t="s">
        <v>24</v>
      </c>
      <c r="C20" s="30" t="s">
        <v>20</v>
      </c>
      <c r="D20" s="31"/>
      <c r="E20" s="3">
        <v>2000</v>
      </c>
      <c r="F20" s="2"/>
      <c r="G20" s="149"/>
      <c r="I20" s="12"/>
      <c r="J20" s="10"/>
      <c r="K20" s="10"/>
      <c r="L20" s="10"/>
      <c r="M20" s="11"/>
      <c r="N20" s="10"/>
      <c r="O20" s="1"/>
      <c r="P20" s="1"/>
      <c r="Q20" s="1"/>
    </row>
    <row r="21" spans="1:17" ht="21" x14ac:dyDescent="0.35">
      <c r="A21" s="29" t="s">
        <v>42</v>
      </c>
      <c r="B21" s="30" t="s">
        <v>29</v>
      </c>
      <c r="C21" s="37" t="s">
        <v>21</v>
      </c>
      <c r="D21" s="31"/>
      <c r="E21" s="3">
        <v>1000</v>
      </c>
      <c r="F21" s="2"/>
      <c r="G21" s="149"/>
      <c r="I21" s="12"/>
      <c r="J21" s="10"/>
      <c r="K21" s="10"/>
      <c r="L21" s="10"/>
      <c r="M21" s="11"/>
      <c r="N21" s="10"/>
      <c r="O21" s="1"/>
      <c r="P21" s="1"/>
      <c r="Q21" s="1"/>
    </row>
    <row r="22" spans="1:17" ht="21" x14ac:dyDescent="0.35">
      <c r="B22" s="30" t="s">
        <v>30</v>
      </c>
      <c r="C22" s="37" t="s">
        <v>21</v>
      </c>
      <c r="D22" s="31"/>
      <c r="E22" s="3">
        <v>1000</v>
      </c>
      <c r="F22" s="2"/>
      <c r="G22" s="149"/>
      <c r="I22" s="12"/>
      <c r="J22" s="10"/>
      <c r="K22" s="10"/>
      <c r="L22" s="10"/>
      <c r="M22" s="11"/>
      <c r="N22" s="10"/>
      <c r="O22" s="1"/>
      <c r="P22" s="1"/>
      <c r="Q22" s="1"/>
    </row>
    <row r="23" spans="1:17" ht="21" x14ac:dyDescent="0.35">
      <c r="B23" s="30" t="s">
        <v>31</v>
      </c>
      <c r="C23" s="37" t="s">
        <v>21</v>
      </c>
      <c r="D23" s="31"/>
      <c r="E23" s="3">
        <v>1000</v>
      </c>
      <c r="F23" s="2"/>
      <c r="G23" s="149"/>
      <c r="I23" s="12"/>
      <c r="J23" s="10"/>
      <c r="K23" s="10"/>
      <c r="L23" s="10"/>
      <c r="M23" s="11"/>
      <c r="N23" s="10"/>
      <c r="O23" s="1"/>
      <c r="P23" s="1"/>
      <c r="Q23" s="1"/>
    </row>
    <row r="24" spans="1:17" ht="21" x14ac:dyDescent="0.35">
      <c r="B24" s="30" t="s">
        <v>32</v>
      </c>
      <c r="C24" s="30" t="s">
        <v>20</v>
      </c>
      <c r="D24" s="31"/>
      <c r="E24" s="3">
        <v>2000</v>
      </c>
      <c r="F24" s="2"/>
      <c r="G24" s="149"/>
      <c r="I24" s="12"/>
      <c r="J24" s="10"/>
      <c r="K24" s="10"/>
      <c r="L24" s="10"/>
      <c r="M24" s="11"/>
      <c r="N24" s="10"/>
      <c r="O24" s="1"/>
      <c r="P24" s="1"/>
      <c r="Q24" s="1"/>
    </row>
    <row r="25" spans="1:17" ht="21" x14ac:dyDescent="0.35">
      <c r="B25" s="30" t="s">
        <v>23</v>
      </c>
      <c r="C25" s="37" t="s">
        <v>21</v>
      </c>
      <c r="D25" s="38"/>
      <c r="E25" s="3">
        <v>2000</v>
      </c>
      <c r="F25" s="2"/>
      <c r="G25" s="149"/>
      <c r="I25" s="12"/>
      <c r="J25" s="10"/>
      <c r="K25" s="10"/>
      <c r="L25" s="10"/>
      <c r="M25" s="11"/>
      <c r="N25" s="10"/>
      <c r="O25" s="1"/>
      <c r="P25" s="1"/>
      <c r="Q25" s="1"/>
    </row>
    <row r="26" spans="1:17" ht="21" x14ac:dyDescent="0.35">
      <c r="B26" s="37" t="s">
        <v>12</v>
      </c>
      <c r="C26" s="37" t="s">
        <v>21</v>
      </c>
      <c r="D26" s="38"/>
      <c r="E26" s="27">
        <v>2000</v>
      </c>
      <c r="F26" s="2"/>
      <c r="G26" s="150"/>
      <c r="I26" s="5"/>
      <c r="J26" s="1"/>
      <c r="K26" s="1"/>
      <c r="L26" s="1"/>
      <c r="M26" s="4"/>
      <c r="N26" s="1"/>
      <c r="O26" s="1"/>
      <c r="P26" s="1"/>
      <c r="Q26" s="1"/>
    </row>
    <row r="27" spans="1:17" ht="21" x14ac:dyDescent="0.35">
      <c r="B27" s="39"/>
      <c r="C27" s="39"/>
      <c r="D27" s="39"/>
      <c r="E27" s="2"/>
      <c r="F27" s="2"/>
      <c r="G27" s="2"/>
      <c r="I27" s="21" t="s">
        <v>14</v>
      </c>
      <c r="J27" s="22"/>
      <c r="K27" s="22"/>
      <c r="L27" s="23"/>
      <c r="M27" s="4"/>
      <c r="N27" s="1"/>
      <c r="O27" s="1"/>
      <c r="P27" s="1"/>
      <c r="Q27" s="1"/>
    </row>
    <row r="28" spans="1:17" ht="21" x14ac:dyDescent="0.35">
      <c r="B28" s="40" t="s">
        <v>11</v>
      </c>
      <c r="C28" s="40"/>
      <c r="D28" s="40"/>
      <c r="E28" s="20">
        <f>+SUM(E4:E26)</f>
        <v>37500</v>
      </c>
      <c r="F28" s="2"/>
      <c r="G28" s="2"/>
      <c r="I28" s="24">
        <f>+I17/I19</f>
        <v>561000</v>
      </c>
      <c r="J28" s="25"/>
      <c r="K28" s="25"/>
      <c r="L28" s="26"/>
      <c r="M28" s="6"/>
      <c r="N28" s="5"/>
      <c r="O28" s="1"/>
      <c r="P28" s="1"/>
      <c r="Q28" s="1"/>
    </row>
    <row r="29" spans="1:17" x14ac:dyDescent="0.25">
      <c r="O29" s="1"/>
      <c r="P29" s="1"/>
      <c r="Q29" s="1"/>
    </row>
    <row r="30" spans="1:17" x14ac:dyDescent="0.25">
      <c r="O30" s="1"/>
      <c r="P30" s="1"/>
      <c r="Q30" s="1"/>
    </row>
    <row r="31" spans="1:17" x14ac:dyDescent="0.25">
      <c r="O31" s="1"/>
      <c r="P31" s="1"/>
      <c r="Q31" s="1"/>
    </row>
    <row r="32" spans="1:17" x14ac:dyDescent="0.25">
      <c r="O32" s="1"/>
      <c r="P32" s="1"/>
      <c r="Q32" s="1"/>
    </row>
    <row r="33" spans="15:17" x14ac:dyDescent="0.25">
      <c r="O33" s="1"/>
      <c r="P33" s="1"/>
      <c r="Q33" s="1"/>
    </row>
    <row r="34" spans="15:17" x14ac:dyDescent="0.25">
      <c r="O34" s="1"/>
      <c r="P34" s="1"/>
      <c r="Q34" s="1"/>
    </row>
    <row r="35" spans="15:17" x14ac:dyDescent="0.25">
      <c r="O35" s="1"/>
      <c r="P35" s="1"/>
      <c r="Q35" s="1"/>
    </row>
    <row r="36" spans="15:17" x14ac:dyDescent="0.25">
      <c r="O36" s="1"/>
      <c r="P36" s="1"/>
      <c r="Q36" s="1"/>
    </row>
    <row r="37" spans="15:17" x14ac:dyDescent="0.25">
      <c r="O37" s="1"/>
      <c r="P37" s="1"/>
      <c r="Q37" s="1"/>
    </row>
    <row r="38" spans="15:17" x14ac:dyDescent="0.25">
      <c r="O38" s="1"/>
      <c r="P38" s="1"/>
      <c r="Q38" s="1"/>
    </row>
    <row r="39" spans="15:17" x14ac:dyDescent="0.25">
      <c r="O39" s="1"/>
      <c r="P39" s="1"/>
      <c r="Q39" s="1"/>
    </row>
    <row r="40" spans="15:17" x14ac:dyDescent="0.25">
      <c r="O40" s="1"/>
      <c r="P40" s="1"/>
      <c r="Q40" s="1"/>
    </row>
    <row r="41" spans="15:17" x14ac:dyDescent="0.25">
      <c r="O41" s="1"/>
      <c r="P41" s="1"/>
      <c r="Q41" s="1"/>
    </row>
    <row r="42" spans="15:17" x14ac:dyDescent="0.25">
      <c r="O42" s="1"/>
      <c r="P42" s="1"/>
      <c r="Q42" s="1"/>
    </row>
    <row r="43" spans="15:17" x14ac:dyDescent="0.25">
      <c r="O43" s="1"/>
      <c r="P43" s="1"/>
      <c r="Q43" s="1"/>
    </row>
    <row r="44" spans="15:17" x14ac:dyDescent="0.25">
      <c r="O44" s="1"/>
      <c r="P44" s="1"/>
      <c r="Q44" s="1"/>
    </row>
    <row r="45" spans="15:17" x14ac:dyDescent="0.25">
      <c r="O45" s="1"/>
      <c r="P45" s="1"/>
      <c r="Q45" s="1"/>
    </row>
    <row r="46" spans="15:17" x14ac:dyDescent="0.25">
      <c r="O46" s="1"/>
      <c r="P46" s="1"/>
      <c r="Q46" s="1"/>
    </row>
    <row r="47" spans="15:17" x14ac:dyDescent="0.25">
      <c r="O47" s="1"/>
      <c r="P47" s="1"/>
      <c r="Q47" s="1"/>
    </row>
    <row r="48" spans="15:17" x14ac:dyDescent="0.25">
      <c r="O48" s="1"/>
      <c r="P48" s="1"/>
      <c r="Q48" s="1"/>
    </row>
    <row r="49" spans="15:17" x14ac:dyDescent="0.25">
      <c r="O49" s="1"/>
      <c r="P49" s="1"/>
      <c r="Q49" s="1"/>
    </row>
    <row r="50" spans="15:17" x14ac:dyDescent="0.25">
      <c r="O50" s="1"/>
      <c r="P50" s="1"/>
      <c r="Q50" s="1"/>
    </row>
    <row r="51" spans="15:17" x14ac:dyDescent="0.25">
      <c r="O51" s="1"/>
      <c r="P51" s="1"/>
      <c r="Q51" s="1"/>
    </row>
    <row r="52" spans="15:17" x14ac:dyDescent="0.25">
      <c r="O52" s="1"/>
      <c r="P52" s="1"/>
      <c r="Q52" s="1"/>
    </row>
    <row r="53" spans="15:17" x14ac:dyDescent="0.25">
      <c r="O53" s="1"/>
      <c r="P53" s="1"/>
      <c r="Q53" s="1"/>
    </row>
    <row r="54" spans="15:17" x14ac:dyDescent="0.25">
      <c r="O54" s="1"/>
      <c r="P54" s="1"/>
      <c r="Q54" s="1"/>
    </row>
    <row r="55" spans="15:17" x14ac:dyDescent="0.25">
      <c r="O55" s="1"/>
      <c r="P55" s="1"/>
      <c r="Q55" s="1"/>
    </row>
    <row r="56" spans="15:17" x14ac:dyDescent="0.25">
      <c r="O56" s="1"/>
      <c r="P56" s="1"/>
      <c r="Q56" s="1"/>
    </row>
    <row r="57" spans="15:17" x14ac:dyDescent="0.25">
      <c r="O57" s="1"/>
      <c r="P57" s="1"/>
      <c r="Q57" s="1"/>
    </row>
    <row r="58" spans="15:17" x14ac:dyDescent="0.25">
      <c r="O58" s="1"/>
      <c r="P58" s="1"/>
      <c r="Q58" s="1"/>
    </row>
    <row r="59" spans="15:17" x14ac:dyDescent="0.25">
      <c r="O59" s="1"/>
      <c r="P59" s="1"/>
      <c r="Q59" s="1"/>
    </row>
    <row r="60" spans="15:17" x14ac:dyDescent="0.25">
      <c r="O60" s="1"/>
      <c r="P60" s="1"/>
      <c r="Q60" s="1"/>
    </row>
    <row r="61" spans="15:17" x14ac:dyDescent="0.25">
      <c r="O61" s="1"/>
      <c r="P61" s="1"/>
      <c r="Q61" s="1"/>
    </row>
    <row r="62" spans="15:17" x14ac:dyDescent="0.25">
      <c r="O62" s="1"/>
      <c r="P62" s="1"/>
      <c r="Q62" s="1"/>
    </row>
    <row r="63" spans="15:17" x14ac:dyDescent="0.25">
      <c r="O63" s="1"/>
      <c r="P63" s="1"/>
      <c r="Q63" s="1"/>
    </row>
    <row r="64" spans="15:17" x14ac:dyDescent="0.25">
      <c r="O64" s="1"/>
      <c r="P64" s="1"/>
      <c r="Q64" s="1"/>
    </row>
    <row r="65" spans="15:17" x14ac:dyDescent="0.25">
      <c r="O65" s="1"/>
      <c r="P65" s="1"/>
      <c r="Q65" s="1"/>
    </row>
    <row r="66" spans="15:17" x14ac:dyDescent="0.25">
      <c r="O66" s="1"/>
      <c r="P66" s="1"/>
      <c r="Q66" s="1"/>
    </row>
    <row r="67" spans="15:17" x14ac:dyDescent="0.25">
      <c r="O67" s="1"/>
      <c r="P67" s="1"/>
      <c r="Q67" s="1"/>
    </row>
    <row r="68" spans="15:17" x14ac:dyDescent="0.25">
      <c r="O68" s="1"/>
      <c r="P68" s="1"/>
      <c r="Q68" s="1"/>
    </row>
    <row r="69" spans="15:17" x14ac:dyDescent="0.25">
      <c r="O69" s="1"/>
      <c r="P69" s="1"/>
      <c r="Q69" s="1"/>
    </row>
    <row r="70" spans="15:17" x14ac:dyDescent="0.25">
      <c r="O70" s="1"/>
      <c r="P70" s="1"/>
      <c r="Q70" s="1"/>
    </row>
    <row r="71" spans="15:17" x14ac:dyDescent="0.25">
      <c r="O71" s="1"/>
      <c r="P71" s="1"/>
      <c r="Q71" s="1"/>
    </row>
    <row r="72" spans="15:17" x14ac:dyDescent="0.25">
      <c r="O72" s="1"/>
      <c r="P72" s="1"/>
      <c r="Q72" s="1"/>
    </row>
    <row r="73" spans="15:17" x14ac:dyDescent="0.25">
      <c r="O73" s="1"/>
      <c r="P73" s="1"/>
      <c r="Q73" s="1"/>
    </row>
    <row r="74" spans="15:17" x14ac:dyDescent="0.25">
      <c r="O74" s="1"/>
      <c r="P74" s="1"/>
      <c r="Q74" s="1"/>
    </row>
    <row r="75" spans="15:17" x14ac:dyDescent="0.25">
      <c r="O75" s="1"/>
      <c r="P75" s="1"/>
      <c r="Q75" s="1"/>
    </row>
    <row r="76" spans="15:17" x14ac:dyDescent="0.25">
      <c r="O76" s="1"/>
      <c r="P76" s="1"/>
      <c r="Q76" s="1"/>
    </row>
    <row r="77" spans="15:17" x14ac:dyDescent="0.25">
      <c r="O77" s="1"/>
      <c r="P77" s="1"/>
      <c r="Q77" s="1"/>
    </row>
    <row r="78" spans="15:17" x14ac:dyDescent="0.25">
      <c r="O78" s="1"/>
      <c r="P78" s="1"/>
      <c r="Q78" s="1"/>
    </row>
  </sheetData>
  <mergeCells count="2">
    <mergeCell ref="G4:G9"/>
    <mergeCell ref="G12:G2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63E0-D3C8-4EE4-A1E4-CCC666998282}">
  <dimension ref="A1:B15"/>
  <sheetViews>
    <sheetView workbookViewId="0">
      <selection activeCell="G18" sqref="G18"/>
    </sheetView>
  </sheetViews>
  <sheetFormatPr defaultRowHeight="15" x14ac:dyDescent="0.25"/>
  <cols>
    <col min="1" max="1" width="14.140625" bestFit="1" customWidth="1"/>
    <col min="2" max="2" width="9.5703125" style="138" bestFit="1" customWidth="1"/>
  </cols>
  <sheetData>
    <row r="1" spans="1:2" x14ac:dyDescent="0.25">
      <c r="A1" s="141"/>
      <c r="B1" s="143" t="s">
        <v>94</v>
      </c>
    </row>
    <row r="2" spans="1:2" x14ac:dyDescent="0.25">
      <c r="A2" s="141" t="s">
        <v>81</v>
      </c>
      <c r="B2" s="142">
        <v>2.9159999999999999</v>
      </c>
    </row>
    <row r="3" spans="1:2" x14ac:dyDescent="0.25">
      <c r="A3" s="141" t="s">
        <v>82</v>
      </c>
      <c r="B3" s="142">
        <v>0.158</v>
      </c>
    </row>
    <row r="4" spans="1:2" x14ac:dyDescent="0.25">
      <c r="A4" s="141" t="s">
        <v>83</v>
      </c>
      <c r="B4" s="142">
        <v>0.92800000000000005</v>
      </c>
    </row>
    <row r="5" spans="1:2" x14ac:dyDescent="0.25">
      <c r="A5" s="141" t="s">
        <v>84</v>
      </c>
      <c r="B5" s="142">
        <v>1.4530000000000001</v>
      </c>
    </row>
    <row r="6" spans="1:2" x14ac:dyDescent="0.25">
      <c r="A6" s="141" t="s">
        <v>85</v>
      </c>
      <c r="B6" s="142">
        <v>2.67</v>
      </c>
    </row>
    <row r="7" spans="1:2" x14ac:dyDescent="0.25">
      <c r="A7" s="141" t="s">
        <v>86</v>
      </c>
      <c r="B7" s="142">
        <v>1.2949999999999999</v>
      </c>
    </row>
    <row r="8" spans="1:2" x14ac:dyDescent="0.25">
      <c r="A8" s="141" t="s">
        <v>87</v>
      </c>
      <c r="B8" s="142">
        <v>0.11169999999999999</v>
      </c>
    </row>
    <row r="9" spans="1:2" x14ac:dyDescent="0.25">
      <c r="A9" s="141" t="s">
        <v>88</v>
      </c>
      <c r="B9" s="142">
        <v>0.32100000000000001</v>
      </c>
    </row>
    <row r="10" spans="1:2" x14ac:dyDescent="0.25">
      <c r="A10" s="141" t="s">
        <v>89</v>
      </c>
      <c r="B10" s="142">
        <v>1.3280000000000001</v>
      </c>
    </row>
    <row r="11" spans="1:2" x14ac:dyDescent="0.25">
      <c r="A11" s="141" t="s">
        <v>90</v>
      </c>
      <c r="B11" s="142">
        <v>1.2629999999999999</v>
      </c>
    </row>
    <row r="12" spans="1:2" x14ac:dyDescent="0.25">
      <c r="A12" s="141" t="s">
        <v>91</v>
      </c>
      <c r="B12" s="142">
        <v>0.1</v>
      </c>
    </row>
    <row r="13" spans="1:2" x14ac:dyDescent="0.25">
      <c r="A13" s="141" t="s">
        <v>92</v>
      </c>
      <c r="B13" s="142">
        <v>4.6710000000000003</v>
      </c>
    </row>
    <row r="14" spans="1:2" x14ac:dyDescent="0.25">
      <c r="A14" s="141" t="s">
        <v>93</v>
      </c>
      <c r="B14" s="142">
        <v>0.214</v>
      </c>
    </row>
    <row r="15" spans="1:2" x14ac:dyDescent="0.25">
      <c r="A15" s="139" t="s">
        <v>11</v>
      </c>
      <c r="B15" s="140">
        <f>+SUM(B2:B14)</f>
        <v>17.428699999999999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FFC2-123D-4405-B569-E5408C89078C}">
  <dimension ref="A3:P18"/>
  <sheetViews>
    <sheetView workbookViewId="0">
      <selection activeCell="C16" sqref="C16"/>
    </sheetView>
  </sheetViews>
  <sheetFormatPr defaultRowHeight="15" x14ac:dyDescent="0.25"/>
  <cols>
    <col min="1" max="1" width="16.140625" style="51" customWidth="1"/>
    <col min="2" max="2" width="53.28515625" style="51" customWidth="1"/>
    <col min="3" max="3" width="11.85546875" style="47" bestFit="1" customWidth="1"/>
    <col min="4" max="4" width="11.5703125" style="47" bestFit="1" customWidth="1"/>
    <col min="5" max="5" width="4.85546875" style="47" customWidth="1"/>
    <col min="6" max="6" width="16.7109375" style="47" customWidth="1"/>
    <col min="7" max="9" width="9.140625" style="47"/>
    <col min="10" max="10" width="5.140625" style="47" customWidth="1"/>
    <col min="11" max="11" width="18.7109375" style="47" customWidth="1"/>
    <col min="12" max="16384" width="9.140625" style="47"/>
  </cols>
  <sheetData>
    <row r="3" spans="1:16" ht="21" x14ac:dyDescent="0.35">
      <c r="A3" s="52"/>
      <c r="B3" s="47"/>
      <c r="F3" s="48" t="s">
        <v>43</v>
      </c>
      <c r="G3" s="48"/>
      <c r="H3" s="48"/>
    </row>
    <row r="4" spans="1:16" ht="21" x14ac:dyDescent="0.35">
      <c r="B4" s="54" t="s">
        <v>51</v>
      </c>
      <c r="C4" s="55" t="s">
        <v>8</v>
      </c>
      <c r="D4" s="56"/>
      <c r="F4" s="48" t="s">
        <v>44</v>
      </c>
      <c r="G4" s="48"/>
      <c r="H4" s="48"/>
      <c r="J4" s="48"/>
      <c r="K4" s="48"/>
    </row>
    <row r="5" spans="1:16" ht="42" x14ac:dyDescent="0.35">
      <c r="B5" s="62" t="s">
        <v>47</v>
      </c>
      <c r="C5" s="65">
        <v>3500</v>
      </c>
      <c r="D5" s="146">
        <f>+SUM(C4:C6)</f>
        <v>11500</v>
      </c>
      <c r="F5" s="57">
        <v>0.1</v>
      </c>
      <c r="G5" s="48" t="s">
        <v>53</v>
      </c>
      <c r="H5" s="48"/>
      <c r="J5" s="48"/>
      <c r="K5" s="48"/>
      <c r="P5" s="47" t="s">
        <v>46</v>
      </c>
    </row>
    <row r="6" spans="1:16" ht="21" x14ac:dyDescent="0.35">
      <c r="B6" s="66" t="s">
        <v>1</v>
      </c>
      <c r="C6" s="67">
        <v>8000</v>
      </c>
      <c r="D6" s="151"/>
      <c r="G6" s="15">
        <f>+D5*F5</f>
        <v>1150</v>
      </c>
      <c r="H6" s="48"/>
      <c r="I6" s="48"/>
      <c r="K6" s="48"/>
    </row>
    <row r="7" spans="1:16" ht="21" x14ac:dyDescent="0.35">
      <c r="B7" s="54" t="s">
        <v>50</v>
      </c>
      <c r="C7" s="55" t="s">
        <v>8</v>
      </c>
      <c r="D7" s="56"/>
      <c r="I7" s="48"/>
      <c r="K7" s="48"/>
    </row>
    <row r="8" spans="1:16" ht="25.5" customHeight="1" x14ac:dyDescent="0.35">
      <c r="B8" s="62" t="s">
        <v>48</v>
      </c>
      <c r="C8" s="134">
        <v>5000</v>
      </c>
      <c r="D8" s="148">
        <f>+SUM(C8:C14)</f>
        <v>63500</v>
      </c>
      <c r="F8" s="48" t="s">
        <v>13</v>
      </c>
      <c r="G8" s="48"/>
      <c r="H8" s="48"/>
      <c r="I8" s="48"/>
      <c r="J8" s="48"/>
      <c r="K8" s="48"/>
    </row>
    <row r="9" spans="1:16" ht="21" x14ac:dyDescent="0.35">
      <c r="B9" s="63" t="s">
        <v>17</v>
      </c>
      <c r="C9" s="135">
        <v>2000</v>
      </c>
      <c r="D9" s="149"/>
      <c r="F9" s="48" t="s">
        <v>45</v>
      </c>
      <c r="G9" s="48"/>
      <c r="H9" s="48"/>
      <c r="I9" s="48"/>
      <c r="J9" s="48"/>
      <c r="K9" s="48"/>
    </row>
    <row r="10" spans="1:16" ht="21" x14ac:dyDescent="0.35">
      <c r="B10" s="63" t="s">
        <v>0</v>
      </c>
      <c r="C10" s="135">
        <v>6000</v>
      </c>
      <c r="D10" s="149"/>
      <c r="F10" s="16">
        <f>+D8+G6</f>
        <v>64650</v>
      </c>
      <c r="H10" s="48"/>
      <c r="I10" s="48"/>
      <c r="J10" s="48"/>
      <c r="K10" s="48"/>
    </row>
    <row r="11" spans="1:16" ht="42" x14ac:dyDescent="0.35">
      <c r="B11" s="63" t="s">
        <v>52</v>
      </c>
      <c r="C11" s="135">
        <v>3000</v>
      </c>
      <c r="D11" s="149"/>
      <c r="F11" s="48" t="s">
        <v>15</v>
      </c>
      <c r="G11" s="48"/>
      <c r="H11" s="48"/>
      <c r="I11" s="48"/>
      <c r="K11" s="48"/>
    </row>
    <row r="12" spans="1:16" ht="21" x14ac:dyDescent="0.35">
      <c r="B12" s="63" t="s">
        <v>49</v>
      </c>
      <c r="C12" s="135">
        <v>2000</v>
      </c>
      <c r="D12" s="149"/>
      <c r="F12" s="58">
        <v>0.05</v>
      </c>
      <c r="G12" s="48"/>
      <c r="H12" s="48"/>
      <c r="I12" s="48"/>
      <c r="J12" s="48"/>
      <c r="K12" s="48"/>
    </row>
    <row r="13" spans="1:16" ht="21" x14ac:dyDescent="0.35">
      <c r="B13" s="63" t="s">
        <v>23</v>
      </c>
      <c r="C13" s="135">
        <v>5000</v>
      </c>
      <c r="D13" s="150"/>
      <c r="F13" s="48"/>
      <c r="G13" s="48"/>
      <c r="H13" s="48"/>
      <c r="I13" s="48"/>
      <c r="J13" s="48"/>
      <c r="K13" s="48"/>
    </row>
    <row r="14" spans="1:16" ht="18.75" x14ac:dyDescent="0.3">
      <c r="B14" s="51" t="s">
        <v>80</v>
      </c>
      <c r="C14" s="136">
        <f>75000-34500</f>
        <v>40500</v>
      </c>
      <c r="D14" s="137"/>
      <c r="F14" s="50" t="s">
        <v>14</v>
      </c>
      <c r="G14" s="50"/>
      <c r="H14" s="50"/>
      <c r="J14" s="48"/>
      <c r="K14" s="48"/>
    </row>
    <row r="15" spans="1:16" ht="21" x14ac:dyDescent="0.35">
      <c r="B15" s="60" t="s">
        <v>11</v>
      </c>
      <c r="C15" s="64">
        <f>+SUM(C4:C14)</f>
        <v>75000</v>
      </c>
      <c r="D15" s="61"/>
      <c r="F15" s="59">
        <f>+F10/F12</f>
        <v>1293000</v>
      </c>
      <c r="G15" s="50"/>
      <c r="H15" s="50"/>
      <c r="J15" s="48"/>
      <c r="K15" s="48"/>
    </row>
    <row r="16" spans="1:16" ht="21" x14ac:dyDescent="0.25">
      <c r="D16" s="53"/>
    </row>
    <row r="17" spans="4:4" ht="21" x14ac:dyDescent="0.25">
      <c r="D17" s="53"/>
    </row>
    <row r="18" spans="4:4" ht="21" x14ac:dyDescent="0.35">
      <c r="D18" s="49"/>
    </row>
  </sheetData>
  <mergeCells count="2">
    <mergeCell ref="D5:D6"/>
    <mergeCell ref="D8:D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98BE5-7974-41D0-A9EB-8722447DB417}">
  <dimension ref="B1:I22"/>
  <sheetViews>
    <sheetView zoomScale="145" zoomScaleNormal="145" workbookViewId="0">
      <selection activeCell="C3" sqref="C3"/>
    </sheetView>
  </sheetViews>
  <sheetFormatPr defaultRowHeight="15" x14ac:dyDescent="0.25"/>
  <cols>
    <col min="1" max="1" width="0.85546875" style="74" customWidth="1"/>
    <col min="2" max="2" width="25.28515625" style="75" customWidth="1"/>
    <col min="3" max="3" width="12.28515625" style="74" bestFit="1" customWidth="1"/>
    <col min="4" max="9" width="14.28515625" style="74" bestFit="1" customWidth="1"/>
    <col min="10" max="16384" width="9.140625" style="74"/>
  </cols>
  <sheetData>
    <row r="1" spans="2:9" s="128" customFormat="1" ht="18.75" x14ac:dyDescent="0.3">
      <c r="C1" s="128">
        <v>2017</v>
      </c>
      <c r="D1" s="128">
        <v>2018</v>
      </c>
      <c r="E1" s="128">
        <v>2019</v>
      </c>
      <c r="F1" s="128">
        <v>2020</v>
      </c>
      <c r="G1" s="128">
        <v>2021</v>
      </c>
      <c r="H1" s="128">
        <v>2022</v>
      </c>
      <c r="I1" s="128">
        <v>2023</v>
      </c>
    </row>
    <row r="2" spans="2:9" s="68" customFormat="1" x14ac:dyDescent="0.25">
      <c r="B2" s="69" t="s">
        <v>54</v>
      </c>
      <c r="C2" s="68">
        <v>14300000</v>
      </c>
      <c r="D2" s="68">
        <f>+C2*(1+D3)</f>
        <v>28600000</v>
      </c>
      <c r="E2" s="68">
        <f t="shared" ref="E2:I2" si="0">+D2*(1+E3)</f>
        <v>35750000</v>
      </c>
      <c r="F2" s="68">
        <f t="shared" si="0"/>
        <v>42900000</v>
      </c>
      <c r="G2" s="68">
        <f t="shared" si="0"/>
        <v>49334999.999999993</v>
      </c>
      <c r="H2" s="68">
        <f t="shared" si="0"/>
        <v>56735249.999999985</v>
      </c>
      <c r="I2" s="68">
        <f t="shared" si="0"/>
        <v>65245537.499999978</v>
      </c>
    </row>
    <row r="3" spans="2:9" s="70" customFormat="1" x14ac:dyDescent="0.25">
      <c r="B3" s="71" t="s">
        <v>55</v>
      </c>
      <c r="D3" s="70">
        <v>1</v>
      </c>
      <c r="E3" s="70">
        <v>0.25</v>
      </c>
      <c r="F3" s="70">
        <v>0.2</v>
      </c>
      <c r="G3" s="70">
        <v>0.15</v>
      </c>
      <c r="H3" s="70">
        <v>0.15</v>
      </c>
      <c r="I3" s="70">
        <v>0.15</v>
      </c>
    </row>
    <row r="4" spans="2:9" s="72" customFormat="1" x14ac:dyDescent="0.25">
      <c r="B4" s="73" t="s">
        <v>56</v>
      </c>
      <c r="E4" s="85">
        <v>7.0000000000000007E-2</v>
      </c>
      <c r="F4" s="85">
        <f>+E4</f>
        <v>7.0000000000000007E-2</v>
      </c>
      <c r="G4" s="85">
        <f t="shared" ref="G4:I4" si="1">+F4</f>
        <v>7.0000000000000007E-2</v>
      </c>
      <c r="H4" s="85">
        <f t="shared" si="1"/>
        <v>7.0000000000000007E-2</v>
      </c>
      <c r="I4" s="85">
        <f t="shared" si="1"/>
        <v>7.0000000000000007E-2</v>
      </c>
    </row>
    <row r="5" spans="2:9" s="127" customFormat="1" ht="14.25" customHeight="1" x14ac:dyDescent="0.25">
      <c r="B5" s="126" t="s">
        <v>57</v>
      </c>
      <c r="D5" s="127">
        <f>+D4*D2</f>
        <v>0</v>
      </c>
      <c r="E5" s="127">
        <f t="shared" ref="E5:I5" si="2">+E4*E2</f>
        <v>2502500.0000000005</v>
      </c>
      <c r="F5" s="127">
        <f t="shared" si="2"/>
        <v>3003000.0000000005</v>
      </c>
      <c r="G5" s="127">
        <f t="shared" si="2"/>
        <v>3453450</v>
      </c>
      <c r="H5" s="127">
        <f t="shared" si="2"/>
        <v>3971467.4999999995</v>
      </c>
      <c r="I5" s="127">
        <f t="shared" si="2"/>
        <v>4567187.6249999991</v>
      </c>
    </row>
    <row r="6" spans="2:9" x14ac:dyDescent="0.25">
      <c r="B6" s="75" t="s">
        <v>58</v>
      </c>
      <c r="E6" s="74">
        <v>150000</v>
      </c>
      <c r="F6" s="74">
        <f>+E6</f>
        <v>150000</v>
      </c>
      <c r="G6" s="74">
        <f t="shared" ref="G6:I6" si="3">+F6</f>
        <v>150000</v>
      </c>
      <c r="H6" s="74">
        <f t="shared" si="3"/>
        <v>150000</v>
      </c>
      <c r="I6" s="74">
        <f t="shared" si="3"/>
        <v>150000</v>
      </c>
    </row>
    <row r="7" spans="2:9" x14ac:dyDescent="0.25">
      <c r="B7" s="75" t="s">
        <v>59</v>
      </c>
      <c r="E7" s="74">
        <v>34500</v>
      </c>
      <c r="F7" s="74">
        <v>34500</v>
      </c>
      <c r="G7" s="74">
        <v>34500</v>
      </c>
      <c r="H7" s="74">
        <v>34500</v>
      </c>
      <c r="I7" s="74">
        <v>34500</v>
      </c>
    </row>
    <row r="8" spans="2:9" x14ac:dyDescent="0.25">
      <c r="B8" s="75" t="s">
        <v>60</v>
      </c>
      <c r="E8" s="74">
        <v>0.05</v>
      </c>
      <c r="F8" s="74">
        <v>0.05</v>
      </c>
      <c r="G8" s="74">
        <v>0.05</v>
      </c>
      <c r="H8" s="74">
        <v>0.05</v>
      </c>
      <c r="I8" s="74">
        <v>0.05</v>
      </c>
    </row>
    <row r="9" spans="2:9" x14ac:dyDescent="0.25">
      <c r="B9" s="75" t="s">
        <v>61</v>
      </c>
      <c r="E9" s="74">
        <f>+E8*E5</f>
        <v>125125.00000000003</v>
      </c>
      <c r="F9" s="74">
        <f>+F8*F5</f>
        <v>150150.00000000003</v>
      </c>
      <c r="G9" s="74">
        <f>+G8*G5</f>
        <v>172672.5</v>
      </c>
      <c r="H9" s="74">
        <f>+H8*H5</f>
        <v>198573.375</v>
      </c>
      <c r="I9" s="74">
        <f>+I8*I5</f>
        <v>228359.38124999998</v>
      </c>
    </row>
    <row r="10" spans="2:9" x14ac:dyDescent="0.25">
      <c r="B10" s="75" t="s">
        <v>62</v>
      </c>
      <c r="D10" s="74">
        <v>-75000</v>
      </c>
    </row>
    <row r="11" spans="2:9" x14ac:dyDescent="0.25">
      <c r="B11" s="75" t="s">
        <v>63</v>
      </c>
      <c r="D11" s="74">
        <f t="shared" ref="D11:I11" si="4">-(D7+D6)</f>
        <v>0</v>
      </c>
      <c r="E11" s="74">
        <f t="shared" si="4"/>
        <v>-184500</v>
      </c>
      <c r="F11" s="74">
        <f t="shared" si="4"/>
        <v>-184500</v>
      </c>
      <c r="G11" s="74">
        <f t="shared" si="4"/>
        <v>-184500</v>
      </c>
      <c r="H11" s="74">
        <f t="shared" si="4"/>
        <v>-184500</v>
      </c>
      <c r="I11" s="74">
        <f t="shared" si="4"/>
        <v>-184500</v>
      </c>
    </row>
    <row r="12" spans="2:9" x14ac:dyDescent="0.25">
      <c r="B12" s="75" t="s">
        <v>64</v>
      </c>
      <c r="E12" s="74">
        <f>0.2*$D$10</f>
        <v>-15000</v>
      </c>
      <c r="F12" s="74">
        <f t="shared" ref="F12:I12" si="5">0.2*$D$10</f>
        <v>-15000</v>
      </c>
      <c r="G12" s="74">
        <f t="shared" si="5"/>
        <v>-15000</v>
      </c>
      <c r="H12" s="74">
        <f t="shared" si="5"/>
        <v>-15000</v>
      </c>
      <c r="I12" s="74">
        <f t="shared" si="5"/>
        <v>-15000</v>
      </c>
    </row>
    <row r="13" spans="2:9" s="76" customFormat="1" x14ac:dyDescent="0.25">
      <c r="B13" s="77" t="s">
        <v>65</v>
      </c>
      <c r="E13" s="76">
        <f>+E9+E11</f>
        <v>-59374.999999999971</v>
      </c>
      <c r="F13" s="76">
        <f t="shared" ref="F13:I13" si="6">+F9+F11</f>
        <v>-34349.999999999971</v>
      </c>
      <c r="G13" s="76">
        <f t="shared" si="6"/>
        <v>-11827.5</v>
      </c>
      <c r="H13" s="76">
        <f t="shared" si="6"/>
        <v>14073.375</v>
      </c>
      <c r="I13" s="76">
        <f t="shared" si="6"/>
        <v>43859.381249999977</v>
      </c>
    </row>
    <row r="14" spans="2:9" s="76" customFormat="1" x14ac:dyDescent="0.25">
      <c r="B14" s="77" t="s">
        <v>66</v>
      </c>
      <c r="E14" s="76">
        <f>+E9+E11+E12</f>
        <v>-74374.999999999971</v>
      </c>
      <c r="F14" s="76">
        <f>+F9+F11+F12</f>
        <v>-49349.999999999971</v>
      </c>
      <c r="G14" s="76">
        <f>+G9+G11+G12</f>
        <v>-26827.5</v>
      </c>
      <c r="H14" s="76">
        <f>+H9+H11+H12</f>
        <v>-926.625</v>
      </c>
      <c r="I14" s="76">
        <f>+I9+I11+I12</f>
        <v>28859.381249999977</v>
      </c>
    </row>
    <row r="15" spans="2:9" s="68" customFormat="1" x14ac:dyDescent="0.25">
      <c r="B15" s="69" t="s">
        <v>67</v>
      </c>
      <c r="C15" s="72"/>
      <c r="E15" s="68">
        <f>+IF(E14&lt;0,0,E14)</f>
        <v>0</v>
      </c>
      <c r="F15" s="68">
        <f>+IF(F14&lt;0,0,F14)</f>
        <v>0</v>
      </c>
      <c r="G15" s="68">
        <f>+IF(G14&lt;0,0,G14)</f>
        <v>0</v>
      </c>
      <c r="H15" s="68">
        <f>+IF(H14&lt;0,0,H14)</f>
        <v>0</v>
      </c>
      <c r="I15" s="68">
        <f>+IF(I14&lt;0,0,I14)</f>
        <v>28859.381249999977</v>
      </c>
    </row>
    <row r="16" spans="2:9" s="68" customFormat="1" x14ac:dyDescent="0.25">
      <c r="B16" s="69" t="s">
        <v>68</v>
      </c>
      <c r="C16" s="78">
        <v>0.3</v>
      </c>
      <c r="D16" s="68">
        <f>+D14*$C$16</f>
        <v>0</v>
      </c>
      <c r="E16" s="68">
        <f>+E15*$C$16</f>
        <v>0</v>
      </c>
      <c r="F16" s="68">
        <f t="shared" ref="F16:I16" si="7">+F15*$C$16</f>
        <v>0</v>
      </c>
      <c r="G16" s="68">
        <f t="shared" si="7"/>
        <v>0</v>
      </c>
      <c r="H16" s="68">
        <f t="shared" si="7"/>
        <v>0</v>
      </c>
      <c r="I16" s="68">
        <f t="shared" si="7"/>
        <v>8657.8143749999927</v>
      </c>
    </row>
    <row r="17" spans="2:9" s="79" customFormat="1" x14ac:dyDescent="0.25">
      <c r="B17" s="80" t="s">
        <v>74</v>
      </c>
      <c r="F17" s="79">
        <f>+E18</f>
        <v>-74374.999999999971</v>
      </c>
      <c r="G17" s="79">
        <f>+F18</f>
        <v>-123724.99999999994</v>
      </c>
      <c r="H17" s="79">
        <f>+G18</f>
        <v>-150552.49999999994</v>
      </c>
      <c r="I17" s="79">
        <f>+H18</f>
        <v>-151479.12499999994</v>
      </c>
    </row>
    <row r="18" spans="2:9" s="81" customFormat="1" x14ac:dyDescent="0.25">
      <c r="B18" s="82" t="s">
        <v>69</v>
      </c>
      <c r="E18" s="81">
        <f>+E14</f>
        <v>-74374.999999999971</v>
      </c>
      <c r="F18" s="81">
        <f>+F14+F17</f>
        <v>-123724.99999999994</v>
      </c>
      <c r="G18" s="81">
        <f t="shared" ref="G18:I18" si="8">+G14+G17</f>
        <v>-150552.49999999994</v>
      </c>
      <c r="H18" s="81">
        <f t="shared" si="8"/>
        <v>-151479.12499999994</v>
      </c>
      <c r="I18" s="81">
        <f t="shared" si="8"/>
        <v>-122619.74374999997</v>
      </c>
    </row>
    <row r="19" spans="2:9" s="81" customFormat="1" x14ac:dyDescent="0.25">
      <c r="B19" s="82" t="s">
        <v>70</v>
      </c>
      <c r="F19" s="81">
        <f>+IF(F18&gt;0,$C$16*F18,0)</f>
        <v>0</v>
      </c>
      <c r="G19" s="81">
        <f>+IF(G18&gt;0,$C$16*G18,0)</f>
        <v>0</v>
      </c>
      <c r="H19" s="81">
        <f>+IF(H18&gt;0,$C$16*H18,0)</f>
        <v>0</v>
      </c>
      <c r="I19" s="81">
        <f>+IF(I18&gt;0,$C$16*I18,0)</f>
        <v>0</v>
      </c>
    </row>
    <row r="20" spans="2:9" s="76" customFormat="1" x14ac:dyDescent="0.25">
      <c r="B20" s="77" t="s">
        <v>71</v>
      </c>
      <c r="E20" s="76">
        <f>+E14-E19</f>
        <v>-74374.999999999971</v>
      </c>
      <c r="F20" s="76">
        <f t="shared" ref="F20:I20" si="9">+F14-F19</f>
        <v>-49349.999999999971</v>
      </c>
      <c r="G20" s="76">
        <f t="shared" si="9"/>
        <v>-26827.5</v>
      </c>
      <c r="H20" s="76">
        <f t="shared" si="9"/>
        <v>-926.625</v>
      </c>
      <c r="I20" s="76">
        <f t="shared" si="9"/>
        <v>28859.381249999977</v>
      </c>
    </row>
    <row r="21" spans="2:9" s="83" customFormat="1" x14ac:dyDescent="0.25">
      <c r="B21" s="84" t="s">
        <v>72</v>
      </c>
      <c r="D21" s="83">
        <f t="shared" ref="D21" si="10">+SUM(D9:D11)</f>
        <v>-75000</v>
      </c>
      <c r="E21" s="83">
        <f>+SUM(E9:E11)-E19</f>
        <v>-59374.999999999971</v>
      </c>
      <c r="F21" s="83">
        <f t="shared" ref="F21:I21" si="11">+SUM(F9:F11)-F19</f>
        <v>-34349.999999999971</v>
      </c>
      <c r="G21" s="83">
        <f t="shared" si="11"/>
        <v>-11827.5</v>
      </c>
      <c r="H21" s="83">
        <f t="shared" si="11"/>
        <v>14073.375</v>
      </c>
      <c r="I21" s="83">
        <f t="shared" si="11"/>
        <v>43859.381249999977</v>
      </c>
    </row>
    <row r="22" spans="2:9" s="83" customFormat="1" x14ac:dyDescent="0.25">
      <c r="B22" s="84" t="s">
        <v>73</v>
      </c>
      <c r="D22" s="83">
        <f>+D21</f>
        <v>-75000</v>
      </c>
      <c r="E22" s="83">
        <f>+D22+E21</f>
        <v>-134374.99999999997</v>
      </c>
      <c r="F22" s="83">
        <f t="shared" ref="F22:I22" si="12">+E22+F21</f>
        <v>-168724.99999999994</v>
      </c>
      <c r="G22" s="83">
        <f t="shared" si="12"/>
        <v>-180552.49999999994</v>
      </c>
      <c r="H22" s="83">
        <f t="shared" si="12"/>
        <v>-166479.12499999994</v>
      </c>
      <c r="I22" s="83">
        <f t="shared" si="12"/>
        <v>-122619.74374999997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4893-00B3-4991-89FC-5674C5CD749D}">
  <dimension ref="A1:J14"/>
  <sheetViews>
    <sheetView zoomScale="160" zoomScaleNormal="160" workbookViewId="0">
      <selection activeCell="E3" sqref="E3"/>
    </sheetView>
  </sheetViews>
  <sheetFormatPr defaultRowHeight="15" x14ac:dyDescent="0.25"/>
  <cols>
    <col min="1" max="1" width="9.140625" style="87"/>
    <col min="2" max="3" width="14.28515625" style="87" customWidth="1"/>
    <col min="4" max="4" width="15.5703125" style="87" customWidth="1"/>
    <col min="5" max="5" width="14.5703125" style="87" customWidth="1"/>
    <col min="6" max="10" width="13.28515625" style="87" bestFit="1" customWidth="1"/>
    <col min="11" max="16384" width="9.140625" style="87"/>
  </cols>
  <sheetData>
    <row r="1" spans="1:10" s="86" customFormat="1" ht="62.25" customHeight="1" x14ac:dyDescent="0.25">
      <c r="B1" s="120" t="s">
        <v>75</v>
      </c>
      <c r="C1" s="121" t="s">
        <v>76</v>
      </c>
      <c r="D1" s="122" t="s">
        <v>77</v>
      </c>
      <c r="E1" s="152" t="s">
        <v>78</v>
      </c>
      <c r="F1" s="153"/>
      <c r="G1" s="154"/>
      <c r="H1" s="152" t="s">
        <v>79</v>
      </c>
      <c r="I1" s="153"/>
      <c r="J1" s="154"/>
    </row>
    <row r="2" spans="1:10" s="94" customFormat="1" x14ac:dyDescent="0.25">
      <c r="B2" s="123"/>
      <c r="C2" s="124"/>
      <c r="D2" s="125"/>
      <c r="E2" s="95">
        <v>8</v>
      </c>
      <c r="F2" s="101">
        <v>10</v>
      </c>
      <c r="G2" s="96">
        <v>12</v>
      </c>
      <c r="H2" s="95">
        <v>8</v>
      </c>
      <c r="I2" s="103">
        <v>10</v>
      </c>
      <c r="J2" s="96">
        <v>12</v>
      </c>
    </row>
    <row r="3" spans="1:10" s="104" customFormat="1" x14ac:dyDescent="0.25">
      <c r="A3" s="104">
        <v>5</v>
      </c>
      <c r="B3" s="105">
        <v>0.06</v>
      </c>
      <c r="C3" s="106">
        <v>-258839</v>
      </c>
      <c r="D3" s="106">
        <v>11237</v>
      </c>
      <c r="E3" s="107">
        <f t="shared" ref="E3:G7" si="0">+$D3*E$2</f>
        <v>89896</v>
      </c>
      <c r="F3" s="108">
        <f t="shared" si="0"/>
        <v>112370</v>
      </c>
      <c r="G3" s="109">
        <f t="shared" si="0"/>
        <v>134844</v>
      </c>
      <c r="H3" s="110">
        <f>-1+((E3/-$C3)^(1/$A3))</f>
        <v>-0.19063926587178004</v>
      </c>
      <c r="I3" s="110">
        <f t="shared" ref="I3:J7" si="1">-1+((F3/-$C3)^(1/$A3))</f>
        <v>-0.15370040408122365</v>
      </c>
      <c r="J3" s="111">
        <f t="shared" si="1"/>
        <v>-0.12227113112209964</v>
      </c>
    </row>
    <row r="4" spans="1:10" s="88" customFormat="1" x14ac:dyDescent="0.25">
      <c r="A4" s="88">
        <v>5</v>
      </c>
      <c r="B4" s="98">
        <v>7.0000000000000007E-2</v>
      </c>
      <c r="C4" s="90">
        <v>-180553</v>
      </c>
      <c r="D4" s="90">
        <v>43859</v>
      </c>
      <c r="E4" s="92">
        <f t="shared" si="0"/>
        <v>350872</v>
      </c>
      <c r="F4" s="102">
        <f t="shared" si="0"/>
        <v>438590</v>
      </c>
      <c r="G4" s="93">
        <f t="shared" si="0"/>
        <v>526308</v>
      </c>
      <c r="H4" s="97">
        <f t="shared" ref="H4:H7" si="2">-1+((E4/-$C4)^(1/$A4))</f>
        <v>0.14211227895182588</v>
      </c>
      <c r="I4" s="97">
        <f t="shared" si="1"/>
        <v>0.19423777237218665</v>
      </c>
      <c r="J4" s="99">
        <f t="shared" si="1"/>
        <v>0.23858852606152658</v>
      </c>
    </row>
    <row r="5" spans="1:10" s="114" customFormat="1" x14ac:dyDescent="0.25">
      <c r="A5" s="104">
        <v>5</v>
      </c>
      <c r="B5" s="112">
        <v>0.08</v>
      </c>
      <c r="C5" s="113">
        <v>-129400</v>
      </c>
      <c r="D5" s="113">
        <v>76482</v>
      </c>
      <c r="E5" s="107">
        <f t="shared" si="0"/>
        <v>611856</v>
      </c>
      <c r="F5" s="108">
        <f t="shared" si="0"/>
        <v>764820</v>
      </c>
      <c r="G5" s="109">
        <f t="shared" si="0"/>
        <v>917784</v>
      </c>
      <c r="H5" s="110">
        <f t="shared" si="2"/>
        <v>0.36440401702603298</v>
      </c>
      <c r="I5" s="110">
        <f t="shared" si="1"/>
        <v>0.42667480591683704</v>
      </c>
      <c r="J5" s="111">
        <f t="shared" si="1"/>
        <v>0.47965764097347696</v>
      </c>
    </row>
    <row r="6" spans="1:10" s="89" customFormat="1" x14ac:dyDescent="0.25">
      <c r="A6" s="88">
        <v>5</v>
      </c>
      <c r="B6" s="100">
        <v>0.09</v>
      </c>
      <c r="C6" s="91">
        <v>-98625</v>
      </c>
      <c r="D6" s="91">
        <v>109105</v>
      </c>
      <c r="E6" s="92">
        <f t="shared" si="0"/>
        <v>872840</v>
      </c>
      <c r="F6" s="102">
        <f t="shared" si="0"/>
        <v>1091050</v>
      </c>
      <c r="G6" s="93">
        <f t="shared" si="0"/>
        <v>1309260</v>
      </c>
      <c r="H6" s="97">
        <f t="shared" si="2"/>
        <v>0.54664102189828023</v>
      </c>
      <c r="I6" s="97">
        <f t="shared" si="1"/>
        <v>0.61722902615702746</v>
      </c>
      <c r="J6" s="99">
        <f t="shared" si="1"/>
        <v>0.6772885284250465</v>
      </c>
    </row>
    <row r="7" spans="1:10" s="114" customFormat="1" x14ac:dyDescent="0.25">
      <c r="A7" s="104">
        <v>5</v>
      </c>
      <c r="B7" s="112">
        <v>0.1</v>
      </c>
      <c r="C7" s="113">
        <v>-80750</v>
      </c>
      <c r="D7" s="113">
        <v>141728</v>
      </c>
      <c r="E7" s="115">
        <f t="shared" si="0"/>
        <v>1133824</v>
      </c>
      <c r="F7" s="116">
        <f t="shared" si="0"/>
        <v>1417280</v>
      </c>
      <c r="G7" s="117">
        <f t="shared" si="0"/>
        <v>1700736</v>
      </c>
      <c r="H7" s="118">
        <f t="shared" si="2"/>
        <v>0.69621391995313342</v>
      </c>
      <c r="I7" s="118">
        <f t="shared" si="1"/>
        <v>0.77362836435888416</v>
      </c>
      <c r="J7" s="119">
        <f t="shared" si="1"/>
        <v>0.83949611410176628</v>
      </c>
    </row>
    <row r="8" spans="1:10" x14ac:dyDescent="0.25">
      <c r="E8" s="155" t="s">
        <v>78</v>
      </c>
      <c r="F8" s="156"/>
      <c r="G8" s="157"/>
      <c r="H8" s="155" t="s">
        <v>79</v>
      </c>
      <c r="I8" s="156"/>
      <c r="J8" s="157"/>
    </row>
    <row r="9" spans="1:10" x14ac:dyDescent="0.25">
      <c r="D9" s="129">
        <v>0.91</v>
      </c>
      <c r="E9" s="130">
        <v>8</v>
      </c>
      <c r="F9" s="131">
        <v>10</v>
      </c>
      <c r="G9" s="132">
        <v>12</v>
      </c>
      <c r="H9" s="130">
        <v>8</v>
      </c>
      <c r="I9" s="133">
        <v>10</v>
      </c>
      <c r="J9" s="132">
        <v>12</v>
      </c>
    </row>
    <row r="10" spans="1:10" x14ac:dyDescent="0.25">
      <c r="E10" s="107">
        <f t="shared" ref="E10:G14" si="3">+$D3*E$2*$D$9</f>
        <v>81805.36</v>
      </c>
      <c r="F10" s="108">
        <f t="shared" si="3"/>
        <v>102256.7</v>
      </c>
      <c r="G10" s="109">
        <f t="shared" si="3"/>
        <v>122708.04000000001</v>
      </c>
      <c r="H10" s="110">
        <f>-1+((E10/-$C3)^(1/$A3))</f>
        <v>-0.20576246176323598</v>
      </c>
      <c r="I10" s="110">
        <f t="shared" ref="I10:J10" si="4">-1+((F10/-$C3)^(1/$A3))</f>
        <v>-0.16951381586691583</v>
      </c>
      <c r="J10" s="111">
        <f t="shared" si="4"/>
        <v>-0.13867181015667673</v>
      </c>
    </row>
    <row r="11" spans="1:10" x14ac:dyDescent="0.25">
      <c r="E11" s="92">
        <f t="shared" si="3"/>
        <v>319293.52</v>
      </c>
      <c r="F11" s="102">
        <f t="shared" si="3"/>
        <v>399116.9</v>
      </c>
      <c r="G11" s="93">
        <f t="shared" si="3"/>
        <v>478940.28</v>
      </c>
      <c r="H11" s="97">
        <f t="shared" ref="H11:H14" si="5">-1+((E11/-$C4)^(1/$A4))</f>
        <v>0.12077150098187639</v>
      </c>
      <c r="I11" s="97">
        <f t="shared" ref="I11:I14" si="6">-1+((F11/-$C4)^(1/$A4))</f>
        <v>0.17192301084373884</v>
      </c>
      <c r="J11" s="99">
        <f t="shared" ref="J11:J14" si="7">-1+((G11/-$C4)^(1/$A4))</f>
        <v>0.21544505477771869</v>
      </c>
    </row>
    <row r="12" spans="1:10" x14ac:dyDescent="0.25">
      <c r="E12" s="107">
        <f t="shared" si="3"/>
        <v>556788.96</v>
      </c>
      <c r="F12" s="108">
        <f t="shared" si="3"/>
        <v>695986.20000000007</v>
      </c>
      <c r="G12" s="109">
        <f t="shared" si="3"/>
        <v>835183.44000000006</v>
      </c>
      <c r="H12" s="110">
        <f t="shared" si="5"/>
        <v>0.33890963812365182</v>
      </c>
      <c r="I12" s="110">
        <f t="shared" si="6"/>
        <v>0.40001687496775884</v>
      </c>
      <c r="J12" s="111">
        <f t="shared" si="7"/>
        <v>0.45200970672962648</v>
      </c>
    </row>
    <row r="13" spans="1:10" x14ac:dyDescent="0.25">
      <c r="E13" s="92">
        <f t="shared" si="3"/>
        <v>794284.4</v>
      </c>
      <c r="F13" s="102">
        <f t="shared" si="3"/>
        <v>992855.5</v>
      </c>
      <c r="G13" s="93">
        <f t="shared" si="3"/>
        <v>1191426.6000000001</v>
      </c>
      <c r="H13" s="97">
        <f t="shared" si="5"/>
        <v>0.51774147913367652</v>
      </c>
      <c r="I13" s="97">
        <f t="shared" si="6"/>
        <v>0.58701052119055475</v>
      </c>
      <c r="J13" s="99">
        <f t="shared" si="7"/>
        <v>0.64594779009631331</v>
      </c>
    </row>
    <row r="14" spans="1:10" x14ac:dyDescent="0.25">
      <c r="E14" s="115">
        <f t="shared" si="3"/>
        <v>1031779.8400000001</v>
      </c>
      <c r="F14" s="116">
        <f t="shared" si="3"/>
        <v>1289724.8</v>
      </c>
      <c r="G14" s="117">
        <f t="shared" si="3"/>
        <v>1547669.76</v>
      </c>
      <c r="H14" s="118">
        <f t="shared" si="5"/>
        <v>0.6645195538891604</v>
      </c>
      <c r="I14" s="118">
        <f t="shared" si="6"/>
        <v>0.74048748160808753</v>
      </c>
      <c r="J14" s="119">
        <f t="shared" si="7"/>
        <v>0.80512446879938104</v>
      </c>
    </row>
  </sheetData>
  <mergeCells count="4">
    <mergeCell ref="H1:J1"/>
    <mergeCell ref="E1:G1"/>
    <mergeCell ref="E8:G8"/>
    <mergeCell ref="H8:J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D63FC-394D-4FFB-879E-7E19D2391891}">
  <sheetPr>
    <tabColor theme="7" tint="0.79998168889431442"/>
  </sheetPr>
  <dimension ref="A3:P19"/>
  <sheetViews>
    <sheetView workbookViewId="0">
      <selection activeCell="C24" sqref="C24"/>
    </sheetView>
  </sheetViews>
  <sheetFormatPr defaultRowHeight="15" x14ac:dyDescent="0.25"/>
  <cols>
    <col min="1" max="1" width="16.140625" style="51" customWidth="1"/>
    <col min="2" max="2" width="53.28515625" style="51" customWidth="1"/>
    <col min="3" max="3" width="21.28515625" style="47" customWidth="1"/>
    <col min="4" max="4" width="13.140625" style="47" bestFit="1" customWidth="1"/>
    <col min="5" max="5" width="4.85546875" style="47" customWidth="1"/>
    <col min="6" max="6" width="16.7109375" style="47" customWidth="1"/>
    <col min="7" max="9" width="9.140625" style="47"/>
    <col min="10" max="10" width="5.140625" style="47" customWidth="1"/>
    <col min="11" max="11" width="18.7109375" style="47" customWidth="1"/>
    <col min="12" max="16384" width="9.140625" style="47"/>
  </cols>
  <sheetData>
    <row r="3" spans="1:16" ht="21" x14ac:dyDescent="0.35">
      <c r="A3" s="52"/>
      <c r="B3" s="47"/>
      <c r="F3" s="48"/>
      <c r="G3" s="48"/>
      <c r="H3" s="48"/>
    </row>
    <row r="4" spans="1:16" ht="21" x14ac:dyDescent="0.35">
      <c r="B4" s="54" t="s">
        <v>51</v>
      </c>
      <c r="C4" s="55" t="s">
        <v>8</v>
      </c>
      <c r="D4" s="56"/>
      <c r="F4" s="48"/>
      <c r="G4" s="48"/>
      <c r="H4" s="48"/>
      <c r="J4" s="48"/>
      <c r="K4" s="48"/>
    </row>
    <row r="5" spans="1:16" ht="42" x14ac:dyDescent="0.35">
      <c r="B5" s="62" t="s">
        <v>47</v>
      </c>
      <c r="C5" s="65">
        <v>10000</v>
      </c>
      <c r="D5" s="146">
        <f>+SUM(C4:C6)</f>
        <v>75000</v>
      </c>
      <c r="F5" s="57"/>
      <c r="G5" s="48"/>
      <c r="H5" s="48"/>
      <c r="J5" s="48"/>
      <c r="K5" s="48"/>
      <c r="P5" s="47" t="s">
        <v>46</v>
      </c>
    </row>
    <row r="6" spans="1:16" ht="21" x14ac:dyDescent="0.35">
      <c r="B6" s="66" t="s">
        <v>1</v>
      </c>
      <c r="C6" s="67">
        <v>65000</v>
      </c>
      <c r="D6" s="151"/>
      <c r="G6" s="15"/>
      <c r="H6" s="48"/>
      <c r="I6" s="48"/>
      <c r="K6" s="48"/>
    </row>
    <row r="7" spans="1:16" ht="21" x14ac:dyDescent="0.35">
      <c r="B7" s="54" t="s">
        <v>50</v>
      </c>
      <c r="C7" s="55" t="s">
        <v>8</v>
      </c>
      <c r="D7" s="56"/>
      <c r="I7" s="48"/>
      <c r="K7" s="48"/>
    </row>
    <row r="8" spans="1:16" ht="25.5" customHeight="1" x14ac:dyDescent="0.35">
      <c r="B8" s="62" t="s">
        <v>48</v>
      </c>
      <c r="C8" s="134">
        <v>5000</v>
      </c>
      <c r="D8" s="158">
        <f>+SUM(C8:C15)</f>
        <v>184500</v>
      </c>
      <c r="F8" s="48" t="s">
        <v>13</v>
      </c>
      <c r="G8" s="48"/>
      <c r="H8" s="48"/>
      <c r="I8" s="48"/>
      <c r="J8" s="48"/>
      <c r="K8" s="48"/>
    </row>
    <row r="9" spans="1:16" ht="21" x14ac:dyDescent="0.35">
      <c r="B9" s="63" t="s">
        <v>17</v>
      </c>
      <c r="C9" s="135">
        <v>10000</v>
      </c>
      <c r="D9" s="158"/>
      <c r="F9" s="48" t="s">
        <v>45</v>
      </c>
      <c r="G9" s="48"/>
      <c r="H9" s="48"/>
      <c r="I9" s="48"/>
      <c r="J9" s="48"/>
      <c r="K9" s="48"/>
    </row>
    <row r="10" spans="1:16" ht="21" x14ac:dyDescent="0.35">
      <c r="B10" s="63" t="s">
        <v>0</v>
      </c>
      <c r="C10" s="135">
        <v>6000</v>
      </c>
      <c r="D10" s="158"/>
      <c r="F10" s="16">
        <f>+D8+G6</f>
        <v>184500</v>
      </c>
      <c r="H10" s="48"/>
      <c r="I10" s="48"/>
      <c r="J10" s="48"/>
      <c r="K10" s="48"/>
    </row>
    <row r="11" spans="1:16" ht="42" x14ac:dyDescent="0.35">
      <c r="B11" s="63" t="s">
        <v>52</v>
      </c>
      <c r="C11" s="144">
        <v>3500</v>
      </c>
      <c r="D11" s="158"/>
      <c r="F11" s="48" t="s">
        <v>15</v>
      </c>
      <c r="G11" s="48"/>
      <c r="H11" s="48"/>
      <c r="I11" s="48"/>
      <c r="K11" s="48"/>
    </row>
    <row r="12" spans="1:16" ht="21" x14ac:dyDescent="0.35">
      <c r="B12" s="63" t="s">
        <v>49</v>
      </c>
      <c r="C12" s="135">
        <v>5000</v>
      </c>
      <c r="D12" s="158"/>
      <c r="F12" s="58">
        <v>0.05</v>
      </c>
      <c r="G12" s="48"/>
      <c r="H12" s="48"/>
      <c r="I12" s="48"/>
      <c r="J12" s="48"/>
      <c r="K12" s="48"/>
    </row>
    <row r="13" spans="1:16" ht="21" x14ac:dyDescent="0.35">
      <c r="B13" s="63" t="s">
        <v>23</v>
      </c>
      <c r="C13" s="135">
        <v>5000</v>
      </c>
      <c r="D13" s="158"/>
      <c r="F13" s="48"/>
      <c r="G13" s="48"/>
      <c r="H13" s="48"/>
      <c r="I13" s="48"/>
      <c r="J13" s="48"/>
      <c r="K13" s="48"/>
    </row>
    <row r="14" spans="1:16" ht="21" x14ac:dyDescent="0.35">
      <c r="B14" s="66" t="s">
        <v>96</v>
      </c>
      <c r="C14" s="145">
        <v>150000</v>
      </c>
      <c r="D14" s="158"/>
      <c r="F14" s="48"/>
      <c r="G14" s="48"/>
      <c r="H14" s="48"/>
      <c r="I14" s="48"/>
      <c r="J14" s="48"/>
      <c r="K14" s="48"/>
    </row>
    <row r="15" spans="1:16" ht="18.75" x14ac:dyDescent="0.3">
      <c r="C15" s="136"/>
      <c r="D15" s="137"/>
      <c r="F15" s="50" t="s">
        <v>14</v>
      </c>
      <c r="G15" s="50"/>
      <c r="H15" s="50"/>
      <c r="J15" s="48"/>
      <c r="K15" s="48"/>
    </row>
    <row r="16" spans="1:16" ht="21" x14ac:dyDescent="0.35">
      <c r="B16" s="60" t="s">
        <v>11</v>
      </c>
      <c r="C16" s="64">
        <f>+SUM(C4:C15)</f>
        <v>259500</v>
      </c>
      <c r="D16" s="61"/>
      <c r="F16" s="59">
        <f>+F10/F12</f>
        <v>3690000</v>
      </c>
      <c r="G16" s="50"/>
      <c r="H16" s="50"/>
      <c r="J16" s="48"/>
      <c r="K16" s="48"/>
    </row>
    <row r="17" spans="4:4" ht="21" x14ac:dyDescent="0.25">
      <c r="D17" s="53"/>
    </row>
    <row r="18" spans="4:4" ht="21" x14ac:dyDescent="0.25">
      <c r="D18" s="53"/>
    </row>
    <row r="19" spans="4:4" ht="21" x14ac:dyDescent="0.35">
      <c r="D19" s="49"/>
    </row>
  </sheetData>
  <mergeCells count="2">
    <mergeCell ref="D5:D6"/>
    <mergeCell ref="D8:D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D5EE7-9387-441E-BA7C-CA2671621663}">
  <sheetPr>
    <tabColor theme="7" tint="0.79998168889431442"/>
  </sheetPr>
  <dimension ref="B1:I22"/>
  <sheetViews>
    <sheetView tabSelected="1" zoomScale="145" zoomScaleNormal="145" workbookViewId="0">
      <selection activeCell="B1" sqref="B1:I22"/>
    </sheetView>
  </sheetViews>
  <sheetFormatPr defaultRowHeight="15" x14ac:dyDescent="0.25"/>
  <cols>
    <col min="1" max="1" width="0.85546875" style="74" customWidth="1"/>
    <col min="2" max="2" width="25.28515625" style="75" customWidth="1"/>
    <col min="3" max="3" width="12.28515625" style="74" bestFit="1" customWidth="1"/>
    <col min="4" max="9" width="14.28515625" style="74" bestFit="1" customWidth="1"/>
    <col min="10" max="16384" width="9.140625" style="74"/>
  </cols>
  <sheetData>
    <row r="1" spans="2:9" s="128" customFormat="1" ht="18.75" x14ac:dyDescent="0.3">
      <c r="C1" s="128">
        <v>2017</v>
      </c>
      <c r="D1" s="128">
        <v>2018</v>
      </c>
      <c r="E1" s="128">
        <v>2019</v>
      </c>
      <c r="F1" s="128">
        <v>2020</v>
      </c>
      <c r="G1" s="128">
        <v>2021</v>
      </c>
      <c r="H1" s="128">
        <v>2022</v>
      </c>
      <c r="I1" s="128">
        <v>2023</v>
      </c>
    </row>
    <row r="2" spans="2:9" s="68" customFormat="1" x14ac:dyDescent="0.25">
      <c r="B2" s="69" t="s">
        <v>54</v>
      </c>
      <c r="C2" s="68">
        <v>11400000</v>
      </c>
      <c r="D2" s="68">
        <f>+C2*(1+D3)</f>
        <v>22800000</v>
      </c>
      <c r="E2" s="68">
        <f t="shared" ref="E2:I2" si="0">+D2*(1+E3)</f>
        <v>34200000</v>
      </c>
      <c r="F2" s="68">
        <f t="shared" si="0"/>
        <v>42750000</v>
      </c>
      <c r="G2" s="68">
        <f t="shared" si="0"/>
        <v>51300000</v>
      </c>
      <c r="H2" s="68">
        <f t="shared" si="0"/>
        <v>58994999.999999993</v>
      </c>
      <c r="I2" s="68">
        <f t="shared" si="0"/>
        <v>67844249.999999985</v>
      </c>
    </row>
    <row r="3" spans="2:9" s="70" customFormat="1" x14ac:dyDescent="0.25">
      <c r="B3" s="71" t="s">
        <v>55</v>
      </c>
      <c r="D3" s="70">
        <v>1</v>
      </c>
      <c r="E3" s="70">
        <v>0.5</v>
      </c>
      <c r="F3" s="70">
        <v>0.25</v>
      </c>
      <c r="G3" s="70">
        <v>0.2</v>
      </c>
      <c r="H3" s="70">
        <v>0.15</v>
      </c>
      <c r="I3" s="70">
        <v>0.15</v>
      </c>
    </row>
    <row r="4" spans="2:9" s="72" customFormat="1" x14ac:dyDescent="0.25">
      <c r="B4" s="73" t="s">
        <v>56</v>
      </c>
      <c r="E4" s="85">
        <v>7.0000000000000007E-2</v>
      </c>
      <c r="F4" s="85">
        <f>+E4</f>
        <v>7.0000000000000007E-2</v>
      </c>
      <c r="G4" s="85">
        <f t="shared" ref="G4:I4" si="1">+F4</f>
        <v>7.0000000000000007E-2</v>
      </c>
      <c r="H4" s="85">
        <f t="shared" si="1"/>
        <v>7.0000000000000007E-2</v>
      </c>
      <c r="I4" s="85">
        <f t="shared" si="1"/>
        <v>7.0000000000000007E-2</v>
      </c>
    </row>
    <row r="5" spans="2:9" s="127" customFormat="1" ht="14.25" customHeight="1" x14ac:dyDescent="0.25">
      <c r="B5" s="126" t="s">
        <v>57</v>
      </c>
      <c r="D5" s="127">
        <f>+D4*D2</f>
        <v>0</v>
      </c>
      <c r="E5" s="127">
        <f t="shared" ref="E5:I5" si="2">+E4*E2</f>
        <v>2394000</v>
      </c>
      <c r="F5" s="127">
        <f t="shared" si="2"/>
        <v>2992500.0000000005</v>
      </c>
      <c r="G5" s="127">
        <f t="shared" si="2"/>
        <v>3591000.0000000005</v>
      </c>
      <c r="H5" s="127">
        <f t="shared" si="2"/>
        <v>4129650</v>
      </c>
      <c r="I5" s="127">
        <f t="shared" si="2"/>
        <v>4749097.4999999991</v>
      </c>
    </row>
    <row r="6" spans="2:9" x14ac:dyDescent="0.25">
      <c r="B6" s="75" t="s">
        <v>58</v>
      </c>
      <c r="E6" s="74">
        <v>150000</v>
      </c>
      <c r="F6" s="74">
        <f>+E6</f>
        <v>150000</v>
      </c>
      <c r="G6" s="74">
        <f t="shared" ref="G6:I6" si="3">+F6</f>
        <v>150000</v>
      </c>
      <c r="H6" s="74">
        <f t="shared" si="3"/>
        <v>150000</v>
      </c>
      <c r="I6" s="74">
        <f t="shared" si="3"/>
        <v>150000</v>
      </c>
    </row>
    <row r="7" spans="2:9" x14ac:dyDescent="0.25">
      <c r="B7" s="75" t="s">
        <v>59</v>
      </c>
      <c r="E7" s="74">
        <v>34500</v>
      </c>
      <c r="F7" s="74">
        <v>34500</v>
      </c>
      <c r="G7" s="74">
        <v>34500</v>
      </c>
      <c r="H7" s="74">
        <v>34500</v>
      </c>
      <c r="I7" s="74">
        <v>34500</v>
      </c>
    </row>
    <row r="8" spans="2:9" x14ac:dyDescent="0.25">
      <c r="B8" s="75" t="s">
        <v>60</v>
      </c>
      <c r="E8" s="74">
        <v>0.05</v>
      </c>
      <c r="F8" s="74">
        <v>0.05</v>
      </c>
      <c r="G8" s="74">
        <v>0.05</v>
      </c>
      <c r="H8" s="74">
        <v>0.05</v>
      </c>
      <c r="I8" s="74">
        <v>0.05</v>
      </c>
    </row>
    <row r="9" spans="2:9" x14ac:dyDescent="0.25">
      <c r="B9" s="75" t="s">
        <v>61</v>
      </c>
      <c r="E9" s="74">
        <f>+E8*E5</f>
        <v>119700</v>
      </c>
      <c r="F9" s="74">
        <f>+F8*F5</f>
        <v>149625.00000000003</v>
      </c>
      <c r="G9" s="74">
        <f>+G8*G5</f>
        <v>179550.00000000003</v>
      </c>
      <c r="H9" s="74">
        <f>+H8*H5</f>
        <v>206482.5</v>
      </c>
      <c r="I9" s="74">
        <f>+I8*I5</f>
        <v>237454.87499999997</v>
      </c>
    </row>
    <row r="10" spans="2:9" x14ac:dyDescent="0.25">
      <c r="B10" s="75" t="s">
        <v>62</v>
      </c>
      <c r="D10" s="74">
        <v>-75000</v>
      </c>
    </row>
    <row r="11" spans="2:9" x14ac:dyDescent="0.25">
      <c r="B11" s="75" t="s">
        <v>63</v>
      </c>
      <c r="D11" s="74">
        <f t="shared" ref="D11:I11" si="4">-(D7+D6)</f>
        <v>0</v>
      </c>
      <c r="E11" s="74">
        <f t="shared" si="4"/>
        <v>-184500</v>
      </c>
      <c r="F11" s="74">
        <f t="shared" si="4"/>
        <v>-184500</v>
      </c>
      <c r="G11" s="74">
        <f t="shared" si="4"/>
        <v>-184500</v>
      </c>
      <c r="H11" s="74">
        <f t="shared" si="4"/>
        <v>-184500</v>
      </c>
      <c r="I11" s="74">
        <f t="shared" si="4"/>
        <v>-184500</v>
      </c>
    </row>
    <row r="12" spans="2:9" x14ac:dyDescent="0.25">
      <c r="B12" s="75" t="s">
        <v>64</v>
      </c>
      <c r="E12" s="74">
        <f>0.2*$D$10</f>
        <v>-15000</v>
      </c>
      <c r="F12" s="74">
        <f t="shared" ref="F12:I12" si="5">0.2*$D$10</f>
        <v>-15000</v>
      </c>
      <c r="G12" s="74">
        <f t="shared" si="5"/>
        <v>-15000</v>
      </c>
      <c r="H12" s="74">
        <f t="shared" si="5"/>
        <v>-15000</v>
      </c>
      <c r="I12" s="74">
        <f t="shared" si="5"/>
        <v>-15000</v>
      </c>
    </row>
    <row r="13" spans="2:9" s="76" customFormat="1" x14ac:dyDescent="0.25">
      <c r="B13" s="77" t="s">
        <v>65</v>
      </c>
      <c r="E13" s="76">
        <f>+E9+E11</f>
        <v>-64800</v>
      </c>
      <c r="F13" s="76">
        <f t="shared" ref="F13:I13" si="6">+F9+F11</f>
        <v>-34874.999999999971</v>
      </c>
      <c r="G13" s="76">
        <f t="shared" si="6"/>
        <v>-4949.9999999999709</v>
      </c>
      <c r="H13" s="76">
        <f t="shared" si="6"/>
        <v>21982.5</v>
      </c>
      <c r="I13" s="76">
        <f t="shared" si="6"/>
        <v>52954.874999999971</v>
      </c>
    </row>
    <row r="14" spans="2:9" s="76" customFormat="1" x14ac:dyDescent="0.25">
      <c r="B14" s="77" t="s">
        <v>66</v>
      </c>
      <c r="E14" s="76">
        <f>+E9+E11+E12</f>
        <v>-79800</v>
      </c>
      <c r="F14" s="76">
        <f>+F9+F11+F12</f>
        <v>-49874.999999999971</v>
      </c>
      <c r="G14" s="76">
        <f>+G9+G11+G12</f>
        <v>-19949.999999999971</v>
      </c>
      <c r="H14" s="76">
        <f>+H9+H11+H12</f>
        <v>6982.5</v>
      </c>
      <c r="I14" s="76">
        <f>+I9+I11+I12</f>
        <v>37954.874999999971</v>
      </c>
    </row>
    <row r="15" spans="2:9" s="68" customFormat="1" x14ac:dyDescent="0.25">
      <c r="B15" s="69" t="s">
        <v>67</v>
      </c>
      <c r="C15" s="72"/>
      <c r="E15" s="68">
        <f>+IF(E14&lt;0,0,E14)</f>
        <v>0</v>
      </c>
      <c r="F15" s="68">
        <f>+IF(F14&lt;0,0,F14)</f>
        <v>0</v>
      </c>
      <c r="G15" s="68">
        <f>+IF(G14&lt;0,0,G14)</f>
        <v>0</v>
      </c>
      <c r="H15" s="68">
        <f>+IF(H14&lt;0,0,H14)</f>
        <v>6982.5</v>
      </c>
      <c r="I15" s="68">
        <f>+IF(I14&lt;0,0,I14)</f>
        <v>37954.874999999971</v>
      </c>
    </row>
    <row r="16" spans="2:9" s="68" customFormat="1" x14ac:dyDescent="0.25">
      <c r="B16" s="69" t="s">
        <v>68</v>
      </c>
      <c r="C16" s="78">
        <v>0.3</v>
      </c>
      <c r="D16" s="68">
        <f>+D14*$C$16</f>
        <v>0</v>
      </c>
      <c r="E16" s="68">
        <f>+E15*$C$16</f>
        <v>0</v>
      </c>
      <c r="F16" s="68">
        <f t="shared" ref="F16:I16" si="7">+F15*$C$16</f>
        <v>0</v>
      </c>
      <c r="G16" s="68">
        <f t="shared" si="7"/>
        <v>0</v>
      </c>
      <c r="H16" s="68">
        <f t="shared" si="7"/>
        <v>2094.75</v>
      </c>
      <c r="I16" s="68">
        <f t="shared" si="7"/>
        <v>11386.462499999991</v>
      </c>
    </row>
    <row r="17" spans="2:9" s="79" customFormat="1" x14ac:dyDescent="0.25">
      <c r="B17" s="80" t="s">
        <v>74</v>
      </c>
      <c r="F17" s="79">
        <f>+E18</f>
        <v>-79800</v>
      </c>
      <c r="G17" s="79">
        <f>+F18</f>
        <v>-129674.99999999997</v>
      </c>
      <c r="H17" s="79">
        <f>+G18</f>
        <v>-149624.99999999994</v>
      </c>
      <c r="I17" s="79">
        <f>+H18</f>
        <v>-142642.49999999994</v>
      </c>
    </row>
    <row r="18" spans="2:9" s="81" customFormat="1" x14ac:dyDescent="0.25">
      <c r="B18" s="82" t="s">
        <v>69</v>
      </c>
      <c r="E18" s="81">
        <f>+E14</f>
        <v>-79800</v>
      </c>
      <c r="F18" s="81">
        <f>+F14+F17</f>
        <v>-129674.99999999997</v>
      </c>
      <c r="G18" s="81">
        <f t="shared" ref="G18:I18" si="8">+G14+G17</f>
        <v>-149624.99999999994</v>
      </c>
      <c r="H18" s="81">
        <f t="shared" si="8"/>
        <v>-142642.49999999994</v>
      </c>
      <c r="I18" s="81">
        <f t="shared" si="8"/>
        <v>-104687.62499999997</v>
      </c>
    </row>
    <row r="19" spans="2:9" s="81" customFormat="1" x14ac:dyDescent="0.25">
      <c r="B19" s="82" t="s">
        <v>70</v>
      </c>
      <c r="F19" s="81">
        <f>+IF(F18&gt;0,$C$16*F18,0)</f>
        <v>0</v>
      </c>
      <c r="G19" s="81">
        <f>+IF(G18&gt;0,$C$16*G18,0)</f>
        <v>0</v>
      </c>
      <c r="H19" s="81">
        <f>+IF(H18&gt;0,$C$16*H18,0)</f>
        <v>0</v>
      </c>
      <c r="I19" s="81">
        <f>+IF(I18&gt;0,$C$16*I18,0)</f>
        <v>0</v>
      </c>
    </row>
    <row r="20" spans="2:9" s="76" customFormat="1" x14ac:dyDescent="0.25">
      <c r="B20" s="77" t="s">
        <v>71</v>
      </c>
      <c r="E20" s="76">
        <f>+E14-E19</f>
        <v>-79800</v>
      </c>
      <c r="F20" s="76">
        <f t="shared" ref="F20:I20" si="9">+F14-F19</f>
        <v>-49874.999999999971</v>
      </c>
      <c r="G20" s="76">
        <f t="shared" si="9"/>
        <v>-19949.999999999971</v>
      </c>
      <c r="H20" s="76">
        <f t="shared" si="9"/>
        <v>6982.5</v>
      </c>
      <c r="I20" s="76">
        <f t="shared" si="9"/>
        <v>37954.874999999971</v>
      </c>
    </row>
    <row r="21" spans="2:9" s="83" customFormat="1" x14ac:dyDescent="0.25">
      <c r="B21" s="84" t="s">
        <v>72</v>
      </c>
      <c r="D21" s="83">
        <f t="shared" ref="D21" si="10">+SUM(D9:D11)</f>
        <v>-75000</v>
      </c>
      <c r="E21" s="83">
        <f>+SUM(E9:E11)-E19</f>
        <v>-64800</v>
      </c>
      <c r="F21" s="83">
        <f t="shared" ref="F21:I21" si="11">+SUM(F9:F11)-F19</f>
        <v>-34874.999999999971</v>
      </c>
      <c r="G21" s="83">
        <f t="shared" si="11"/>
        <v>-4949.9999999999709</v>
      </c>
      <c r="H21" s="83">
        <f t="shared" si="11"/>
        <v>21982.5</v>
      </c>
      <c r="I21" s="83">
        <f t="shared" si="11"/>
        <v>52954.874999999971</v>
      </c>
    </row>
    <row r="22" spans="2:9" s="83" customFormat="1" x14ac:dyDescent="0.25">
      <c r="B22" s="84" t="s">
        <v>73</v>
      </c>
      <c r="D22" s="83">
        <f>+D21</f>
        <v>-75000</v>
      </c>
      <c r="E22" s="83">
        <f>+D22+E21</f>
        <v>-139800</v>
      </c>
      <c r="F22" s="83">
        <f t="shared" ref="F22:I22" si="12">+E22+F21</f>
        <v>-174674.99999999997</v>
      </c>
      <c r="G22" s="83">
        <f t="shared" si="12"/>
        <v>-179624.99999999994</v>
      </c>
      <c r="H22" s="83">
        <f t="shared" si="12"/>
        <v>-157642.49999999994</v>
      </c>
      <c r="I22" s="83">
        <f t="shared" si="12"/>
        <v>-104687.62499999997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5B190-8895-460B-80D9-36E51648E556}">
  <sheetPr>
    <tabColor theme="7" tint="0.79998168889431442"/>
  </sheetPr>
  <dimension ref="A1:J14"/>
  <sheetViews>
    <sheetView zoomScale="160" zoomScaleNormal="160" workbookViewId="0">
      <selection activeCell="C10" sqref="C10"/>
    </sheetView>
  </sheetViews>
  <sheetFormatPr defaultRowHeight="15" x14ac:dyDescent="0.25"/>
  <cols>
    <col min="1" max="1" width="9.140625" style="87"/>
    <col min="2" max="3" width="14.28515625" style="87" customWidth="1"/>
    <col min="4" max="4" width="15.5703125" style="87" customWidth="1"/>
    <col min="5" max="5" width="14.5703125" style="87" customWidth="1"/>
    <col min="6" max="10" width="13.28515625" style="87" bestFit="1" customWidth="1"/>
    <col min="11" max="16384" width="9.140625" style="87"/>
  </cols>
  <sheetData>
    <row r="1" spans="1:10" s="86" customFormat="1" ht="62.25" customHeight="1" x14ac:dyDescent="0.25">
      <c r="B1" s="120" t="s">
        <v>75</v>
      </c>
      <c r="C1" s="121" t="s">
        <v>76</v>
      </c>
      <c r="D1" s="122" t="s">
        <v>77</v>
      </c>
      <c r="E1" s="152" t="s">
        <v>78</v>
      </c>
      <c r="F1" s="153"/>
      <c r="G1" s="154"/>
      <c r="H1" s="152" t="s">
        <v>79</v>
      </c>
      <c r="I1" s="153"/>
      <c r="J1" s="154"/>
    </row>
    <row r="2" spans="1:10" s="94" customFormat="1" x14ac:dyDescent="0.25">
      <c r="B2" s="123"/>
      <c r="C2" s="124"/>
      <c r="D2" s="125"/>
      <c r="E2" s="95">
        <v>8</v>
      </c>
      <c r="F2" s="101">
        <v>10</v>
      </c>
      <c r="G2" s="96">
        <v>12</v>
      </c>
      <c r="H2" s="95">
        <v>8</v>
      </c>
      <c r="I2" s="103">
        <v>10</v>
      </c>
      <c r="J2" s="96">
        <v>12</v>
      </c>
    </row>
    <row r="3" spans="1:10" s="104" customFormat="1" x14ac:dyDescent="0.25">
      <c r="A3" s="104">
        <v>5</v>
      </c>
      <c r="B3" s="105">
        <v>0.06</v>
      </c>
      <c r="C3" s="106">
        <v>-251265</v>
      </c>
      <c r="D3" s="106">
        <v>19032.749999999971</v>
      </c>
      <c r="E3" s="107">
        <f t="shared" ref="E3:G7" si="0">+$D3*E$2</f>
        <v>152261.99999999977</v>
      </c>
      <c r="F3" s="108">
        <f t="shared" si="0"/>
        <v>190327.49999999971</v>
      </c>
      <c r="G3" s="109">
        <f t="shared" si="0"/>
        <v>228392.99999999965</v>
      </c>
      <c r="H3" s="110">
        <f>-1+((E3/-$C3)^(1/$A3))</f>
        <v>-9.5326421941022588E-2</v>
      </c>
      <c r="I3" s="110">
        <f t="shared" ref="I3:J7" si="1">-1+((F3/-$C3)^(1/$A3))</f>
        <v>-5.403752459726463E-2</v>
      </c>
      <c r="J3" s="111">
        <f t="shared" si="1"/>
        <v>-1.8907042446621336E-2</v>
      </c>
    </row>
    <row r="4" spans="1:10" s="88" customFormat="1" x14ac:dyDescent="0.25">
      <c r="A4" s="88">
        <v>5</v>
      </c>
      <c r="B4" s="98">
        <v>7.0000000000000007E-2</v>
      </c>
      <c r="C4" s="90">
        <v>-179624.99999999994</v>
      </c>
      <c r="D4" s="90">
        <v>52954.874999999971</v>
      </c>
      <c r="E4" s="92">
        <f t="shared" si="0"/>
        <v>423638.99999999977</v>
      </c>
      <c r="F4" s="102">
        <f t="shared" si="0"/>
        <v>529548.74999999977</v>
      </c>
      <c r="G4" s="93">
        <f t="shared" si="0"/>
        <v>635458.49999999965</v>
      </c>
      <c r="H4" s="97">
        <f t="shared" ref="H4:H7" si="2">-1+((E4/-$C4)^(1/$A4))</f>
        <v>0.18720531057683387</v>
      </c>
      <c r="I4" s="97">
        <f t="shared" si="1"/>
        <v>0.24138882978554421</v>
      </c>
      <c r="J4" s="99">
        <f t="shared" si="1"/>
        <v>0.28749064593657292</v>
      </c>
    </row>
    <row r="5" spans="1:10" s="114" customFormat="1" x14ac:dyDescent="0.25">
      <c r="A5" s="104">
        <v>5</v>
      </c>
      <c r="B5" s="112">
        <v>0.08</v>
      </c>
      <c r="C5" s="113">
        <v>-136200</v>
      </c>
      <c r="D5" s="113">
        <v>86876.999999999942</v>
      </c>
      <c r="E5" s="107">
        <f t="shared" si="0"/>
        <v>695015.99999999953</v>
      </c>
      <c r="F5" s="108">
        <f t="shared" si="0"/>
        <v>868769.99999999942</v>
      </c>
      <c r="G5" s="109">
        <f t="shared" si="0"/>
        <v>1042523.9999999993</v>
      </c>
      <c r="H5" s="110">
        <f t="shared" si="2"/>
        <v>0.38536285519064917</v>
      </c>
      <c r="I5" s="110">
        <f t="shared" si="1"/>
        <v>0.44859019607811934</v>
      </c>
      <c r="J5" s="111">
        <f t="shared" si="1"/>
        <v>0.50238690932010432</v>
      </c>
    </row>
    <row r="6" spans="1:10" s="89" customFormat="1" x14ac:dyDescent="0.25">
      <c r="A6" s="88">
        <v>5</v>
      </c>
      <c r="B6" s="100">
        <v>0.09</v>
      </c>
      <c r="C6" s="91">
        <v>-105600</v>
      </c>
      <c r="D6" s="91">
        <v>120799.12499999994</v>
      </c>
      <c r="E6" s="92">
        <f t="shared" si="0"/>
        <v>966392.99999999953</v>
      </c>
      <c r="F6" s="102">
        <f t="shared" si="0"/>
        <v>1207991.2499999995</v>
      </c>
      <c r="G6" s="93">
        <f t="shared" si="0"/>
        <v>1449589.4999999993</v>
      </c>
      <c r="H6" s="97">
        <f t="shared" si="2"/>
        <v>0.55703355316513514</v>
      </c>
      <c r="I6" s="97">
        <f t="shared" si="1"/>
        <v>0.62809586790119232</v>
      </c>
      <c r="J6" s="99">
        <f t="shared" si="1"/>
        <v>0.68855893521523992</v>
      </c>
    </row>
    <row r="7" spans="1:10" s="114" customFormat="1" x14ac:dyDescent="0.25">
      <c r="A7" s="104">
        <v>5</v>
      </c>
      <c r="B7" s="112">
        <v>0.1</v>
      </c>
      <c r="C7" s="113">
        <v>-88500</v>
      </c>
      <c r="D7" s="113">
        <v>154721.25</v>
      </c>
      <c r="E7" s="115">
        <f t="shared" si="0"/>
        <v>1237770</v>
      </c>
      <c r="F7" s="116">
        <f t="shared" si="0"/>
        <v>1547212.5</v>
      </c>
      <c r="G7" s="117">
        <f t="shared" si="0"/>
        <v>1856655</v>
      </c>
      <c r="H7" s="118">
        <f t="shared" si="2"/>
        <v>0.69488148848450848</v>
      </c>
      <c r="I7" s="118">
        <f t="shared" si="1"/>
        <v>0.77223512131417271</v>
      </c>
      <c r="J7" s="119">
        <f t="shared" si="1"/>
        <v>0.83805112978698681</v>
      </c>
    </row>
    <row r="8" spans="1:10" x14ac:dyDescent="0.25">
      <c r="E8" s="155" t="s">
        <v>78</v>
      </c>
      <c r="F8" s="156"/>
      <c r="G8" s="157"/>
      <c r="H8" s="155" t="s">
        <v>79</v>
      </c>
      <c r="I8" s="156"/>
      <c r="J8" s="157"/>
    </row>
    <row r="9" spans="1:10" x14ac:dyDescent="0.25">
      <c r="C9" s="87" t="s">
        <v>95</v>
      </c>
      <c r="D9" s="129">
        <v>0.91</v>
      </c>
      <c r="E9" s="130">
        <v>8</v>
      </c>
      <c r="F9" s="131">
        <v>10</v>
      </c>
      <c r="G9" s="132">
        <v>12</v>
      </c>
      <c r="H9" s="130">
        <v>8</v>
      </c>
      <c r="I9" s="133">
        <v>10</v>
      </c>
      <c r="J9" s="132">
        <v>12</v>
      </c>
    </row>
    <row r="10" spans="1:10" x14ac:dyDescent="0.25">
      <c r="E10" s="107">
        <f>+$D3*E$2*$D$9</f>
        <v>138558.41999999978</v>
      </c>
      <c r="F10" s="108">
        <f t="shared" ref="E10:G14" si="3">+$D3*F$2*$D$9</f>
        <v>173198.02499999973</v>
      </c>
      <c r="G10" s="109">
        <f t="shared" si="3"/>
        <v>207837.62999999968</v>
      </c>
      <c r="H10" s="110">
        <f>-1+((E10/-$C3)^(1/$A3))</f>
        <v>-0.11223057254025703</v>
      </c>
      <c r="I10" s="110">
        <f t="shared" ref="I10:J14" si="4">-1+((F10/-$C3)^(1/$A3))</f>
        <v>-7.1713173066783598E-2</v>
      </c>
      <c r="J10" s="111">
        <f t="shared" si="4"/>
        <v>-3.7239116587565735E-2</v>
      </c>
    </row>
    <row r="11" spans="1:10" x14ac:dyDescent="0.25">
      <c r="E11" s="92">
        <f t="shared" si="3"/>
        <v>385511.48999999982</v>
      </c>
      <c r="F11" s="102">
        <f t="shared" si="3"/>
        <v>481889.36249999981</v>
      </c>
      <c r="G11" s="93">
        <f t="shared" si="3"/>
        <v>578267.23499999975</v>
      </c>
      <c r="H11" s="97">
        <f t="shared" ref="H11:H14" si="5">-1+((E11/-$C4)^(1/$A4))</f>
        <v>0.16502195312180579</v>
      </c>
      <c r="I11" s="97">
        <f t="shared" si="4"/>
        <v>0.21819303382129629</v>
      </c>
      <c r="J11" s="99">
        <f t="shared" si="4"/>
        <v>0.26343342098620681</v>
      </c>
    </row>
    <row r="12" spans="1:10" x14ac:dyDescent="0.25">
      <c r="E12" s="107">
        <f t="shared" si="3"/>
        <v>632464.55999999959</v>
      </c>
      <c r="F12" s="108">
        <f t="shared" si="3"/>
        <v>790580.69999999949</v>
      </c>
      <c r="G12" s="109">
        <f t="shared" si="3"/>
        <v>948696.83999999939</v>
      </c>
      <c r="H12" s="110">
        <f t="shared" si="5"/>
        <v>0.35947685287258269</v>
      </c>
      <c r="I12" s="110">
        <f t="shared" si="4"/>
        <v>0.42152276819587953</v>
      </c>
      <c r="J12" s="111">
        <f t="shared" si="4"/>
        <v>0.47431427053700292</v>
      </c>
    </row>
    <row r="13" spans="1:10" x14ac:dyDescent="0.25">
      <c r="E13" s="92">
        <f t="shared" si="3"/>
        <v>879417.62999999966</v>
      </c>
      <c r="F13" s="102">
        <f t="shared" si="3"/>
        <v>1099272.0374999996</v>
      </c>
      <c r="G13" s="93">
        <f t="shared" si="3"/>
        <v>1319126.4449999994</v>
      </c>
      <c r="H13" s="97">
        <f t="shared" si="5"/>
        <v>0.52793982222271496</v>
      </c>
      <c r="I13" s="97">
        <f t="shared" si="4"/>
        <v>0.59767431209534916</v>
      </c>
      <c r="J13" s="99">
        <f t="shared" si="4"/>
        <v>0.6570076052893643</v>
      </c>
    </row>
    <row r="14" spans="1:10" x14ac:dyDescent="0.25">
      <c r="E14" s="115">
        <f t="shared" si="3"/>
        <v>1126370.7</v>
      </c>
      <c r="F14" s="116">
        <f t="shared" si="3"/>
        <v>1407963.375</v>
      </c>
      <c r="G14" s="117">
        <f t="shared" si="3"/>
        <v>1689556.05</v>
      </c>
      <c r="H14" s="118">
        <f t="shared" si="5"/>
        <v>0.66321201938089236</v>
      </c>
      <c r="I14" s="118">
        <f t="shared" si="4"/>
        <v>0.73912027180986439</v>
      </c>
      <c r="J14" s="119">
        <f t="shared" si="4"/>
        <v>0.80370648453529747</v>
      </c>
    </row>
  </sheetData>
  <mergeCells count="4">
    <mergeCell ref="E1:G1"/>
    <mergeCell ref="H1:J1"/>
    <mergeCell ref="E8:G8"/>
    <mergeCell ref="H8:J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Foglio1</vt:lpstr>
      <vt:lpstr>Foglio2</vt:lpstr>
      <vt:lpstr>sintetico</vt:lpstr>
      <vt:lpstr>BUDGET1</vt:lpstr>
      <vt:lpstr>Multipli 1</vt:lpstr>
      <vt:lpstr>sintetico (2)</vt:lpstr>
      <vt:lpstr>BUDGET(2)</vt:lpstr>
      <vt:lpstr>Multipli(2)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sculler boston</dc:creator>
  <cp:lastModifiedBy>sculler boston</cp:lastModifiedBy>
  <dcterms:created xsi:type="dcterms:W3CDTF">2018-03-26T12:16:08Z</dcterms:created>
  <dcterms:modified xsi:type="dcterms:W3CDTF">2018-04-17T18:59:19Z</dcterms:modified>
</cp:coreProperties>
</file>