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2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P24" i="13" l="1"/>
  <c r="P25" i="13"/>
  <c r="P26" i="13"/>
  <c r="P27" i="13"/>
  <c r="P23" i="13"/>
  <c r="AD13" i="13"/>
  <c r="AD24" i="13"/>
  <c r="AD25" i="13"/>
  <c r="AD26" i="13"/>
  <c r="AD27" i="13"/>
  <c r="AD23" i="13"/>
  <c r="O33" i="13"/>
  <c r="O32" i="13"/>
  <c r="O23" i="13"/>
  <c r="O24" i="13"/>
  <c r="O25" i="13"/>
  <c r="O26" i="13"/>
  <c r="O27" i="13"/>
  <c r="Y28" i="17" l="1"/>
  <c r="Z28" i="17"/>
  <c r="X28" i="17"/>
  <c r="Y23" i="17"/>
  <c r="Z23" i="17"/>
  <c r="Y24" i="17"/>
  <c r="Z24" i="17"/>
  <c r="Y25" i="17"/>
  <c r="Z25" i="17"/>
  <c r="Y26" i="17"/>
  <c r="Z26" i="17"/>
  <c r="Y27" i="17"/>
  <c r="Z27" i="17"/>
  <c r="X24" i="17"/>
  <c r="X25" i="17"/>
  <c r="X26" i="17"/>
  <c r="X27" i="17"/>
  <c r="X23" i="17"/>
  <c r="Y22" i="17"/>
  <c r="Z22" i="17"/>
  <c r="X22" i="17"/>
  <c r="U23" i="17"/>
  <c r="V23" i="17"/>
  <c r="U24" i="17"/>
  <c r="V24" i="17"/>
  <c r="U25" i="17"/>
  <c r="V25" i="17"/>
  <c r="U26" i="17"/>
  <c r="V26" i="17"/>
  <c r="U27" i="17"/>
  <c r="V27" i="17"/>
  <c r="T24" i="17"/>
  <c r="T25" i="17"/>
  <c r="T26" i="17"/>
  <c r="T27" i="17"/>
  <c r="T23" i="17"/>
  <c r="U22" i="17"/>
  <c r="V22" i="17"/>
  <c r="T22" i="17"/>
  <c r="S24" i="17"/>
  <c r="S25" i="17"/>
  <c r="S26" i="17"/>
  <c r="S27" i="17"/>
  <c r="S23" i="17"/>
  <c r="Q30" i="17" l="1"/>
  <c r="Q31" i="17"/>
  <c r="Q32" i="17"/>
  <c r="Q33" i="17"/>
  <c r="Q29" i="17"/>
  <c r="O30" i="17"/>
  <c r="O31" i="17"/>
  <c r="O32" i="17"/>
  <c r="O33" i="17"/>
  <c r="O29" i="17"/>
  <c r="L22" i="17"/>
  <c r="M22" i="17"/>
  <c r="K22" i="17"/>
  <c r="L23" i="17"/>
  <c r="M23" i="17"/>
  <c r="L24" i="17"/>
  <c r="M24" i="17"/>
  <c r="L25" i="17"/>
  <c r="M25" i="17"/>
  <c r="L26" i="17"/>
  <c r="M26" i="17"/>
  <c r="L27" i="17"/>
  <c r="M27" i="17"/>
  <c r="K24" i="17"/>
  <c r="K25" i="17"/>
  <c r="K26" i="17"/>
  <c r="K27" i="17"/>
  <c r="K23" i="17"/>
  <c r="M17" i="17" l="1"/>
  <c r="N17" i="17"/>
  <c r="L17" i="17"/>
  <c r="L34" i="17" l="1"/>
  <c r="L35" i="17" s="1"/>
  <c r="F12" i="17"/>
  <c r="F32" i="17" s="1"/>
  <c r="D12" i="17"/>
  <c r="G13" i="17"/>
  <c r="M13" i="17" s="1"/>
  <c r="H13" i="17"/>
  <c r="N13" i="17" s="1"/>
  <c r="I13" i="17"/>
  <c r="F13" i="17"/>
  <c r="L13" i="17" s="1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L16" i="17" s="1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K16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N15" i="17" s="1"/>
  <c r="G16" i="17"/>
  <c r="F16" i="17"/>
  <c r="L15" i="17" s="1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K15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L14" i="17" s="1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B5" i="17"/>
  <c r="E4" i="17"/>
  <c r="D4" i="17"/>
  <c r="B4" i="17"/>
  <c r="L36" i="17" l="1"/>
  <c r="M15" i="17"/>
  <c r="M16" i="17"/>
  <c r="C34" i="17"/>
  <c r="K14" i="17"/>
  <c r="M14" i="17"/>
  <c r="N16" i="17"/>
  <c r="N14" i="17"/>
  <c r="F21" i="17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Z13" i="13" l="1"/>
  <c r="Z22" i="13" s="1"/>
  <c r="Z15" i="13"/>
  <c r="Z27" i="13"/>
  <c r="L23" i="13"/>
  <c r="Z23" i="13" s="1"/>
  <c r="L24" i="13"/>
  <c r="Z24" i="13" s="1"/>
  <c r="L25" i="13"/>
  <c r="Z25" i="13" s="1"/>
  <c r="L26" i="13"/>
  <c r="Z26" i="13" s="1"/>
  <c r="L27" i="13"/>
  <c r="L14" i="13"/>
  <c r="Z14" i="13" s="1"/>
  <c r="L15" i="13"/>
  <c r="L16" i="13"/>
  <c r="L17" i="13"/>
  <c r="Z17" i="13" s="1"/>
  <c r="L18" i="13"/>
  <c r="Z18" i="13" s="1"/>
  <c r="L5" i="13"/>
  <c r="Z5" i="13" s="1"/>
  <c r="L6" i="13"/>
  <c r="Z6" i="13" s="1"/>
  <c r="L7" i="13"/>
  <c r="L8" i="13"/>
  <c r="Z8" i="13" s="1"/>
  <c r="L9" i="13"/>
  <c r="Z9" i="13" s="1"/>
  <c r="H23" i="13"/>
  <c r="U23" i="13" s="1"/>
  <c r="H24" i="13"/>
  <c r="U24" i="13" s="1"/>
  <c r="H25" i="13"/>
  <c r="U25" i="13" s="1"/>
  <c r="H26" i="13"/>
  <c r="U26" i="13" s="1"/>
  <c r="H27" i="13"/>
  <c r="U27" i="13" s="1"/>
  <c r="H13" i="13"/>
  <c r="L13" i="13" s="1"/>
  <c r="L22" i="13" s="1"/>
  <c r="H14" i="13"/>
  <c r="U14" i="13" s="1"/>
  <c r="H15" i="13"/>
  <c r="U15" i="13" s="1"/>
  <c r="H16" i="13"/>
  <c r="U16" i="13" s="1"/>
  <c r="H17" i="13"/>
  <c r="U17" i="13" s="1"/>
  <c r="H18" i="13"/>
  <c r="U18" i="13" s="1"/>
  <c r="H4" i="13"/>
  <c r="L4" i="13" s="1"/>
  <c r="H5" i="13"/>
  <c r="U5" i="13" s="1"/>
  <c r="H6" i="13"/>
  <c r="U6" i="13" s="1"/>
  <c r="H7" i="13"/>
  <c r="U7" i="13" s="1"/>
  <c r="H8" i="13"/>
  <c r="U8" i="13" s="1"/>
  <c r="H9" i="13"/>
  <c r="U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F30" i="13" s="1"/>
  <c r="G30" i="13" s="1"/>
  <c r="H30" i="13" s="1"/>
  <c r="AA13" i="13"/>
  <c r="AA22" i="13" s="1"/>
  <c r="AB13" i="13"/>
  <c r="AB22" i="13" s="1"/>
  <c r="Y13" i="13"/>
  <c r="Y22" i="13" s="1"/>
  <c r="X18" i="6"/>
  <c r="AM17" i="9"/>
  <c r="AM27" i="9" s="1"/>
  <c r="AM33" i="9" s="1"/>
  <c r="X21" i="6"/>
  <c r="X21" i="9" s="1"/>
  <c r="M24" i="13" s="1"/>
  <c r="AA24" i="13" s="1"/>
  <c r="X22" i="6"/>
  <c r="X22" i="9" s="1"/>
  <c r="AM10" i="9" s="1"/>
  <c r="X23" i="6"/>
  <c r="X23" i="9" s="1"/>
  <c r="M26" i="13" s="1"/>
  <c r="AA26" i="13" s="1"/>
  <c r="X24" i="6"/>
  <c r="X24" i="9" s="1"/>
  <c r="M27" i="13" s="1"/>
  <c r="AA27" i="13" s="1"/>
  <c r="X25" i="6"/>
  <c r="X25" i="9" s="1"/>
  <c r="X20" i="6"/>
  <c r="X20" i="9" s="1"/>
  <c r="M23" i="13" s="1"/>
  <c r="AA23" i="13" s="1"/>
  <c r="X19" i="6"/>
  <c r="AZ19" i="6" s="1"/>
  <c r="X9" i="6"/>
  <c r="X9" i="9" s="1"/>
  <c r="I24" i="13" s="1"/>
  <c r="V24" i="13" s="1"/>
  <c r="X10" i="6"/>
  <c r="X10" i="9" s="1"/>
  <c r="AI10" i="9" s="1"/>
  <c r="X11" i="6"/>
  <c r="X11" i="9" s="1"/>
  <c r="I26" i="13" s="1"/>
  <c r="V26" i="13" s="1"/>
  <c r="X12" i="6"/>
  <c r="X12" i="9" s="1"/>
  <c r="I27" i="13" s="1"/>
  <c r="V27" i="13" s="1"/>
  <c r="X13" i="6"/>
  <c r="X13" i="9" s="1"/>
  <c r="X8" i="6"/>
  <c r="X8" i="9" s="1"/>
  <c r="I23" i="13" s="1"/>
  <c r="V23" i="13" s="1"/>
  <c r="X7" i="6"/>
  <c r="AZ7" i="6" s="1"/>
  <c r="P21" i="6"/>
  <c r="P21" i="9" s="1"/>
  <c r="M15" i="13" s="1"/>
  <c r="AA15" i="13" s="1"/>
  <c r="P22" i="6"/>
  <c r="P22" i="9" s="1"/>
  <c r="AM9" i="9" s="1"/>
  <c r="P23" i="6"/>
  <c r="P23" i="9" s="1"/>
  <c r="M17" i="13" s="1"/>
  <c r="AA17" i="13" s="1"/>
  <c r="P24" i="6"/>
  <c r="P24" i="9" s="1"/>
  <c r="M18" i="13" s="1"/>
  <c r="AA18" i="13" s="1"/>
  <c r="P25" i="6"/>
  <c r="P25" i="9" s="1"/>
  <c r="P20" i="6"/>
  <c r="P20" i="9" s="1"/>
  <c r="M14" i="13" s="1"/>
  <c r="AA14" i="13" s="1"/>
  <c r="P19" i="6"/>
  <c r="AR19" i="6" s="1"/>
  <c r="P9" i="6"/>
  <c r="P9" i="9" s="1"/>
  <c r="I15" i="13" s="1"/>
  <c r="V15" i="13" s="1"/>
  <c r="P10" i="6"/>
  <c r="P10" i="9" s="1"/>
  <c r="AI9" i="9" s="1"/>
  <c r="P11" i="6"/>
  <c r="P11" i="9" s="1"/>
  <c r="I17" i="13" s="1"/>
  <c r="V17" i="13" s="1"/>
  <c r="P12" i="6"/>
  <c r="P12" i="9" s="1"/>
  <c r="I18" i="13" s="1"/>
  <c r="V18" i="13" s="1"/>
  <c r="P13" i="6"/>
  <c r="P13" i="9" s="1"/>
  <c r="P8" i="6"/>
  <c r="P8" i="9" s="1"/>
  <c r="I14" i="13" s="1"/>
  <c r="V14" i="13" s="1"/>
  <c r="P7" i="6"/>
  <c r="AR7" i="6" s="1"/>
  <c r="H21" i="6"/>
  <c r="H21" i="9" s="1"/>
  <c r="M6" i="13" s="1"/>
  <c r="AA6" i="13" s="1"/>
  <c r="H22" i="6"/>
  <c r="H22" i="9" s="1"/>
  <c r="AM8" i="9" s="1"/>
  <c r="H23" i="6"/>
  <c r="H23" i="9" s="1"/>
  <c r="M8" i="13" s="1"/>
  <c r="AA8" i="13" s="1"/>
  <c r="H24" i="6"/>
  <c r="H24" i="9" s="1"/>
  <c r="M9" i="13" s="1"/>
  <c r="AA9" i="13" s="1"/>
  <c r="H25" i="6"/>
  <c r="H25" i="9" s="1"/>
  <c r="H20" i="6"/>
  <c r="H20" i="9" s="1"/>
  <c r="M5" i="13" s="1"/>
  <c r="AA5" i="13" s="1"/>
  <c r="H19" i="6"/>
  <c r="AJ19" i="6" s="1"/>
  <c r="H9" i="6"/>
  <c r="H9" i="9" s="1"/>
  <c r="I6" i="13" s="1"/>
  <c r="V6" i="13" s="1"/>
  <c r="H10" i="6"/>
  <c r="H10" i="9" s="1"/>
  <c r="AI8" i="9" s="1"/>
  <c r="H11" i="6"/>
  <c r="H11" i="9" s="1"/>
  <c r="I8" i="13" s="1"/>
  <c r="V8" i="13" s="1"/>
  <c r="H12" i="6"/>
  <c r="H12" i="9" s="1"/>
  <c r="I9" i="13" s="1"/>
  <c r="V9" i="13" s="1"/>
  <c r="H13" i="6"/>
  <c r="H13" i="9" s="1"/>
  <c r="H8" i="6"/>
  <c r="H7" i="6"/>
  <c r="H7" i="9" s="1"/>
  <c r="H19" i="9" s="1"/>
  <c r="P19" i="9" s="1"/>
  <c r="Z34" i="13" l="1"/>
  <c r="Z35" i="13"/>
  <c r="U4" i="13"/>
  <c r="Z16" i="13"/>
  <c r="Z36" i="13"/>
  <c r="Z7" i="13"/>
  <c r="H33" i="13"/>
  <c r="L33" i="13"/>
  <c r="Z33" i="13" s="1"/>
  <c r="I30" i="13"/>
  <c r="J30" i="13" s="1"/>
  <c r="K30" i="13" s="1"/>
  <c r="L30" i="13" s="1"/>
  <c r="U13" i="13"/>
  <c r="H22" i="13"/>
  <c r="U22" i="13" s="1"/>
  <c r="O24" i="9"/>
  <c r="O20" i="9"/>
  <c r="O7" i="9"/>
  <c r="G19" i="9"/>
  <c r="M25" i="13"/>
  <c r="AA25" i="13" s="1"/>
  <c r="M7" i="13"/>
  <c r="I4" i="13"/>
  <c r="V4" i="13" s="1"/>
  <c r="I13" i="13"/>
  <c r="I22" i="13" s="1"/>
  <c r="V22" i="13" s="1"/>
  <c r="M16" i="13"/>
  <c r="AA7" i="13"/>
  <c r="I16" i="13"/>
  <c r="I7" i="13"/>
  <c r="I25" i="13"/>
  <c r="AJ7" i="6"/>
  <c r="AI17" i="9" s="1"/>
  <c r="AI27" i="9" s="1"/>
  <c r="AI33" i="9" s="1"/>
  <c r="H8" i="9"/>
  <c r="I5" i="13" s="1"/>
  <c r="V5" i="13" s="1"/>
  <c r="X19" i="9"/>
  <c r="X7" i="9"/>
  <c r="AI7" i="9" s="1"/>
  <c r="P7" i="9"/>
  <c r="R34" i="13"/>
  <c r="M30" i="13" l="1"/>
  <c r="N30" i="13" s="1"/>
  <c r="W19" i="9"/>
  <c r="O19" i="9"/>
  <c r="AA34" i="13"/>
  <c r="AA36" i="13"/>
  <c r="M4" i="13"/>
  <c r="AA35" i="13"/>
  <c r="AA16" i="13"/>
  <c r="I33" i="13"/>
  <c r="M13" i="13"/>
  <c r="V13" i="13"/>
  <c r="V7" i="13"/>
  <c r="V25" i="13"/>
  <c r="V16" i="13"/>
  <c r="R35" i="13"/>
  <c r="R36" i="13" s="1"/>
  <c r="K32" i="13"/>
  <c r="D32" i="13"/>
  <c r="B32" i="13"/>
  <c r="S27" i="13"/>
  <c r="Q27" i="13"/>
  <c r="Q26" i="13"/>
  <c r="Q25" i="13"/>
  <c r="Q24" i="13"/>
  <c r="S9" i="13"/>
  <c r="Q9" i="13"/>
  <c r="Q8" i="13"/>
  <c r="Q7" i="13"/>
  <c r="B4" i="13"/>
  <c r="K21" i="13"/>
  <c r="D21" i="13"/>
  <c r="B21" i="13"/>
  <c r="M33" i="13" l="1"/>
  <c r="AA33" i="13" s="1"/>
  <c r="M22" i="13"/>
  <c r="Q15" i="13"/>
  <c r="Q16" i="13"/>
  <c r="Q17" i="13"/>
  <c r="Q18" i="13"/>
  <c r="S18" i="13"/>
  <c r="C22" i="13"/>
  <c r="C33" i="13" s="1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S24" i="13" s="1"/>
  <c r="U10" i="6"/>
  <c r="U10" i="9" s="1"/>
  <c r="U11" i="6"/>
  <c r="U11" i="9" s="1"/>
  <c r="F26" i="13" s="1"/>
  <c r="S26" i="13" s="1"/>
  <c r="U8" i="6"/>
  <c r="U8" i="9" s="1"/>
  <c r="F23" i="13" s="1"/>
  <c r="S23" i="13" s="1"/>
  <c r="M9" i="6"/>
  <c r="M9" i="9" s="1"/>
  <c r="F15" i="13" s="1"/>
  <c r="S15" i="13" s="1"/>
  <c r="M10" i="6"/>
  <c r="M10" i="9" s="1"/>
  <c r="M11" i="6"/>
  <c r="M11" i="9" s="1"/>
  <c r="F17" i="13" s="1"/>
  <c r="S17" i="13" s="1"/>
  <c r="M8" i="6"/>
  <c r="M8" i="9" s="1"/>
  <c r="F14" i="13" s="1"/>
  <c r="S14" i="13" s="1"/>
  <c r="E7" i="6"/>
  <c r="E7" i="9" s="1"/>
  <c r="E9" i="6"/>
  <c r="E9" i="9" s="1"/>
  <c r="F6" i="13" s="1"/>
  <c r="S6" i="13" s="1"/>
  <c r="E10" i="6"/>
  <c r="E11" i="6"/>
  <c r="E11" i="9" s="1"/>
  <c r="F8" i="13" s="1"/>
  <c r="S8" i="13" s="1"/>
  <c r="E8" i="6"/>
  <c r="E8" i="9" s="1"/>
  <c r="F5" i="13" s="1"/>
  <c r="S5" i="13" s="1"/>
  <c r="AF9" i="9" l="1"/>
  <c r="F16" i="13"/>
  <c r="F4" i="13"/>
  <c r="S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S22" i="13" s="1"/>
  <c r="S13" i="13"/>
  <c r="F33" i="13"/>
  <c r="S25" i="13"/>
  <c r="S16" i="13"/>
  <c r="U19" i="9"/>
  <c r="M19" i="6"/>
  <c r="AO19" i="6" s="1"/>
  <c r="AG19" i="6"/>
  <c r="U19" i="6"/>
  <c r="AW19" i="6" s="1"/>
  <c r="AP29" i="9"/>
  <c r="AD8" i="9"/>
  <c r="S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R24" i="13" s="1"/>
  <c r="T10" i="6"/>
  <c r="T10" i="9" s="1"/>
  <c r="E25" i="13" s="1"/>
  <c r="T11" i="6"/>
  <c r="T11" i="9" s="1"/>
  <c r="E26" i="13" s="1"/>
  <c r="R26" i="13" s="1"/>
  <c r="T12" i="6"/>
  <c r="T12" i="9" s="1"/>
  <c r="E27" i="13" s="1"/>
  <c r="R27" i="13" s="1"/>
  <c r="T13" i="6"/>
  <c r="T13" i="9" s="1"/>
  <c r="T8" i="6"/>
  <c r="T8" i="9" s="1"/>
  <c r="E23" i="13" s="1"/>
  <c r="R23" i="13" s="1"/>
  <c r="L9" i="6"/>
  <c r="L9" i="9" s="1"/>
  <c r="E15" i="13" s="1"/>
  <c r="R15" i="13" s="1"/>
  <c r="L10" i="6"/>
  <c r="L10" i="9" s="1"/>
  <c r="E16" i="13" s="1"/>
  <c r="L11" i="6"/>
  <c r="L11" i="9" s="1"/>
  <c r="E17" i="13" s="1"/>
  <c r="R17" i="13" s="1"/>
  <c r="L12" i="6"/>
  <c r="L12" i="9" s="1"/>
  <c r="E18" i="13" s="1"/>
  <c r="R18" i="13" s="1"/>
  <c r="L13" i="6"/>
  <c r="L13" i="9" s="1"/>
  <c r="L8" i="6"/>
  <c r="L8" i="9" s="1"/>
  <c r="E14" i="13" s="1"/>
  <c r="R14" i="13" s="1"/>
  <c r="D9" i="6"/>
  <c r="D9" i="9" s="1"/>
  <c r="E6" i="13" s="1"/>
  <c r="R6" i="13" s="1"/>
  <c r="D10" i="6"/>
  <c r="D10" i="9" s="1"/>
  <c r="E7" i="13" s="1"/>
  <c r="D11" i="6"/>
  <c r="D11" i="9" s="1"/>
  <c r="E8" i="13" s="1"/>
  <c r="R8" i="13" s="1"/>
  <c r="D12" i="6"/>
  <c r="D12" i="9" s="1"/>
  <c r="E9" i="13" s="1"/>
  <c r="R9" i="13" s="1"/>
  <c r="D13" i="6"/>
  <c r="D13" i="9" s="1"/>
  <c r="D8" i="6"/>
  <c r="D8" i="9" s="1"/>
  <c r="E5" i="13" s="1"/>
  <c r="R5" i="13" s="1"/>
  <c r="D7" i="6"/>
  <c r="C34" i="13" l="1"/>
  <c r="X34" i="13" s="1"/>
  <c r="C8" i="13"/>
  <c r="C9" i="13" s="1"/>
  <c r="B8" i="13"/>
  <c r="B17" i="13"/>
  <c r="B26" i="13" s="1"/>
  <c r="AD6" i="9"/>
  <c r="B7" i="13"/>
  <c r="B34" i="13" s="1"/>
  <c r="B16" i="13"/>
  <c r="C35" i="13"/>
  <c r="X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X36" i="13" s="1"/>
  <c r="B6" i="13"/>
  <c r="B15" i="13"/>
  <c r="B24" i="13" s="1"/>
  <c r="R16" i="13"/>
  <c r="R7" i="13"/>
  <c r="R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W14" i="13" s="1"/>
  <c r="Y13" i="6"/>
  <c r="Y13" i="9" s="1"/>
  <c r="Y12" i="6"/>
  <c r="Y12" i="9" s="1"/>
  <c r="J27" i="13" s="1"/>
  <c r="W27" i="13" s="1"/>
  <c r="Y11" i="6"/>
  <c r="Y11" i="9" s="1"/>
  <c r="J26" i="13" s="1"/>
  <c r="W26" i="13" s="1"/>
  <c r="Y10" i="6"/>
  <c r="Y10" i="9" s="1"/>
  <c r="J25" i="13" s="1"/>
  <c r="Y9" i="6"/>
  <c r="Y9" i="9" s="1"/>
  <c r="J24" i="13" s="1"/>
  <c r="W24" i="13" s="1"/>
  <c r="Y8" i="6"/>
  <c r="Y8" i="9" s="1"/>
  <c r="J23" i="13" s="1"/>
  <c r="W23" i="13" s="1"/>
  <c r="Q13" i="6"/>
  <c r="Q13" i="9" s="1"/>
  <c r="Q12" i="6"/>
  <c r="Q12" i="9" s="1"/>
  <c r="J18" i="13" s="1"/>
  <c r="W18" i="13" s="1"/>
  <c r="Q11" i="6"/>
  <c r="Q11" i="9" s="1"/>
  <c r="J17" i="13" s="1"/>
  <c r="W17" i="13" s="1"/>
  <c r="Q10" i="6"/>
  <c r="Q10" i="9" s="1"/>
  <c r="J16" i="13" s="1"/>
  <c r="Q9" i="6"/>
  <c r="Q9" i="9" s="1"/>
  <c r="J15" i="13" s="1"/>
  <c r="W15" i="13" s="1"/>
  <c r="I9" i="6"/>
  <c r="I9" i="9" s="1"/>
  <c r="J6" i="13" s="1"/>
  <c r="W6" i="13" s="1"/>
  <c r="I10" i="6"/>
  <c r="I10" i="9" s="1"/>
  <c r="J7" i="13" s="1"/>
  <c r="I11" i="6"/>
  <c r="I11" i="9" s="1"/>
  <c r="J8" i="13" s="1"/>
  <c r="W8" i="13" s="1"/>
  <c r="I12" i="6"/>
  <c r="I12" i="9" s="1"/>
  <c r="J9" i="13" s="1"/>
  <c r="W9" i="13" s="1"/>
  <c r="I13" i="6"/>
  <c r="I13" i="9" s="1"/>
  <c r="I8" i="6"/>
  <c r="I8" i="9" s="1"/>
  <c r="J5" i="13" s="1"/>
  <c r="W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Y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T24" i="13" s="1"/>
  <c r="V10" i="6"/>
  <c r="V10" i="9" s="1"/>
  <c r="G25" i="13" s="1"/>
  <c r="V11" i="6"/>
  <c r="V11" i="9" s="1"/>
  <c r="G26" i="13" s="1"/>
  <c r="T26" i="13" s="1"/>
  <c r="V12" i="6"/>
  <c r="V12" i="9" s="1"/>
  <c r="G27" i="13" s="1"/>
  <c r="T27" i="13" s="1"/>
  <c r="V13" i="6"/>
  <c r="V13" i="9" s="1"/>
  <c r="V8" i="6"/>
  <c r="V8" i="9" s="1"/>
  <c r="G23" i="13" s="1"/>
  <c r="T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T15" i="13" s="1"/>
  <c r="N10" i="6"/>
  <c r="N10" i="9" s="1"/>
  <c r="G16" i="13" s="1"/>
  <c r="N11" i="6"/>
  <c r="N11" i="9" s="1"/>
  <c r="G17" i="13" s="1"/>
  <c r="T17" i="13" s="1"/>
  <c r="N12" i="6"/>
  <c r="N12" i="9" s="1"/>
  <c r="G18" i="13" s="1"/>
  <c r="T18" i="13" s="1"/>
  <c r="N13" i="6"/>
  <c r="N13" i="9" s="1"/>
  <c r="N8" i="6"/>
  <c r="N8" i="9" s="1"/>
  <c r="G14" i="13" s="1"/>
  <c r="T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T6" i="13" s="1"/>
  <c r="F10" i="6"/>
  <c r="F10" i="9" s="1"/>
  <c r="G7" i="13" s="1"/>
  <c r="F11" i="6"/>
  <c r="F11" i="9" s="1"/>
  <c r="G8" i="13" s="1"/>
  <c r="T8" i="13" s="1"/>
  <c r="F12" i="6"/>
  <c r="F12" i="9" s="1"/>
  <c r="G9" i="13" s="1"/>
  <c r="T9" i="13" s="1"/>
  <c r="F13" i="6"/>
  <c r="F13" i="9" s="1"/>
  <c r="F8" i="6"/>
  <c r="F8" i="9" s="1"/>
  <c r="G5" i="13" s="1"/>
  <c r="T5" i="13" s="1"/>
  <c r="C9" i="6"/>
  <c r="C9" i="9" s="1"/>
  <c r="D6" i="13" s="1"/>
  <c r="Q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O34" i="13" l="1"/>
  <c r="H34" i="13"/>
  <c r="L34" i="13"/>
  <c r="AZ8" i="6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O35" i="13" s="1"/>
  <c r="B25" i="13"/>
  <c r="B36" i="13" s="1"/>
  <c r="F34" i="13"/>
  <c r="T25" i="13"/>
  <c r="W16" i="13"/>
  <c r="T7" i="13"/>
  <c r="G34" i="13"/>
  <c r="W7" i="13"/>
  <c r="J34" i="13"/>
  <c r="E4" i="13"/>
  <c r="R4" i="13" s="1"/>
  <c r="E13" i="13"/>
  <c r="T16" i="13"/>
  <c r="W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Y9" i="13" s="1"/>
  <c r="AH24" i="6"/>
  <c r="N24" i="9"/>
  <c r="K18" i="13" s="1"/>
  <c r="Y18" i="13" s="1"/>
  <c r="AP24" i="6"/>
  <c r="I22" i="9"/>
  <c r="AK22" i="6"/>
  <c r="S8" i="9"/>
  <c r="D23" i="13" s="1"/>
  <c r="Q23" i="13" s="1"/>
  <c r="AU8" i="6"/>
  <c r="AU14" i="6" s="1"/>
  <c r="AD20" i="9" s="1"/>
  <c r="AD30" i="9" s="1"/>
  <c r="AX11" i="6"/>
  <c r="F23" i="9"/>
  <c r="K8" i="13" s="1"/>
  <c r="Y8" i="13" s="1"/>
  <c r="AH23" i="6"/>
  <c r="V23" i="9"/>
  <c r="K26" i="13" s="1"/>
  <c r="Y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Y23" i="13" s="1"/>
  <c r="AX20" i="6"/>
  <c r="V24" i="9"/>
  <c r="K27" i="13" s="1"/>
  <c r="Y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Y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Q14" i="13" s="1"/>
  <c r="AM8" i="6"/>
  <c r="AM14" i="6" s="1"/>
  <c r="AD19" i="9" s="1"/>
  <c r="AD29" i="9" s="1"/>
  <c r="AP11" i="6"/>
  <c r="N21" i="9"/>
  <c r="K15" i="13" s="1"/>
  <c r="Y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Y6" i="13" s="1"/>
  <c r="AH21" i="6"/>
  <c r="N23" i="9"/>
  <c r="K17" i="13" s="1"/>
  <c r="Y17" i="13" s="1"/>
  <c r="AP23" i="6"/>
  <c r="V21" i="9"/>
  <c r="K24" i="13" s="1"/>
  <c r="Y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Q5" i="13" s="1"/>
  <c r="AH12" i="6"/>
  <c r="AK11" i="6"/>
  <c r="O36" i="13" l="1"/>
  <c r="H36" i="13"/>
  <c r="L36" i="13"/>
  <c r="H35" i="13"/>
  <c r="L35" i="13"/>
  <c r="AO14" i="6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B8" i="13"/>
  <c r="AB6" i="13"/>
  <c r="AB23" i="13"/>
  <c r="AB5" i="13"/>
  <c r="AB18" i="13"/>
  <c r="AB9" i="13"/>
  <c r="AB17" i="13"/>
  <c r="AB26" i="13"/>
  <c r="AB15" i="13"/>
  <c r="AB24" i="13"/>
  <c r="AB14" i="13"/>
  <c r="AB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R22" i="13" s="1"/>
  <c r="R13" i="13"/>
  <c r="AN8" i="9"/>
  <c r="N7" i="13"/>
  <c r="G4" i="13"/>
  <c r="G13" i="13"/>
  <c r="AN10" i="9"/>
  <c r="N25" i="13"/>
  <c r="N36" i="13" s="1"/>
  <c r="AK9" i="9"/>
  <c r="K16" i="13"/>
  <c r="M35" i="13" s="1"/>
  <c r="AN9" i="9"/>
  <c r="N16" i="13"/>
  <c r="AK10" i="9"/>
  <c r="K25" i="13"/>
  <c r="M36" i="13" s="1"/>
  <c r="D4" i="13"/>
  <c r="Q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T4" i="13"/>
  <c r="K4" i="13"/>
  <c r="D22" i="13"/>
  <c r="Q22" i="13" s="1"/>
  <c r="D33" i="13"/>
  <c r="Q13" i="13"/>
  <c r="AB16" i="13"/>
  <c r="AB35" i="13"/>
  <c r="N35" i="13"/>
  <c r="AB25" i="13"/>
  <c r="AB36" i="13"/>
  <c r="AB7" i="13"/>
  <c r="AB34" i="13"/>
  <c r="N34" i="13"/>
  <c r="J33" i="13"/>
  <c r="J22" i="13"/>
  <c r="W22" i="13" s="1"/>
  <c r="N13" i="13"/>
  <c r="W13" i="13"/>
  <c r="Y7" i="13"/>
  <c r="Y34" i="13"/>
  <c r="K34" i="13"/>
  <c r="Y25" i="13"/>
  <c r="Y36" i="13"/>
  <c r="K36" i="13"/>
  <c r="Y16" i="13"/>
  <c r="Y35" i="13"/>
  <c r="K35" i="13"/>
  <c r="G33" i="13"/>
  <c r="T13" i="13"/>
  <c r="G22" i="13"/>
  <c r="T22" i="13" s="1"/>
  <c r="K13" i="13"/>
  <c r="N4" i="13"/>
  <c r="W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B33" i="13" s="1"/>
  <c r="K33" i="13"/>
  <c r="Y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<sst xmlns="http://schemas.openxmlformats.org/spreadsheetml/2006/main" count="913" uniqueCount="136">
  <si>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</si>
  <si>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</si>
  <si>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</si>
  <si>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</si>
  <si>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</si>
  <si>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</si>
  <si>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</si>
  <si>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</si>
  <si>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</si>
  <si>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</si>
  <si>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</si>
  <si>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</si>
  <si>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</si>
  <si>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</si>
  <si>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</si>
  <si>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</si>
  <si>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</si>
  <si>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</si>
  <si>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</si>
  <si>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</si>
  <si>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</si>
  <si>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</si>
  <si>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</si>
  <si>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</si>
  <si>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</si>
  <si>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</si>
  <si>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</si>
  <si>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</si>
  <si>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</si>
  <si>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</si>
  <si>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</si>
  <si>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</si>
  <si>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</si>
  <si>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</si>
  <si>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</si>
  <si>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</si>
  <si>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</si>
  <si>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</si>
  <si>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</si>
  <si>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</si>
  <si>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</si>
  <si>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</si>
  <si>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</si>
  <si>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</si>
  <si>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</si>
  <si>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</si>
  <si>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</si>
  <si>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</si>
  <si>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</si>
  <si>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</si>
  <si>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</si>
  <si>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</si>
  <si>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</si>
  <si>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</si>
  <si>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</si>
  <si>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</si>
  <si>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</si>
  <si>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</si>
  <si>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</si>
  <si>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</si>
  <si>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</si>
  <si>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</si>
  <si>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</si>
  <si>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</si>
  <si>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</si>
  <si>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</si>
  <si>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</si>
  <si>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</si>
  <si>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</si>
  <si>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</si>
  <si>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</si>
  <si>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</si>
  <si>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</si>
  <si>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</si>
  <si>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</si>
  <si>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</si>
  <si>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</si>
  <si>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</si>
  <si>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</si>
  <si>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</si>
  <si>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</si>
  <si>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</si>
  <si>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</si>
  <si>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</si>
  <si>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</si>
  <si>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</si>
  <si>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</si>
  <si>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</si>
  <si>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</si>
  <si>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</si>
  <si>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</si>
  <si>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</si>
  <si>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</si>
  <si>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</si>
  <si>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</si>
  <si>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</si>
  <si>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</si>
  <si>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</si>
  <si>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</si>
  <si>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</si>
  <si>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</si>
  <si>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</si>
  <si>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</si>
  <si>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</si>
  <si>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</si>
  <si>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</si>
  <si>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</si>
  <si>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</si>
  <si>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</si>
  <si>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</si>
  <si>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</si>
  <si>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</si>
  <si>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</si>
  <si>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</si>
  <si>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</si>
  <si>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</si>
  <si>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</si>
  <si>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</si>
  <si>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</si>
  <si>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</si>
  <si>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</si>
  <si>
    <t>Clock Speed</t>
  </si>
  <si>
    <t>Speed Relative to Teensy 3.2 (128-pt CMSIS FFT)</t>
  </si>
  <si>
    <t>s</t>
  </si>
  <si>
    <t>RFFT</t>
  </si>
  <si>
    <t>FFTs Per Second</t>
  </si>
  <si>
    <t>CFFT Radix 4</t>
  </si>
  <si>
    <t>CFFT Radix 2</t>
  </si>
  <si>
    <t>N*log2(N)</t>
  </si>
  <si>
    <t>Scaling</t>
  </si>
  <si>
    <t>clocks/(N*log2(N)</t>
  </si>
  <si>
    <t>clocks</t>
  </si>
  <si>
    <t>Ave</t>
  </si>
  <si>
    <t>Neon</t>
  </si>
  <si>
    <t>Bela.io (BBB)</t>
  </si>
  <si>
    <t>Bela.io (Neon)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</si>
</sst>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\x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  <xf numFmtId="0" fontId="0" fillId="4" borderId="2" xfId="0" applyFill="1" applyBorder="1"/>
    <xf numFmtId="0" fontId="10" fillId="5" borderId="2" xfId="0" applyFont="1" applyFill="1" applyBorder="1"/>
    <xf numFmtId="0" fontId="1" fillId="4" borderId="2" xfId="0" applyFont="1" applyFill="1" applyBorder="1" applyAlignment="1">
      <alignment horizontal="right"/>
    </xf>
    <xf numFmtId="4" fontId="10" fillId="5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/>
    <xf numFmtId="4" fontId="0" fillId="6" borderId="2" xfId="0" applyNumberFormat="1" applyFill="1" applyBorder="1" applyAlignment="1">
      <alignment horizontal="right"/>
    </xf>
    <xf numFmtId="3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6" xfId="0" applyFont="1" applyFill="1" applyBorder="1" applyAlignment="1">
      <alignment horizontal="center"/>
    </xf>
    <xf numFmtId="3" fontId="0" fillId="0" borderId="0" xfId="0" applyNumberFormat="1" applyBorder="1"/>
    <xf numFmtId="0" fontId="1" fillId="6" borderId="2" xfId="0" applyFont="1" applyFill="1" applyBorder="1" applyAlignment="1">
      <alignment horizontal="center"/>
    </xf>
    <xf numFmtId="165" fontId="0" fillId="0" borderId="0" xfId="0" applyNumberFormat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94528"/>
        <c:axId val="189112704"/>
      </c:barChart>
      <c:catAx>
        <c:axId val="1890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2704"/>
        <c:crosses val="autoZero"/>
        <c:auto val="1"/>
        <c:lblAlgn val="ctr"/>
        <c:lblOffset val="100"/>
        <c:noMultiLvlLbl val="0"/>
      </c:catAx>
      <c:valAx>
        <c:axId val="189112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909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57568"/>
        <c:axId val="190563456"/>
      </c:barChart>
      <c:catAx>
        <c:axId val="1905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63456"/>
        <c:crosses val="autoZero"/>
        <c:auto val="1"/>
        <c:lblAlgn val="ctr"/>
        <c:lblOffset val="100"/>
        <c:noMultiLvlLbl val="0"/>
      </c:catAx>
      <c:valAx>
        <c:axId val="190563456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90557568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0224"/>
        <c:axId val="190581760"/>
      </c:scatterChart>
      <c:valAx>
        <c:axId val="190580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1760"/>
        <c:crosses val="autoZero"/>
        <c:crossBetween val="midCat"/>
      </c:valAx>
      <c:valAx>
        <c:axId val="19058176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058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1296"/>
        <c:axId val="190637184"/>
      </c:barChart>
      <c:catAx>
        <c:axId val="1906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37184"/>
        <c:crosses val="autoZero"/>
        <c:auto val="1"/>
        <c:lblAlgn val="ctr"/>
        <c:lblOffset val="100"/>
        <c:noMultiLvlLbl val="0"/>
      </c:catAx>
      <c:valAx>
        <c:axId val="19063718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906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7008"/>
        <c:axId val="190672896"/>
      </c:barChart>
      <c:catAx>
        <c:axId val="1906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72896"/>
        <c:crosses val="autoZero"/>
        <c:auto val="1"/>
        <c:lblAlgn val="ctr"/>
        <c:lblOffset val="100"/>
        <c:noMultiLvlLbl val="0"/>
      </c:catAx>
      <c:valAx>
        <c:axId val="19067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90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07584"/>
        <c:axId val="190709120"/>
      </c:barChart>
      <c:catAx>
        <c:axId val="1907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09120"/>
        <c:crosses val="autoZero"/>
        <c:auto val="1"/>
        <c:lblAlgn val="ctr"/>
        <c:lblOffset val="100"/>
        <c:noMultiLvlLbl val="0"/>
      </c:catAx>
      <c:valAx>
        <c:axId val="19070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90707584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6048"/>
        <c:axId val="190084608"/>
      </c:lineChart>
      <c:catAx>
        <c:axId val="1900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84608"/>
        <c:crosses val="autoZero"/>
        <c:auto val="1"/>
        <c:lblAlgn val="ctr"/>
        <c:lblOffset val="100"/>
        <c:noMultiLvlLbl val="0"/>
      </c:catAx>
      <c:valAx>
        <c:axId val="19008460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06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90016"/>
        <c:axId val="189991936"/>
      </c:lineChart>
      <c:catAx>
        <c:axId val="1899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991936"/>
        <c:crosses val="autoZero"/>
        <c:auto val="1"/>
        <c:lblAlgn val="ctr"/>
        <c:lblOffset val="100"/>
        <c:noMultiLvlLbl val="0"/>
      </c:catAx>
      <c:valAx>
        <c:axId val="18999193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99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47360"/>
        <c:axId val="190049280"/>
      </c:lineChart>
      <c:catAx>
        <c:axId val="1900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49280"/>
        <c:crosses val="autoZero"/>
        <c:auto val="1"/>
        <c:lblAlgn val="ctr"/>
        <c:lblOffset val="100"/>
        <c:noMultiLvlLbl val="0"/>
      </c:catAx>
      <c:valAx>
        <c:axId val="19004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7952"/>
        <c:axId val="190159872"/>
      </c:lineChart>
      <c:catAx>
        <c:axId val="1901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59872"/>
        <c:crosses val="autoZero"/>
        <c:auto val="1"/>
        <c:lblAlgn val="ctr"/>
        <c:lblOffset val="100"/>
        <c:noMultiLvlLbl val="0"/>
      </c:catAx>
      <c:valAx>
        <c:axId val="1901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5200"/>
        <c:axId val="191237120"/>
      </c:lineChart>
      <c:catAx>
        <c:axId val="1912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37120"/>
        <c:crosses val="autoZero"/>
        <c:auto val="1"/>
        <c:lblAlgn val="ctr"/>
        <c:lblOffset val="100"/>
        <c:noMultiLvlLbl val="0"/>
      </c:catAx>
      <c:valAx>
        <c:axId val="19123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53152"/>
        <c:axId val="189954688"/>
      </c:barChart>
      <c:catAx>
        <c:axId val="1899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54688"/>
        <c:crosses val="autoZero"/>
        <c:auto val="1"/>
        <c:lblAlgn val="ctr"/>
        <c:lblOffset val="100"/>
        <c:noMultiLvlLbl val="0"/>
      </c:catAx>
      <c:valAx>
        <c:axId val="1899546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99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6160"/>
        <c:axId val="191278080"/>
      </c:lineChart>
      <c:catAx>
        <c:axId val="19127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78080"/>
        <c:crosses val="autoZero"/>
        <c:auto val="1"/>
        <c:lblAlgn val="ctr"/>
        <c:lblOffset val="100"/>
        <c:noMultiLvlLbl val="0"/>
      </c:catAx>
      <c:valAx>
        <c:axId val="19127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8560"/>
        <c:axId val="191380480"/>
      </c:lineChart>
      <c:catAx>
        <c:axId val="1913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80480"/>
        <c:crosses val="autoZero"/>
        <c:auto val="1"/>
        <c:lblAlgn val="ctr"/>
        <c:lblOffset val="100"/>
        <c:noMultiLvlLbl val="0"/>
      </c:catAx>
      <c:valAx>
        <c:axId val="19138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01120"/>
        <c:axId val="191303040"/>
      </c:lineChart>
      <c:catAx>
        <c:axId val="1913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03040"/>
        <c:crosses val="autoZero"/>
        <c:auto val="1"/>
        <c:lblAlgn val="ctr"/>
        <c:lblOffset val="100"/>
        <c:noMultiLvlLbl val="0"/>
      </c:catAx>
      <c:valAx>
        <c:axId val="1913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for Teensy Blog'!$T$22</c:f>
              <c:strCache>
                <c:ptCount val="1"/>
                <c:pt idx="0">
                  <c:v>RFFT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Blog'!$T$23:$T$27</c:f>
              <c:numCache>
                <c:formatCode>0.0</c:formatCode>
                <c:ptCount val="5"/>
                <c:pt idx="0">
                  <c:v>2836.7999999999997</c:v>
                </c:pt>
                <c:pt idx="1">
                  <c:v>6389.9999999999991</c:v>
                </c:pt>
                <c:pt idx="2">
                  <c:v>12538.8</c:v>
                </c:pt>
                <c:pt idx="3">
                  <c:v>28134</c:v>
                </c:pt>
                <c:pt idx="4">
                  <c:v>55461.599999999999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for Teensy Blog'!$U$22</c:f>
              <c:strCache>
                <c:ptCount val="1"/>
                <c:pt idx="0">
                  <c:v>CFFT Radix 4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Blog'!$U$23:$U$27</c:f>
              <c:numCache>
                <c:formatCode>0.0</c:formatCode>
                <c:ptCount val="5"/>
                <c:pt idx="0">
                  <c:v>3675.6000000000004</c:v>
                </c:pt>
                <c:pt idx="1">
                  <c:v>7250.4000000000005</c:v>
                </c:pt>
                <c:pt idx="2">
                  <c:v>17132.400000000001</c:v>
                </c:pt>
                <c:pt idx="3">
                  <c:v>34376.400000000001</c:v>
                </c:pt>
                <c:pt idx="4">
                  <c:v>72072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for Teensy Blog'!$V$22</c:f>
              <c:strCache>
                <c:ptCount val="1"/>
                <c:pt idx="0">
                  <c:v>CFFT Radix 2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Blog'!$V$23:$V$27</c:f>
              <c:numCache>
                <c:formatCode>0.0</c:formatCode>
                <c:ptCount val="5"/>
                <c:pt idx="0">
                  <c:v>4701.6000000000004</c:v>
                </c:pt>
                <c:pt idx="1">
                  <c:v>10659.6</c:v>
                </c:pt>
                <c:pt idx="2">
                  <c:v>23677.199999999997</c:v>
                </c:pt>
                <c:pt idx="3">
                  <c:v>52419.600000000006</c:v>
                </c:pt>
                <c:pt idx="4">
                  <c:v>114847.2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2272"/>
        <c:axId val="189863808"/>
      </c:scatterChart>
      <c:valAx>
        <c:axId val="1898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63808"/>
        <c:crosses val="autoZero"/>
        <c:crossBetween val="midCat"/>
      </c:valAx>
      <c:valAx>
        <c:axId val="189863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986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Blog'!$Q$13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Blog'!$Q$14:$Q$18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Blog'!$R$13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Blog'!$R$14:$R$18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Blog'!$S$13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Blog'!$T$13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Blog'!$T$14:$T$18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Blog'!$W$13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Blog'!$W$14:$W$18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Blog'!$Y$13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Blog'!$Y$14:$Y$18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Blog'!$AB$13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Blog'!$AB$14:$AB$18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21536"/>
        <c:axId val="186651008"/>
      </c:lineChart>
      <c:catAx>
        <c:axId val="1899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51008"/>
        <c:crosses val="autoZero"/>
        <c:auto val="1"/>
        <c:lblAlgn val="ctr"/>
        <c:lblOffset val="100"/>
        <c:noMultiLvlLbl val="0"/>
      </c:catAx>
      <c:valAx>
        <c:axId val="186651008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992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Blog'!$R$13:$W$13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Blog'!$R$16:$W$16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0448"/>
        <c:axId val="186681984"/>
      </c:barChart>
      <c:catAx>
        <c:axId val="1866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81984"/>
        <c:crosses val="autoZero"/>
        <c:auto val="1"/>
        <c:lblAlgn val="ctr"/>
        <c:lblOffset val="100"/>
        <c:noMultiLvlLbl val="0"/>
      </c:catAx>
      <c:valAx>
        <c:axId val="186681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6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Blog'!$R$13:$W$13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Blog'!$R$16:$W$16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Blog'!$R$13:$W$13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Blog'!$R$25:$W$25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89248"/>
        <c:axId val="186795136"/>
      </c:barChart>
      <c:catAx>
        <c:axId val="1867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95136"/>
        <c:crosses val="autoZero"/>
        <c:auto val="1"/>
        <c:lblAlgn val="ctr"/>
        <c:lblOffset val="100"/>
        <c:noMultiLvlLbl val="0"/>
      </c:catAx>
      <c:valAx>
        <c:axId val="1867951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Blog'!$R$13:$AD$13</c:f>
              <c:strCache>
                <c:ptCount val="13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  <c:pt idx="12">
                  <c:v>Bela.io (Neon)</c:v>
                </c:pt>
              </c:strCache>
            </c:strRef>
          </c:cat>
          <c:val>
            <c:numRef>
              <c:f>'Summary For First Blog'!$R$16:$AB$16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Blog'!$R$13:$AD$13</c:f>
              <c:strCache>
                <c:ptCount val="13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  <c:pt idx="12">
                  <c:v>Bela.io (Neon)</c:v>
                </c:pt>
              </c:strCache>
            </c:strRef>
          </c:cat>
          <c:val>
            <c:numRef>
              <c:f>'Summary For First Blog'!$R$25:$AB$25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2288"/>
        <c:axId val="186813824"/>
      </c:barChart>
      <c:catAx>
        <c:axId val="186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13824"/>
        <c:crosses val="autoZero"/>
        <c:auto val="1"/>
        <c:lblAlgn val="ctr"/>
        <c:lblOffset val="100"/>
        <c:noMultiLvlLbl val="0"/>
      </c:catAx>
      <c:valAx>
        <c:axId val="186813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89856"/>
        <c:axId val="189691776"/>
      </c:lineChart>
      <c:catAx>
        <c:axId val="1896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691776"/>
        <c:crosses val="autoZero"/>
        <c:auto val="1"/>
        <c:lblAlgn val="ctr"/>
        <c:lblOffset val="100"/>
        <c:noMultiLvlLbl val="0"/>
      </c:catAx>
      <c:valAx>
        <c:axId val="18969177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68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2112"/>
        <c:axId val="190524032"/>
      </c:lineChart>
      <c:catAx>
        <c:axId val="1905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24032"/>
        <c:crosses val="autoZero"/>
        <c:auto val="1"/>
        <c:lblAlgn val="ctr"/>
        <c:lblOffset val="100"/>
        <c:noMultiLvlLbl val="0"/>
      </c:catAx>
      <c:valAx>
        <c:axId val="19052403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05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200025</xdr:colOff>
      <xdr:row>29</xdr:row>
      <xdr:rowOff>0</xdr:rowOff>
    </xdr:from>
    <xdr:to>
      <xdr:col>24</xdr:col>
      <xdr:colOff>590550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21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21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21</xdr:col>
      <xdr:colOff>457200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800100</xdr:colOff>
      <xdr:row>72</xdr:row>
      <xdr:rowOff>47625</xdr:rowOff>
    </xdr:from>
    <xdr:ext cx="1116139" cy="264560"/>
    <xdr:sp macro="" textlink="">
      <xdr:nvSpPr>
        <xdr:cNvPr id="2" name="TextBox 1"/>
        <xdr:cNvSpPr txBox="1"/>
      </xdr:nvSpPr>
      <xdr:spPr>
        <a:xfrm>
          <a:off x="11334750" y="1376362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17</xdr:col>
      <xdr:colOff>542925</xdr:colOff>
      <xdr:row>72</xdr:row>
      <xdr:rowOff>0</xdr:rowOff>
    </xdr:from>
    <xdr:ext cx="784830" cy="264560"/>
    <xdr:sp macro="" textlink="">
      <xdr:nvSpPr>
        <xdr:cNvPr id="10" name="TextBox 9"/>
        <xdr:cNvSpPr txBox="1"/>
      </xdr:nvSpPr>
      <xdr:spPr>
        <a:xfrm>
          <a:off x="15487650" y="137160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0.56679</cdr:x>
      <cdr:y>0.24306</cdr:y>
    </cdr:from>
    <cdr:to>
      <cdr:x>0.56679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063919" y="666762"/>
          <a:ext cx="0" cy="16097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J13" sqref="B4:J13"/>
    </sheetView>
  </sheetViews>
  <sheetFormatPr defaultRowHeight="15" x14ac:dyDescent="0.25"/>
  <cols>
    <col min="2" max="2" width="9.875" customWidth="1"/>
    <col min="3" max="3" width="13.875" customWidth="1"/>
    <col min="4" max="4" width="8" customWidth="1"/>
    <col min="5" max="5" width="19.75" bestFit="1" customWidth="1"/>
    <col min="6" max="6" width="17.375" customWidth="1"/>
    <col min="7" max="7" width="9.625" customWidth="1"/>
    <col min="8" max="8" width="7.875" customWidth="1"/>
    <col min="9" max="9" width="5.25" customWidth="1"/>
    <col min="10" max="10" width="7.875" customWidth="1"/>
  </cols>
  <sheetData>
    <row r="4" spans="2:10" ht="15.75" x14ac:dyDescent="0.25">
      <c r="B4" s="52" t="s">
        <v>19</v>
      </c>
      <c r="C4" s="52"/>
      <c r="D4" s="53" t="s">
        <v>71</v>
      </c>
      <c r="E4" s="53"/>
      <c r="F4" s="53"/>
      <c r="G4" s="53"/>
      <c r="H4" s="53"/>
      <c r="I4" s="53"/>
      <c r="J4" s="53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35" t="s">
        <v>97</v>
      </c>
      <c r="C11" s="37" t="s">
        <v>110</v>
      </c>
      <c r="D11" s="36" t="s">
        <v>98</v>
      </c>
      <c r="E11" s="35" t="s">
        <v>117</v>
      </c>
      <c r="F11" s="35" t="s">
        <v>100</v>
      </c>
      <c r="G11" s="35" t="s">
        <v>111</v>
      </c>
      <c r="H11" s="35" t="s">
        <v>90</v>
      </c>
      <c r="I11" s="38" t="s">
        <v>106</v>
      </c>
      <c r="J11" s="35" t="s">
        <v>118</v>
      </c>
    </row>
    <row r="12" spans="2:10" ht="15.75" x14ac:dyDescent="0.25">
      <c r="B12" s="35" t="s">
        <v>97</v>
      </c>
      <c r="C12" s="37" t="s">
        <v>108</v>
      </c>
      <c r="D12" s="36" t="s">
        <v>98</v>
      </c>
      <c r="E12" s="35" t="s">
        <v>119</v>
      </c>
      <c r="F12" s="35" t="s">
        <v>100</v>
      </c>
      <c r="G12" s="35" t="s">
        <v>105</v>
      </c>
      <c r="H12" s="35" t="s">
        <v>90</v>
      </c>
      <c r="I12" s="38" t="s">
        <v>106</v>
      </c>
      <c r="J12" s="35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52" t="s">
        <v>19</v>
      </c>
      <c r="C16" s="52"/>
      <c r="D16" s="53" t="s">
        <v>71</v>
      </c>
      <c r="E16" s="53"/>
      <c r="F16" s="53"/>
      <c r="G16" s="53"/>
      <c r="H16" s="53"/>
      <c r="I16" s="53"/>
      <c r="J16" s="53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topLeftCell="J4" workbookViewId="0">
      <selection activeCell="W28" sqref="W28:Z28"/>
    </sheetView>
  </sheetViews>
  <sheetFormatPr defaultRowHeight="15" x14ac:dyDescent="0.25"/>
  <cols>
    <col min="2" max="3" width="7.25" customWidth="1"/>
    <col min="4" max="9" width="12.75" customWidth="1"/>
    <col min="10" max="10" width="10.75" style="46" customWidth="1"/>
    <col min="11" max="11" width="12.75" customWidth="1"/>
    <col min="12" max="14" width="11.375" customWidth="1"/>
    <col min="15" max="17" width="9.125" customWidth="1"/>
    <col min="20" max="20" width="9.875" bestFit="1" customWidth="1"/>
  </cols>
  <sheetData>
    <row r="2" spans="2:17" x14ac:dyDescent="0.25">
      <c r="B2" s="54"/>
      <c r="C2" s="54"/>
      <c r="D2" s="54" t="s">
        <v>64</v>
      </c>
      <c r="E2" s="54"/>
      <c r="F2" s="54"/>
      <c r="G2" s="54"/>
      <c r="H2" s="54"/>
      <c r="I2" s="54"/>
    </row>
    <row r="3" spans="2:17" x14ac:dyDescent="0.25">
      <c r="B3" s="63" t="s">
        <v>61</v>
      </c>
      <c r="C3" s="63"/>
      <c r="D3" s="61" t="s">
        <v>120</v>
      </c>
      <c r="E3" s="61"/>
      <c r="F3" s="62" t="s">
        <v>10</v>
      </c>
      <c r="G3" s="62"/>
      <c r="H3" s="62"/>
      <c r="I3" s="62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 t="s">
        <v>123</v>
      </c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55"/>
      <c r="C10" s="55"/>
      <c r="D10" s="55"/>
      <c r="E10" s="55"/>
      <c r="F10" s="55"/>
      <c r="G10" s="55"/>
      <c r="H10" s="55"/>
      <c r="I10" s="55"/>
      <c r="L10">
        <v>96</v>
      </c>
      <c r="M10">
        <v>120</v>
      </c>
      <c r="N10">
        <v>180</v>
      </c>
    </row>
    <row r="11" spans="2:17" x14ac:dyDescent="0.25">
      <c r="B11" s="54"/>
      <c r="C11" s="54"/>
      <c r="D11" s="54" t="s">
        <v>64</v>
      </c>
      <c r="E11" s="54"/>
      <c r="F11" s="54"/>
      <c r="G11" s="54"/>
      <c r="H11" s="54"/>
      <c r="I11" s="54"/>
    </row>
    <row r="12" spans="2:17" x14ac:dyDescent="0.25">
      <c r="B12" s="63" t="s">
        <v>61</v>
      </c>
      <c r="C12" s="63"/>
      <c r="D12" s="61" t="str">
        <f>D3</f>
        <v>Generic C FFT</v>
      </c>
      <c r="E12" s="61"/>
      <c r="F12" s="62" t="str">
        <f>F3</f>
        <v>CMSIS FFT</v>
      </c>
      <c r="G12" s="62"/>
      <c r="H12" s="62"/>
      <c r="I12" s="62"/>
      <c r="K12" s="54" t="s">
        <v>122</v>
      </c>
      <c r="L12" s="54"/>
      <c r="M12" s="54"/>
      <c r="N12" s="54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  <c r="K13" s="39"/>
      <c r="L13" s="41" t="str">
        <f>F13</f>
        <v>Teensy 3.2</v>
      </c>
      <c r="M13" s="41" t="str">
        <f>G13</f>
        <v>Teensy 3.5</v>
      </c>
      <c r="N13" s="41" t="str">
        <f>H13</f>
        <v>Teensy 3.6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43" t="str">
        <f>C7</f>
        <v>Int16</v>
      </c>
      <c r="L14" s="44">
        <f>F7/$F$7</f>
        <v>1</v>
      </c>
      <c r="M14" s="44">
        <f>G7/$F$7</f>
        <v>1.3003908431044111</v>
      </c>
      <c r="N14" s="44">
        <f>H7/$F$7</f>
        <v>2.2597024579560157</v>
      </c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43" t="str">
        <f>C16</f>
        <v>Int32</v>
      </c>
      <c r="L15" s="44">
        <f>F16/$F$16</f>
        <v>1</v>
      </c>
      <c r="M15" s="44">
        <f>G16/$F$16</f>
        <v>1.3147186147186145</v>
      </c>
      <c r="N15" s="44">
        <f>H16/$F$16</f>
        <v>2.2249084249084246</v>
      </c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43" t="str">
        <f>C25</f>
        <v>Float32</v>
      </c>
      <c r="L16" s="44">
        <f>F25/$F$25</f>
        <v>1</v>
      </c>
      <c r="M16" s="44">
        <f>G25/$F$25</f>
        <v>10.391963919639196</v>
      </c>
      <c r="N16" s="44">
        <f>H25/$F$25</f>
        <v>16.014743049705139</v>
      </c>
      <c r="O16" s="10"/>
      <c r="P16" s="10"/>
      <c r="Q16" s="10"/>
    </row>
    <row r="17" spans="2:26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40" t="s">
        <v>121</v>
      </c>
      <c r="L17" s="42">
        <f>L10/$L$10</f>
        <v>1</v>
      </c>
      <c r="M17" s="42">
        <f>M10/$L$10</f>
        <v>1.25</v>
      </c>
      <c r="N17" s="42">
        <f>N10/$L$10</f>
        <v>1.875</v>
      </c>
      <c r="O17" s="10"/>
      <c r="P17" s="10"/>
      <c r="Q17" s="10"/>
    </row>
    <row r="18" spans="2:26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O18" s="10"/>
      <c r="P18" s="10"/>
      <c r="Q18" s="10"/>
    </row>
    <row r="19" spans="2:26" x14ac:dyDescent="0.25">
      <c r="B19" s="55"/>
      <c r="C19" s="55"/>
      <c r="D19" s="55"/>
      <c r="E19" s="55"/>
      <c r="F19" s="55"/>
      <c r="G19" s="55"/>
      <c r="H19" s="55"/>
      <c r="I19" s="55"/>
      <c r="S19" t="s">
        <v>75</v>
      </c>
      <c r="T19">
        <v>180000000</v>
      </c>
      <c r="U19" t="s">
        <v>39</v>
      </c>
    </row>
    <row r="20" spans="2:26" x14ac:dyDescent="0.25">
      <c r="B20" s="54"/>
      <c r="C20" s="54"/>
      <c r="D20" s="54" t="s">
        <v>64</v>
      </c>
      <c r="E20" s="54"/>
      <c r="F20" s="54"/>
      <c r="G20" s="54"/>
      <c r="H20" s="54"/>
      <c r="I20" s="54"/>
      <c r="K20" s="1" t="s">
        <v>125</v>
      </c>
      <c r="O20" t="s">
        <v>18</v>
      </c>
    </row>
    <row r="21" spans="2:26" x14ac:dyDescent="0.25">
      <c r="B21" s="63" t="str">
        <f t="shared" ref="B21:B27" si="1">B12</f>
        <v>Inputs</v>
      </c>
      <c r="C21" s="63"/>
      <c r="D21" s="61" t="str">
        <f>D12</f>
        <v>Generic C FFT</v>
      </c>
      <c r="E21" s="61"/>
      <c r="F21" s="62" t="str">
        <f>F12</f>
        <v>CMSIS FFT</v>
      </c>
      <c r="G21" s="62"/>
      <c r="H21" s="62"/>
      <c r="I21" s="62"/>
      <c r="K21" s="47" t="s">
        <v>108</v>
      </c>
      <c r="O21" t="s">
        <v>2</v>
      </c>
      <c r="P21" t="s">
        <v>108</v>
      </c>
      <c r="S21" t="s">
        <v>129</v>
      </c>
      <c r="T21" t="s">
        <v>131</v>
      </c>
      <c r="X21" t="s">
        <v>130</v>
      </c>
    </row>
    <row r="22" spans="2:26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  <c r="K22" s="48" t="str">
        <f>O22</f>
        <v>RFFT</v>
      </c>
      <c r="L22" s="48" t="str">
        <f t="shared" ref="L22:M22" si="3">P22</f>
        <v>CFFT Radix 4</v>
      </c>
      <c r="M22" s="48" t="str">
        <f t="shared" si="3"/>
        <v>CFFT Radix 2</v>
      </c>
      <c r="O22" t="s">
        <v>124</v>
      </c>
      <c r="P22" t="s">
        <v>126</v>
      </c>
      <c r="Q22" t="s">
        <v>127</v>
      </c>
      <c r="S22" t="s">
        <v>128</v>
      </c>
      <c r="T22" t="str">
        <f>K22</f>
        <v>RFFT</v>
      </c>
      <c r="U22" t="str">
        <f t="shared" ref="U22:V22" si="4">L22</f>
        <v>CFFT Radix 4</v>
      </c>
      <c r="V22" t="str">
        <f t="shared" si="4"/>
        <v>CFFT Radix 2</v>
      </c>
      <c r="X22" t="str">
        <f>T22</f>
        <v>RFFT</v>
      </c>
      <c r="Y22" t="str">
        <f t="shared" ref="Y22:Z22" si="5">U22</f>
        <v>CFFT Radix 4</v>
      </c>
      <c r="Z22" t="str">
        <f t="shared" si="5"/>
        <v>CFFT Radix 2</v>
      </c>
    </row>
    <row r="23" spans="2:26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7">
        <f>1000000/O23</f>
        <v>63451.776649746193</v>
      </c>
      <c r="L23" s="17">
        <f t="shared" ref="L23:M27" si="6">1000000/P23</f>
        <v>48971.596474045051</v>
      </c>
      <c r="M23" s="17">
        <f t="shared" si="6"/>
        <v>38284.839203675343</v>
      </c>
      <c r="O23" s="45">
        <v>15.76</v>
      </c>
      <c r="P23" s="49">
        <v>20.420000000000002</v>
      </c>
      <c r="Q23" s="49">
        <v>26.12</v>
      </c>
      <c r="S23">
        <f>B23*LOG(B23)/LOG(2)</f>
        <v>160</v>
      </c>
      <c r="T23" s="51">
        <f>O23*0.000001*$T$19</f>
        <v>2836.7999999999997</v>
      </c>
      <c r="U23" s="51">
        <f t="shared" ref="U23:V27" si="7">P23*0.000001*$T$19</f>
        <v>3675.6000000000004</v>
      </c>
      <c r="V23" s="51">
        <f t="shared" si="7"/>
        <v>4701.6000000000004</v>
      </c>
      <c r="X23" s="51">
        <f>T23/$S23</f>
        <v>17.729999999999997</v>
      </c>
      <c r="Y23" s="51">
        <f t="shared" ref="Y23:Z27" si="8">U23/$S23</f>
        <v>22.972500000000004</v>
      </c>
      <c r="Z23" s="51">
        <f t="shared" si="8"/>
        <v>29.385000000000002</v>
      </c>
    </row>
    <row r="24" spans="2:26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7">
        <f>1000000/O24</f>
        <v>28169.014084507042</v>
      </c>
      <c r="L24" s="17">
        <f t="shared" si="6"/>
        <v>24826.216484607747</v>
      </c>
      <c r="M24" s="17">
        <f t="shared" si="6"/>
        <v>16886.187098953058</v>
      </c>
      <c r="O24" s="45">
        <v>35.5</v>
      </c>
      <c r="P24" s="49">
        <v>40.28</v>
      </c>
      <c r="Q24" s="49">
        <v>59.22</v>
      </c>
      <c r="S24">
        <f t="shared" ref="S24:S27" si="9">B24*LOG(B24)/LOG(2)</f>
        <v>384</v>
      </c>
      <c r="T24" s="51">
        <f t="shared" ref="T24:T27" si="10">O24*0.000001*$T$19</f>
        <v>6389.9999999999991</v>
      </c>
      <c r="U24" s="51">
        <f t="shared" si="7"/>
        <v>7250.4000000000005</v>
      </c>
      <c r="V24" s="51">
        <f t="shared" si="7"/>
        <v>10659.6</v>
      </c>
      <c r="X24" s="51">
        <f t="shared" ref="X24:X27" si="11">T24/$S24</f>
        <v>16.640624999999996</v>
      </c>
      <c r="Y24" s="51">
        <f t="shared" si="8"/>
        <v>18.881250000000001</v>
      </c>
      <c r="Z24" s="51">
        <f t="shared" si="8"/>
        <v>27.759375000000002</v>
      </c>
    </row>
    <row r="25" spans="2:26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7">
        <f>1000000/O25</f>
        <v>14355.44071202986</v>
      </c>
      <c r="L25" s="17">
        <f t="shared" si="6"/>
        <v>10506.408909434755</v>
      </c>
      <c r="M25" s="17">
        <f t="shared" si="6"/>
        <v>7602.2502660787595</v>
      </c>
      <c r="O25" s="45">
        <v>69.66</v>
      </c>
      <c r="P25" s="49">
        <v>95.18</v>
      </c>
      <c r="Q25" s="49">
        <v>131.54</v>
      </c>
      <c r="S25">
        <f t="shared" si="9"/>
        <v>896</v>
      </c>
      <c r="T25" s="51">
        <f t="shared" si="10"/>
        <v>12538.8</v>
      </c>
      <c r="U25" s="51">
        <f t="shared" si="7"/>
        <v>17132.400000000001</v>
      </c>
      <c r="V25" s="51">
        <f t="shared" si="7"/>
        <v>23677.199999999997</v>
      </c>
      <c r="X25" s="51">
        <f t="shared" si="11"/>
        <v>13.994196428571428</v>
      </c>
      <c r="Y25" s="51">
        <f t="shared" si="8"/>
        <v>19.120982142857144</v>
      </c>
      <c r="Z25" s="51">
        <f t="shared" si="8"/>
        <v>26.425446428571426</v>
      </c>
    </row>
    <row r="26" spans="2:26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7">
        <f>1000000/O26</f>
        <v>6397.9526551503513</v>
      </c>
      <c r="L26" s="17">
        <f t="shared" si="6"/>
        <v>5236.1503822389786</v>
      </c>
      <c r="M26" s="17">
        <f t="shared" si="6"/>
        <v>3433.8300940869444</v>
      </c>
      <c r="O26" s="45">
        <v>156.30000000000001</v>
      </c>
      <c r="P26" s="49">
        <v>190.98</v>
      </c>
      <c r="Q26" s="49">
        <v>291.22000000000003</v>
      </c>
      <c r="S26">
        <f t="shared" si="9"/>
        <v>2048</v>
      </c>
      <c r="T26" s="51">
        <f t="shared" si="10"/>
        <v>28134</v>
      </c>
      <c r="U26" s="51">
        <f t="shared" si="7"/>
        <v>34376.400000000001</v>
      </c>
      <c r="V26" s="51">
        <f t="shared" si="7"/>
        <v>52419.600000000006</v>
      </c>
      <c r="X26" s="51">
        <f t="shared" si="11"/>
        <v>13.7373046875</v>
      </c>
      <c r="Y26" s="51">
        <f t="shared" si="8"/>
        <v>16.785351562500001</v>
      </c>
      <c r="Z26" s="51">
        <f t="shared" si="8"/>
        <v>25.595507812500003</v>
      </c>
    </row>
    <row r="27" spans="2:26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7">
        <f>1000000/O27</f>
        <v>3245.4887706088534</v>
      </c>
      <c r="L27" s="17">
        <f t="shared" si="6"/>
        <v>2497.5024975024976</v>
      </c>
      <c r="M27" s="17">
        <f t="shared" si="6"/>
        <v>1567.2998558084134</v>
      </c>
      <c r="O27" s="45">
        <v>308.12</v>
      </c>
      <c r="P27" s="49">
        <v>400.4</v>
      </c>
      <c r="Q27" s="49">
        <v>638.04</v>
      </c>
      <c r="S27">
        <f t="shared" si="9"/>
        <v>4608</v>
      </c>
      <c r="T27" s="51">
        <f t="shared" si="10"/>
        <v>55461.599999999999</v>
      </c>
      <c r="U27" s="51">
        <f t="shared" si="7"/>
        <v>72072</v>
      </c>
      <c r="V27" s="51">
        <f t="shared" si="7"/>
        <v>114847.2</v>
      </c>
      <c r="X27" s="51">
        <f t="shared" si="11"/>
        <v>12.035937499999999</v>
      </c>
      <c r="Y27" s="51">
        <f t="shared" si="8"/>
        <v>15.640625</v>
      </c>
      <c r="Z27" s="51">
        <f t="shared" si="8"/>
        <v>24.923437499999999</v>
      </c>
    </row>
    <row r="28" spans="2:26" x14ac:dyDescent="0.25">
      <c r="B28" s="55" t="s">
        <v>63</v>
      </c>
      <c r="C28" s="55"/>
      <c r="D28" s="55"/>
      <c r="E28" s="55"/>
      <c r="F28" s="55"/>
      <c r="G28" s="55"/>
      <c r="H28" s="55"/>
      <c r="I28" s="55"/>
      <c r="W28" s="7" t="s">
        <v>132</v>
      </c>
      <c r="X28" s="51">
        <f>AVERAGE(X23:X27)</f>
        <v>14.827612723214283</v>
      </c>
      <c r="Y28" s="51">
        <f t="shared" ref="Y28:Z28" si="12">AVERAGE(Y23:Y27)</f>
        <v>18.680141741071431</v>
      </c>
      <c r="Z28" s="51">
        <f t="shared" si="12"/>
        <v>26.817753348214286</v>
      </c>
    </row>
    <row r="29" spans="2:26" x14ac:dyDescent="0.25">
      <c r="B29" s="22"/>
      <c r="C29" s="22"/>
      <c r="D29" s="22"/>
      <c r="E29" s="22"/>
      <c r="F29" s="22"/>
      <c r="G29" s="22"/>
      <c r="H29" s="22"/>
      <c r="I29" s="22"/>
      <c r="O29">
        <f>O23/P23</f>
        <v>0.77179236043095001</v>
      </c>
      <c r="Q29">
        <f>P23/Q23</f>
        <v>0.78177641653905061</v>
      </c>
    </row>
    <row r="30" spans="2:26" x14ac:dyDescent="0.25">
      <c r="B30" s="15"/>
      <c r="C30" s="15"/>
      <c r="D30" s="15">
        <v>3</v>
      </c>
      <c r="E30" s="15">
        <f>D30+1</f>
        <v>4</v>
      </c>
      <c r="F30" s="15">
        <f t="shared" ref="F30:H30" si="13">E30+1</f>
        <v>5</v>
      </c>
      <c r="G30" s="15">
        <f t="shared" si="13"/>
        <v>6</v>
      </c>
      <c r="H30" s="15">
        <f t="shared" si="13"/>
        <v>7</v>
      </c>
      <c r="I30" s="15">
        <f>H30+1</f>
        <v>8</v>
      </c>
      <c r="O30">
        <f t="shared" ref="O30:O33" si="14">O24/P24</f>
        <v>0.88133068520357494</v>
      </c>
      <c r="Q30">
        <f t="shared" ref="Q30:Q33" si="15">P24/Q24</f>
        <v>0.68017561634582913</v>
      </c>
    </row>
    <row r="31" spans="2:26" x14ac:dyDescent="0.25">
      <c r="B31" s="54"/>
      <c r="C31" s="54"/>
      <c r="D31" s="56" t="s">
        <v>70</v>
      </c>
      <c r="E31" s="57"/>
      <c r="F31" s="57"/>
      <c r="G31" s="57"/>
      <c r="H31" s="57"/>
      <c r="I31" s="58"/>
      <c r="O31">
        <f t="shared" si="14"/>
        <v>0.73187644463122492</v>
      </c>
      <c r="Q31">
        <f t="shared" si="15"/>
        <v>0.72358218032537636</v>
      </c>
    </row>
    <row r="32" spans="2:26" x14ac:dyDescent="0.25">
      <c r="B32" s="59" t="str">
        <f>B12</f>
        <v>Inputs</v>
      </c>
      <c r="C32" s="60"/>
      <c r="D32" s="61" t="str">
        <f>D12</f>
        <v>Generic C FFT</v>
      </c>
      <c r="E32" s="61"/>
      <c r="F32" s="62" t="str">
        <f>F12</f>
        <v>CMSIS FFT</v>
      </c>
      <c r="G32" s="62"/>
      <c r="H32" s="62"/>
      <c r="I32" s="62"/>
      <c r="O32">
        <f t="shared" si="14"/>
        <v>0.81841030474395238</v>
      </c>
      <c r="Q32">
        <f t="shared" si="15"/>
        <v>0.65579287136872455</v>
      </c>
    </row>
    <row r="33" spans="2:17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16">E13</f>
        <v>Arduino M0</v>
      </c>
      <c r="F33" s="33" t="str">
        <f t="shared" si="16"/>
        <v>Teensy 3.2</v>
      </c>
      <c r="G33" s="33" t="str">
        <f t="shared" si="16"/>
        <v>Teensy 3.5</v>
      </c>
      <c r="H33" s="33" t="str">
        <f t="shared" si="16"/>
        <v>Teensy 3.6</v>
      </c>
      <c r="I33" s="33" t="str">
        <f t="shared" si="16"/>
        <v>FRDM-K66F</v>
      </c>
      <c r="K33" t="s">
        <v>65</v>
      </c>
      <c r="L33" s="19">
        <v>0.5</v>
      </c>
      <c r="O33">
        <f t="shared" si="14"/>
        <v>0.76953046953046955</v>
      </c>
      <c r="Q33">
        <f t="shared" si="15"/>
        <v>0.62754686226568868</v>
      </c>
    </row>
    <row r="34" spans="2:17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7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7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7" x14ac:dyDescent="0.25">
      <c r="B37" s="55" t="s">
        <v>63</v>
      </c>
      <c r="C37" s="55"/>
      <c r="D37" s="55"/>
      <c r="E37" s="55"/>
      <c r="F37" s="55"/>
      <c r="G37" s="55"/>
      <c r="H37" s="55"/>
      <c r="I37" s="55"/>
    </row>
  </sheetData>
  <mergeCells count="25">
    <mergeCell ref="B10:I10"/>
    <mergeCell ref="B2:C2"/>
    <mergeCell ref="D2:I2"/>
    <mergeCell ref="B3:C3"/>
    <mergeCell ref="D3:E3"/>
    <mergeCell ref="F3:I3"/>
    <mergeCell ref="B11:C11"/>
    <mergeCell ref="D11:I11"/>
    <mergeCell ref="B12:C12"/>
    <mergeCell ref="D12:E12"/>
    <mergeCell ref="F12:I12"/>
    <mergeCell ref="K12:N12"/>
    <mergeCell ref="B37:I37"/>
    <mergeCell ref="B31:C31"/>
    <mergeCell ref="D31:I31"/>
    <mergeCell ref="B32:C32"/>
    <mergeCell ref="D32:E32"/>
    <mergeCell ref="F32:I32"/>
    <mergeCell ref="B28:I28"/>
    <mergeCell ref="B19:I19"/>
    <mergeCell ref="B20:C20"/>
    <mergeCell ref="D20:I20"/>
    <mergeCell ref="B21:C21"/>
    <mergeCell ref="D21:E21"/>
    <mergeCell ref="F21:I21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7"/>
  <sheetViews>
    <sheetView tabSelected="1" topLeftCell="B12" workbookViewId="0">
      <selection activeCell="U30" sqref="U30"/>
    </sheetView>
  </sheetViews>
  <sheetFormatPr defaultRowHeight="15" x14ac:dyDescent="0.25"/>
  <cols>
    <col min="2" max="3" width="7.25" customWidth="1"/>
    <col min="4" max="15" width="12.75" customWidth="1"/>
    <col min="17" max="17" width="10.625" customWidth="1"/>
    <col min="18" max="23" width="9.125" customWidth="1"/>
    <col min="24" max="24" width="11.875" customWidth="1"/>
    <col min="25" max="28" width="12" customWidth="1"/>
  </cols>
  <sheetData>
    <row r="2" spans="2:30" x14ac:dyDescent="0.25">
      <c r="B2" s="54"/>
      <c r="C2" s="54"/>
      <c r="D2" s="54" t="s">
        <v>64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66"/>
    </row>
    <row r="3" spans="2:30" x14ac:dyDescent="0.25">
      <c r="B3" s="63" t="s">
        <v>61</v>
      </c>
      <c r="C3" s="63"/>
      <c r="D3" s="61" t="s">
        <v>59</v>
      </c>
      <c r="E3" s="61"/>
      <c r="F3" s="61"/>
      <c r="G3" s="61"/>
      <c r="H3" s="61"/>
      <c r="I3" s="61"/>
      <c r="J3" s="61"/>
      <c r="K3" s="62" t="s">
        <v>60</v>
      </c>
      <c r="L3" s="62"/>
      <c r="M3" s="62"/>
      <c r="N3" s="62"/>
      <c r="O3" s="69"/>
    </row>
    <row r="4" spans="2:30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O4" s="67"/>
      <c r="Q4" t="str">
        <f>D4</f>
        <v>Arduino Uno</v>
      </c>
      <c r="R4" t="str">
        <f t="shared" ref="R4:R9" si="0">E4</f>
        <v>Arduino M0</v>
      </c>
      <c r="S4" t="str">
        <f t="shared" ref="S4:S9" si="1">F4</f>
        <v>Maple</v>
      </c>
      <c r="T4" t="str">
        <f>G4</f>
        <v>Teensy 3.2</v>
      </c>
      <c r="U4" t="str">
        <f>H4</f>
        <v>Teensy 3.5</v>
      </c>
      <c r="V4" t="str">
        <f>I4</f>
        <v>Teensy 3.6</v>
      </c>
      <c r="W4" t="str">
        <f t="shared" ref="W4:W9" si="2">J4</f>
        <v>FRDM-K66F</v>
      </c>
      <c r="Y4" t="s">
        <v>48</v>
      </c>
      <c r="Z4" t="s">
        <v>112</v>
      </c>
      <c r="AA4" t="s">
        <v>109</v>
      </c>
      <c r="AB4" t="s">
        <v>49</v>
      </c>
    </row>
    <row r="5" spans="2:30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O5" s="45"/>
      <c r="Q5" s="10">
        <f>D5</f>
        <v>200.77096048827497</v>
      </c>
      <c r="R5" s="10">
        <f t="shared" si="0"/>
        <v>3126.9543464665417</v>
      </c>
      <c r="S5" s="10">
        <f t="shared" si="1"/>
        <v>8051.5297906602254</v>
      </c>
      <c r="T5" s="10">
        <f>G5</f>
        <v>9671.1798839458406</v>
      </c>
      <c r="U5" s="10">
        <f>H5</f>
        <v>12820.51282051282</v>
      </c>
      <c r="V5" s="10">
        <f>I5</f>
        <v>21459.227467811157</v>
      </c>
      <c r="W5" s="10">
        <f t="shared" si="2"/>
        <v>14492.753623188406</v>
      </c>
      <c r="Y5" s="10">
        <f>K5</f>
        <v>30864.1975308642</v>
      </c>
      <c r="Z5" s="10">
        <f>L5</f>
        <v>40783.034257748775</v>
      </c>
      <c r="AA5" s="10">
        <f>M5</f>
        <v>74404.761904761908</v>
      </c>
      <c r="AB5" s="10">
        <f>N5</f>
        <v>58823.529411764706</v>
      </c>
    </row>
    <row r="6" spans="2:30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O6" s="45"/>
      <c r="Q6" s="10">
        <f t="shared" ref="Q6:Q9" si="3">D6</f>
        <v>98.986379474184361</v>
      </c>
      <c r="R6" s="10">
        <f t="shared" si="0"/>
        <v>1594.3877551020407</v>
      </c>
      <c r="S6" s="10">
        <f t="shared" si="1"/>
        <v>4230.1184433164126</v>
      </c>
      <c r="T6" s="10">
        <f>G6</f>
        <v>4892.3679060665363</v>
      </c>
      <c r="U6" s="10">
        <f>H6</f>
        <v>6369.4267515923566</v>
      </c>
      <c r="V6" s="10">
        <f>I6</f>
        <v>10615.711252653928</v>
      </c>
      <c r="W6" s="10">
        <f t="shared" si="2"/>
        <v>7352.9411764705883</v>
      </c>
      <c r="Y6" s="10">
        <f>K6</f>
        <v>16528.92561983471</v>
      </c>
      <c r="Z6" s="10">
        <f>L6</f>
        <v>21635.655560363481</v>
      </c>
      <c r="AA6" s="10">
        <f>M6</f>
        <v>37622.272385252072</v>
      </c>
      <c r="AB6" s="10">
        <f>N6</f>
        <v>33333.333333333336</v>
      </c>
    </row>
    <row r="7" spans="2:30" x14ac:dyDescent="0.25">
      <c r="B7" s="20">
        <f>Summary_Speed!B10</f>
        <v>128</v>
      </c>
      <c r="C7" s="20" t="str">
        <f t="shared" ref="C7:C9" si="4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O7" s="45"/>
      <c r="Q7" s="10" t="str">
        <f t="shared" si="3"/>
        <v>*</v>
      </c>
      <c r="R7" s="10">
        <f t="shared" si="0"/>
        <v>638.9776357827476</v>
      </c>
      <c r="S7" s="10">
        <f t="shared" si="1"/>
        <v>1643.6554898093361</v>
      </c>
      <c r="T7" s="10">
        <f>G7</f>
        <v>1921.5987701767872</v>
      </c>
      <c r="U7" s="10">
        <f>H7</f>
        <v>2568.0534155110427</v>
      </c>
      <c r="V7" s="10">
        <f>I7</f>
        <v>4251.7006802721089</v>
      </c>
      <c r="W7" s="10">
        <f t="shared" si="2"/>
        <v>2865.3295128939826</v>
      </c>
      <c r="Y7" s="10">
        <f>K7</f>
        <v>7156.1471303850003</v>
      </c>
      <c r="Z7" s="10">
        <f>L7</f>
        <v>9305.788200260562</v>
      </c>
      <c r="AA7" s="10">
        <f>M7</f>
        <v>16170.763260025873</v>
      </c>
      <c r="AB7" s="10">
        <f>N7</f>
        <v>14285.714285714286</v>
      </c>
    </row>
    <row r="8" spans="2:30" x14ac:dyDescent="0.25">
      <c r="B8" s="20">
        <f>Summary_Speed!B11</f>
        <v>256</v>
      </c>
      <c r="C8" s="20" t="str">
        <f t="shared" si="4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O8" s="45"/>
      <c r="Q8" s="10" t="str">
        <f t="shared" si="3"/>
        <v>*</v>
      </c>
      <c r="R8" s="10">
        <f t="shared" si="0"/>
        <v>324.78077297823967</v>
      </c>
      <c r="S8" s="10">
        <f t="shared" si="1"/>
        <v>853.67935803312264</v>
      </c>
      <c r="T8" s="10">
        <f>G8</f>
        <v>970.49689440993779</v>
      </c>
      <c r="U8" s="10">
        <f>H8</f>
        <v>1279.0995139421848</v>
      </c>
      <c r="V8" s="10">
        <f>I8</f>
        <v>2104.3771043771044</v>
      </c>
      <c r="W8" s="10">
        <f t="shared" si="2"/>
        <v>1457.7259475218659</v>
      </c>
      <c r="Y8" s="10">
        <f>K8</f>
        <v>3669.1861745064944</v>
      </c>
      <c r="Z8" s="10">
        <f>L8</f>
        <v>4756.0163606962806</v>
      </c>
      <c r="AA8" s="10">
        <f>M8</f>
        <v>7992.3273657289001</v>
      </c>
      <c r="AB8" s="10">
        <f>N8</f>
        <v>7352.9411764705883</v>
      </c>
    </row>
    <row r="9" spans="2:30" x14ac:dyDescent="0.25">
      <c r="B9" s="20">
        <f>Summary_Speed!B12</f>
        <v>512</v>
      </c>
      <c r="C9" s="20" t="str">
        <f t="shared" si="4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O9" s="45"/>
      <c r="Q9" s="10" t="str">
        <f t="shared" si="3"/>
        <v>*</v>
      </c>
      <c r="R9" s="10">
        <f t="shared" si="0"/>
        <v>135.080372821829</v>
      </c>
      <c r="S9" s="10" t="str">
        <f t="shared" si="1"/>
        <v>*</v>
      </c>
      <c r="T9" s="10">
        <f>G9</f>
        <v>398.72408293460927</v>
      </c>
      <c r="U9" s="10">
        <f>H9</f>
        <v>534.18803418803418</v>
      </c>
      <c r="V9" s="10">
        <f>I9</f>
        <v>881.83421516754845</v>
      </c>
      <c r="W9" s="10">
        <f t="shared" si="2"/>
        <v>594.17706476530009</v>
      </c>
      <c r="Y9" s="10">
        <f>K9</f>
        <v>1574.6543633672411</v>
      </c>
      <c r="Z9" s="10">
        <f>L9</f>
        <v>2069.707757264674</v>
      </c>
      <c r="AA9" s="10">
        <f>M9</f>
        <v>3448.7515519381986</v>
      </c>
      <c r="AB9" s="10">
        <f>N9</f>
        <v>3225.8064516129034</v>
      </c>
    </row>
    <row r="10" spans="2:30" x14ac:dyDescent="0.2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68"/>
    </row>
    <row r="11" spans="2:30" x14ac:dyDescent="0.25">
      <c r="B11" s="54"/>
      <c r="C11" s="54"/>
      <c r="D11" s="54" t="s">
        <v>64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66"/>
    </row>
    <row r="12" spans="2:30" x14ac:dyDescent="0.25">
      <c r="B12" s="63" t="s">
        <v>61</v>
      </c>
      <c r="C12" s="63"/>
      <c r="D12" s="61" t="s">
        <v>59</v>
      </c>
      <c r="E12" s="61"/>
      <c r="F12" s="61"/>
      <c r="G12" s="61"/>
      <c r="H12" s="61"/>
      <c r="I12" s="61"/>
      <c r="J12" s="61"/>
      <c r="K12" s="62" t="s">
        <v>60</v>
      </c>
      <c r="L12" s="62"/>
      <c r="M12" s="62"/>
      <c r="N12" s="62"/>
      <c r="O12" s="69"/>
    </row>
    <row r="13" spans="2:30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O13" s="67"/>
      <c r="Q13" t="str">
        <f>D13</f>
        <v>Arduino Uno</v>
      </c>
      <c r="R13" t="str">
        <f>E13</f>
        <v>Arduino M0</v>
      </c>
      <c r="S13" t="str">
        <f>F13</f>
        <v>Maple</v>
      </c>
      <c r="T13" t="str">
        <f>G13</f>
        <v>Teensy 3.2</v>
      </c>
      <c r="U13" t="str">
        <f>H13</f>
        <v>Teensy 3.5</v>
      </c>
      <c r="V13" t="str">
        <f>I13</f>
        <v>Teensy 3.6</v>
      </c>
      <c r="W13" t="str">
        <f t="shared" ref="W13:W18" si="5">J13</f>
        <v>FRDM-K66F</v>
      </c>
      <c r="Y13" t="str">
        <f>Y4</f>
        <v>Teensy 3.2 CMSIS</v>
      </c>
      <c r="Z13" t="str">
        <f>Z4</f>
        <v>Teensy 3.5 CMSIS</v>
      </c>
      <c r="AA13" t="str">
        <f>AA4</f>
        <v>Teensy 3.6 CMSIS</v>
      </c>
      <c r="AB13" t="str">
        <f>AB4</f>
        <v>FRDM-K66F CMSIS</v>
      </c>
      <c r="AD13" t="str">
        <f>AD22</f>
        <v>Bela.io (Neon)</v>
      </c>
    </row>
    <row r="14" spans="2:30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O14" s="45"/>
      <c r="Q14" s="10">
        <f>D14</f>
        <v>79.622905917574357</v>
      </c>
      <c r="R14" s="10">
        <f>E14</f>
        <v>1246.8827930174564</v>
      </c>
      <c r="S14" s="10">
        <f>F14</f>
        <v>5230.1255230125525</v>
      </c>
      <c r="T14" s="10">
        <f>G14</f>
        <v>5186.7219917012444</v>
      </c>
      <c r="U14" s="10">
        <f>H14</f>
        <v>6877.5790921595599</v>
      </c>
      <c r="V14" s="10">
        <f>I14</f>
        <v>11086.474501108647</v>
      </c>
      <c r="W14" s="10">
        <f t="shared" si="5"/>
        <v>9803.9215686274511</v>
      </c>
      <c r="Y14" s="10">
        <f>K14</f>
        <v>16474.464579901152</v>
      </c>
      <c r="Z14" s="10">
        <f>L14</f>
        <v>21496.130696474633</v>
      </c>
      <c r="AA14" s="10">
        <f>M14</f>
        <v>37009.622501850485</v>
      </c>
      <c r="AB14" s="10">
        <f>N14</f>
        <v>31250</v>
      </c>
    </row>
    <row r="15" spans="2:30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O15" s="45"/>
      <c r="Q15" s="10" t="str">
        <f t="shared" ref="Q15:Q18" si="6">D15</f>
        <v>*</v>
      </c>
      <c r="R15" s="10">
        <f t="shared" ref="R15:R18" si="7">E15</f>
        <v>597.37156511350065</v>
      </c>
      <c r="S15" s="10">
        <f t="shared" ref="S15:S18" si="8">F15</f>
        <v>2714.4408251900109</v>
      </c>
      <c r="T15" s="10">
        <f>G15</f>
        <v>2606.8821689259644</v>
      </c>
      <c r="U15" s="10">
        <f>H15</f>
        <v>3469.8126301179736</v>
      </c>
      <c r="V15" s="10">
        <f>I15</f>
        <v>5580.3571428571431</v>
      </c>
      <c r="W15" s="10">
        <f t="shared" si="5"/>
        <v>5263.1578947368425</v>
      </c>
      <c r="Y15" s="10">
        <f>K15</f>
        <v>8577.8006519128503</v>
      </c>
      <c r="Z15" s="10">
        <f>L15</f>
        <v>11140.819964349375</v>
      </c>
      <c r="AA15" s="10">
        <f>M15</f>
        <v>18491.124260355031</v>
      </c>
      <c r="AB15" s="10">
        <f>N15</f>
        <v>16666.666666666668</v>
      </c>
    </row>
    <row r="16" spans="2:30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O16" s="45"/>
      <c r="Q16" s="10" t="str">
        <f t="shared" si="6"/>
        <v>*</v>
      </c>
      <c r="R16" s="10">
        <f t="shared" si="7"/>
        <v>235.79344494223059</v>
      </c>
      <c r="S16" s="10">
        <f t="shared" si="8"/>
        <v>1031.3531353135313</v>
      </c>
      <c r="T16" s="10">
        <f>G16</f>
        <v>1006.8465565847764</v>
      </c>
      <c r="U16" s="10">
        <f>H16</f>
        <v>1343.7248051599031</v>
      </c>
      <c r="V16" s="10">
        <f>I16</f>
        <v>2172.0243266724588</v>
      </c>
      <c r="W16" s="10">
        <f t="shared" si="5"/>
        <v>1953.125</v>
      </c>
      <c r="Y16" s="10">
        <f>K16</f>
        <v>3292.723081988805</v>
      </c>
      <c r="Z16" s="10">
        <f>L16</f>
        <v>4329.0043290043286</v>
      </c>
      <c r="AA16" s="10">
        <f>M16</f>
        <v>7326.0073260073259</v>
      </c>
      <c r="AB16" s="10">
        <f>N16</f>
        <v>6211.1801242236024</v>
      </c>
    </row>
    <row r="17" spans="2:30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O17" s="45"/>
      <c r="Q17" s="10" t="str">
        <f t="shared" si="6"/>
        <v>*</v>
      </c>
      <c r="R17" s="10">
        <f t="shared" si="7"/>
        <v>114.11617026132603</v>
      </c>
      <c r="S17" s="10">
        <f t="shared" si="8"/>
        <v>530.56027164685906</v>
      </c>
      <c r="T17" s="10">
        <f>G17</f>
        <v>506.07287449392715</v>
      </c>
      <c r="U17" s="10">
        <f>H17</f>
        <v>676.86476242046831</v>
      </c>
      <c r="V17" s="10">
        <f>I17</f>
        <v>1086.7202782003912</v>
      </c>
      <c r="W17" s="10">
        <f t="shared" si="5"/>
        <v>1030.9278350515465</v>
      </c>
      <c r="Y17" s="10">
        <f>K17</f>
        <v>1674.817444898506</v>
      </c>
      <c r="Z17" s="10">
        <f>L17</f>
        <v>2198.1886925173658</v>
      </c>
      <c r="AA17" s="10">
        <f>M17</f>
        <v>3619.7784695576634</v>
      </c>
      <c r="AB17" s="10">
        <f>N17</f>
        <v>3154.5741324921137</v>
      </c>
    </row>
    <row r="18" spans="2:30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O18" s="45"/>
      <c r="Q18" s="10" t="str">
        <f t="shared" si="6"/>
        <v>*</v>
      </c>
      <c r="R18" s="10">
        <f t="shared" si="7"/>
        <v>47.386627493721271</v>
      </c>
      <c r="S18" s="10" t="str">
        <f t="shared" si="8"/>
        <v>*</v>
      </c>
      <c r="T18" s="10">
        <f>G18</f>
        <v>205.84602717167559</v>
      </c>
      <c r="U18" s="10">
        <f>H18</f>
        <v>275.26976436908171</v>
      </c>
      <c r="V18" s="10">
        <f>I18</f>
        <v>444.48395412925589</v>
      </c>
      <c r="W18" s="10">
        <f t="shared" si="5"/>
        <v>406.33888663145063</v>
      </c>
      <c r="Y18" s="10">
        <f>K18</f>
        <v>677.43334055928892</v>
      </c>
      <c r="Z18" s="10">
        <f>L18</f>
        <v>901.32314237300352</v>
      </c>
      <c r="AA18" s="10">
        <f>M18</f>
        <v>1497.0059880239521</v>
      </c>
      <c r="AB18" s="10">
        <f>N18</f>
        <v>1272.2646310432569</v>
      </c>
    </row>
    <row r="19" spans="2:30" x14ac:dyDescent="0.2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8"/>
    </row>
    <row r="20" spans="2:30" x14ac:dyDescent="0.25">
      <c r="B20" s="54"/>
      <c r="C20" s="54"/>
      <c r="D20" s="56" t="s">
        <v>64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</row>
    <row r="21" spans="2:30" x14ac:dyDescent="0.25">
      <c r="B21" s="63" t="str">
        <f t="shared" ref="B21:B27" si="9">B12</f>
        <v>Inputs</v>
      </c>
      <c r="C21" s="63"/>
      <c r="D21" s="61" t="str">
        <f>D12</f>
        <v>Generic C</v>
      </c>
      <c r="E21" s="61"/>
      <c r="F21" s="61"/>
      <c r="G21" s="61"/>
      <c r="H21" s="61"/>
      <c r="I21" s="61"/>
      <c r="J21" s="61"/>
      <c r="K21" s="62" t="str">
        <f>K12</f>
        <v>CMSIS</v>
      </c>
      <c r="L21" s="62"/>
      <c r="M21" s="62"/>
      <c r="N21" s="62"/>
      <c r="O21" s="70" t="s">
        <v>133</v>
      </c>
    </row>
    <row r="22" spans="2:30" x14ac:dyDescent="0.25">
      <c r="B22" s="18" t="str">
        <f t="shared" si="9"/>
        <v>N</v>
      </c>
      <c r="C22" s="18" t="str">
        <f>C13</f>
        <v>Data</v>
      </c>
      <c r="D22" s="18" t="str">
        <f t="shared" ref="D22:N22" si="10">D13</f>
        <v>Arduino Uno</v>
      </c>
      <c r="E22" s="18" t="str">
        <f t="shared" si="10"/>
        <v>Arduino M0</v>
      </c>
      <c r="F22" s="18" t="str">
        <f t="shared" si="10"/>
        <v>Maple</v>
      </c>
      <c r="G22" s="18" t="str">
        <f t="shared" si="10"/>
        <v>Teensy 3.2</v>
      </c>
      <c r="H22" s="31" t="str">
        <f t="shared" ref="H22" si="11">H13</f>
        <v>Teensy 3.5</v>
      </c>
      <c r="I22" s="31" t="str">
        <f t="shared" ref="I22" si="12">I13</f>
        <v>Teensy 3.6</v>
      </c>
      <c r="J22" s="18" t="str">
        <f t="shared" si="10"/>
        <v>FRDM-K66F</v>
      </c>
      <c r="K22" s="18" t="str">
        <f t="shared" si="10"/>
        <v>Teensy 3.2</v>
      </c>
      <c r="L22" s="31" t="str">
        <f t="shared" ref="L22" si="13">L13</f>
        <v>Teensy 3.5</v>
      </c>
      <c r="M22" s="31" t="str">
        <f t="shared" ref="M22" si="14">M13</f>
        <v>Teensy 3.6</v>
      </c>
      <c r="N22" s="18" t="str">
        <f t="shared" si="10"/>
        <v>FRDM-K66F</v>
      </c>
      <c r="O22" s="50" t="s">
        <v>134</v>
      </c>
      <c r="Q22" t="str">
        <f>D22</f>
        <v>Arduino Uno</v>
      </c>
      <c r="R22" t="str">
        <f t="shared" ref="R22:R27" si="15">E22</f>
        <v>Arduino M0</v>
      </c>
      <c r="S22" t="str">
        <f t="shared" ref="S22:S27" si="16">F22</f>
        <v>Maple</v>
      </c>
      <c r="T22" t="str">
        <f>G22</f>
        <v>Teensy 3.2</v>
      </c>
      <c r="U22" t="str">
        <f>H22</f>
        <v>Teensy 3.5</v>
      </c>
      <c r="V22" t="str">
        <f>I22</f>
        <v>Teensy 3.6</v>
      </c>
      <c r="W22" t="str">
        <f t="shared" ref="W22:W27" si="17">J22</f>
        <v>FRDM-K66F</v>
      </c>
      <c r="Y22" t="str">
        <f>Y13</f>
        <v>Teensy 3.2 CMSIS</v>
      </c>
      <c r="Z22" t="str">
        <f>Z13</f>
        <v>Teensy 3.5 CMSIS</v>
      </c>
      <c r="AA22" t="str">
        <f>AA13</f>
        <v>Teensy 3.6 CMSIS</v>
      </c>
      <c r="AB22" t="str">
        <f t="shared" ref="AB22" si="18">AB13</f>
        <v>FRDM-K66F CMSIS</v>
      </c>
      <c r="AD22" t="s">
        <v>135</v>
      </c>
    </row>
    <row r="23" spans="2:30" x14ac:dyDescent="0.25">
      <c r="B23" s="21">
        <f t="shared" si="9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O23" s="17">
        <f>1/0.000000625</f>
        <v>1599999.9999999998</v>
      </c>
      <c r="P23">
        <f>O23/M23</f>
        <v>32.831999999999994</v>
      </c>
      <c r="Q23" s="10">
        <f>D23</f>
        <v>156.78896205707119</v>
      </c>
      <c r="R23" s="10">
        <f t="shared" si="15"/>
        <v>457.03839122486289</v>
      </c>
      <c r="S23" s="10">
        <f t="shared" si="16"/>
        <v>1498.8009592326139</v>
      </c>
      <c r="T23" s="10">
        <f>G23</f>
        <v>2014.5044319097503</v>
      </c>
      <c r="U23" s="10">
        <f>H23</f>
        <v>17985.611510791365</v>
      </c>
      <c r="V23" s="10">
        <f>I23</f>
        <v>31446.540880503144</v>
      </c>
      <c r="W23" s="10">
        <f t="shared" si="17"/>
        <v>21276.59574468085</v>
      </c>
      <c r="Y23" s="10">
        <f t="shared" ref="Y23:AA27" si="19">K23</f>
        <v>3542.3308537017356</v>
      </c>
      <c r="Z23" s="10">
        <f t="shared" si="19"/>
        <v>30978.934324659229</v>
      </c>
      <c r="AA23" s="10">
        <f t="shared" si="19"/>
        <v>48732.943469785576</v>
      </c>
      <c r="AB23" s="10">
        <f t="shared" ref="AB23:AB27" si="20">N23</f>
        <v>40000</v>
      </c>
      <c r="AD23" s="10">
        <f>O23</f>
        <v>1599999.9999999998</v>
      </c>
    </row>
    <row r="24" spans="2:30" x14ac:dyDescent="0.25">
      <c r="B24" s="21">
        <f t="shared" si="9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O24" s="17">
        <f>1/0.000001437</f>
        <v>695894.22407794022</v>
      </c>
      <c r="P24">
        <f t="shared" ref="P24:P27" si="21">O24/M24</f>
        <v>27.961029923451637</v>
      </c>
      <c r="Q24" s="10" t="str">
        <f t="shared" ref="Q24:Q27" si="22">D24</f>
        <v>*</v>
      </c>
      <c r="R24" s="10">
        <f t="shared" si="15"/>
        <v>198.60973187686196</v>
      </c>
      <c r="S24" s="10">
        <f t="shared" si="16"/>
        <v>649.35064935064941</v>
      </c>
      <c r="T24" s="10">
        <f>G24</f>
        <v>880.28169014084506</v>
      </c>
      <c r="U24" s="10">
        <f>H24</f>
        <v>10482.180293501047</v>
      </c>
      <c r="V24" s="10">
        <f>I24</f>
        <v>19011.406844106463</v>
      </c>
      <c r="W24" s="10">
        <f t="shared" si="17"/>
        <v>12658.227848101265</v>
      </c>
      <c r="Y24" s="10">
        <f t="shared" si="19"/>
        <v>1811.4629374682995</v>
      </c>
      <c r="Z24" s="10">
        <f t="shared" si="19"/>
        <v>16528.92561983471</v>
      </c>
      <c r="AA24" s="10">
        <f t="shared" si="19"/>
        <v>24888.003982080638</v>
      </c>
      <c r="AB24" s="10">
        <f t="shared" si="20"/>
        <v>21276.59574468085</v>
      </c>
      <c r="AD24" s="10">
        <f t="shared" ref="AD24:AD27" si="23">O24</f>
        <v>695894.22407794022</v>
      </c>
    </row>
    <row r="25" spans="2:30" x14ac:dyDescent="0.25">
      <c r="B25" s="21">
        <f t="shared" si="9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O25" s="17">
        <f>1/0.000003044</f>
        <v>328515.11169513798</v>
      </c>
      <c r="P25">
        <f t="shared" si="21"/>
        <v>31.1957950065703</v>
      </c>
      <c r="Q25" s="10" t="str">
        <f t="shared" si="22"/>
        <v>*</v>
      </c>
      <c r="R25" s="10">
        <f t="shared" si="15"/>
        <v>81.221572449642622</v>
      </c>
      <c r="S25" s="10">
        <f t="shared" si="16"/>
        <v>262.72923125426934</v>
      </c>
      <c r="T25" s="10">
        <f>G25</f>
        <v>350.90181767141553</v>
      </c>
      <c r="U25" s="10">
        <f>H25</f>
        <v>3888.0248833592536</v>
      </c>
      <c r="V25" s="10">
        <f>I25</f>
        <v>6802.7210884353744</v>
      </c>
      <c r="W25" s="10">
        <f t="shared" si="17"/>
        <v>4608.294930875576</v>
      </c>
      <c r="Y25" s="10">
        <f t="shared" si="19"/>
        <v>657.56595386517267</v>
      </c>
      <c r="Z25" s="10">
        <f t="shared" si="19"/>
        <v>6833.4016673500064</v>
      </c>
      <c r="AA25" s="10">
        <f t="shared" si="19"/>
        <v>10530.749789385005</v>
      </c>
      <c r="AB25" s="10">
        <f t="shared" si="20"/>
        <v>9523.8095238095229</v>
      </c>
      <c r="AD25" s="10">
        <f t="shared" si="23"/>
        <v>328515.11169513798</v>
      </c>
    </row>
    <row r="26" spans="2:30" x14ac:dyDescent="0.25">
      <c r="B26" s="21">
        <f t="shared" si="9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O26" s="17">
        <f>1/0.000007435</f>
        <v>134498.99125756556</v>
      </c>
      <c r="P26">
        <f t="shared" si="21"/>
        <v>25.670477471418966</v>
      </c>
      <c r="Q26" s="10" t="str">
        <f t="shared" si="22"/>
        <v>*</v>
      </c>
      <c r="R26" s="10">
        <f t="shared" si="15"/>
        <v>36.564408205053198</v>
      </c>
      <c r="S26" s="10">
        <f t="shared" si="16"/>
        <v>117.43153741368782</v>
      </c>
      <c r="T26" s="10">
        <f>G26</f>
        <v>158.83604942977857</v>
      </c>
      <c r="U26" s="10">
        <f>H26</f>
        <v>2241.1474675033619</v>
      </c>
      <c r="V26" s="10">
        <f>I26</f>
        <v>3993.6102236421725</v>
      </c>
      <c r="W26" s="10">
        <f t="shared" si="17"/>
        <v>2695.4177897574123</v>
      </c>
      <c r="Y26" s="10">
        <f t="shared" si="19"/>
        <v>330.84975450948218</v>
      </c>
      <c r="Z26" s="10">
        <f t="shared" si="19"/>
        <v>3524.3532811729046</v>
      </c>
      <c r="AA26" s="10">
        <f t="shared" si="19"/>
        <v>5239.4425233155189</v>
      </c>
      <c r="AB26" s="10">
        <f t="shared" si="20"/>
        <v>4878.0487804878048</v>
      </c>
      <c r="AD26" s="10">
        <f t="shared" si="23"/>
        <v>134498.99125756556</v>
      </c>
    </row>
    <row r="27" spans="2:30" x14ac:dyDescent="0.25">
      <c r="B27" s="21">
        <f t="shared" si="9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O27" s="17">
        <f>1/0.000015899</f>
        <v>62897.037549531415</v>
      </c>
      <c r="P27">
        <f t="shared" si="21"/>
        <v>27.569029498710609</v>
      </c>
      <c r="Q27" s="10" t="str">
        <f t="shared" si="22"/>
        <v>*</v>
      </c>
      <c r="R27" s="10">
        <f t="shared" si="15"/>
        <v>15.690704826460804</v>
      </c>
      <c r="S27" s="10" t="str">
        <f t="shared" si="16"/>
        <v>*</v>
      </c>
      <c r="T27" s="10">
        <f>G27</f>
        <v>67.015145422865572</v>
      </c>
      <c r="U27" s="10">
        <f>H27</f>
        <v>856.75119945167921</v>
      </c>
      <c r="V27" s="10">
        <f>I27</f>
        <v>1496.5579167913797</v>
      </c>
      <c r="W27" s="10">
        <f t="shared" si="17"/>
        <v>1019.3679918450561</v>
      </c>
      <c r="Y27" s="10">
        <f t="shared" si="19"/>
        <v>129.6798205231284</v>
      </c>
      <c r="Z27" s="10">
        <f t="shared" si="19"/>
        <v>1477.148512511448</v>
      </c>
      <c r="AA27" s="10">
        <f t="shared" si="19"/>
        <v>2281.4382186530388</v>
      </c>
      <c r="AB27" s="10">
        <f t="shared" si="20"/>
        <v>2123.1422505307855</v>
      </c>
      <c r="AD27" s="10">
        <f t="shared" si="23"/>
        <v>62897.037549531415</v>
      </c>
    </row>
    <row r="28" spans="2:30" x14ac:dyDescent="0.25">
      <c r="B28" s="71" t="s">
        <v>63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</row>
    <row r="29" spans="2:30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2:30" x14ac:dyDescent="0.25">
      <c r="B30" s="15"/>
      <c r="C30" s="15"/>
      <c r="D30" s="15">
        <v>3</v>
      </c>
      <c r="E30" s="15">
        <f>D30+1</f>
        <v>4</v>
      </c>
      <c r="F30" s="15">
        <f t="shared" ref="F30:N30" si="24">E30+1</f>
        <v>5</v>
      </c>
      <c r="G30" s="15">
        <f t="shared" si="24"/>
        <v>6</v>
      </c>
      <c r="H30" s="15">
        <f t="shared" si="24"/>
        <v>7</v>
      </c>
      <c r="I30" s="15">
        <f t="shared" si="24"/>
        <v>8</v>
      </c>
      <c r="J30" s="15">
        <f t="shared" si="24"/>
        <v>9</v>
      </c>
      <c r="K30" s="15">
        <f t="shared" si="24"/>
        <v>10</v>
      </c>
      <c r="L30" s="15">
        <f t="shared" si="24"/>
        <v>11</v>
      </c>
      <c r="M30" s="15">
        <f t="shared" si="24"/>
        <v>12</v>
      </c>
      <c r="N30" s="15">
        <f t="shared" si="24"/>
        <v>13</v>
      </c>
      <c r="O30" s="15">
        <v>14</v>
      </c>
    </row>
    <row r="31" spans="2:30" x14ac:dyDescent="0.25">
      <c r="B31" s="54"/>
      <c r="C31" s="54"/>
      <c r="D31" s="56" t="s">
        <v>70</v>
      </c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66"/>
    </row>
    <row r="32" spans="2:30" x14ac:dyDescent="0.25">
      <c r="B32" s="59" t="str">
        <f>B12</f>
        <v>Inputs</v>
      </c>
      <c r="C32" s="60"/>
      <c r="D32" s="61" t="str">
        <f>D12</f>
        <v>Generic C</v>
      </c>
      <c r="E32" s="61"/>
      <c r="F32" s="61"/>
      <c r="G32" s="61"/>
      <c r="H32" s="61"/>
      <c r="I32" s="61"/>
      <c r="J32" s="61"/>
      <c r="K32" s="62" t="str">
        <f>K12</f>
        <v>CMSIS</v>
      </c>
      <c r="L32" s="62"/>
      <c r="M32" s="62"/>
      <c r="N32" s="62"/>
      <c r="O32" s="69" t="str">
        <f>O21</f>
        <v>Neon</v>
      </c>
      <c r="X32" s="54" t="s">
        <v>69</v>
      </c>
      <c r="Y32" s="54"/>
      <c r="Z32" s="54"/>
      <c r="AA32" s="54"/>
      <c r="AB32" s="54"/>
    </row>
    <row r="33" spans="2:28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25">E13</f>
        <v>Arduino M0</v>
      </c>
      <c r="F33" s="18" t="str">
        <f t="shared" si="25"/>
        <v>Maple</v>
      </c>
      <c r="G33" s="18" t="str">
        <f t="shared" si="25"/>
        <v>Teensy 3.2</v>
      </c>
      <c r="H33" s="31" t="str">
        <f t="shared" ref="H33" si="26">H13</f>
        <v>Teensy 3.5</v>
      </c>
      <c r="I33" s="31" t="str">
        <f t="shared" ref="I33" si="27">I13</f>
        <v>Teensy 3.6</v>
      </c>
      <c r="J33" s="18" t="str">
        <f t="shared" si="25"/>
        <v>FRDM-K66F</v>
      </c>
      <c r="K33" s="18" t="str">
        <f t="shared" si="25"/>
        <v>Teensy 3.2</v>
      </c>
      <c r="L33" s="31" t="str">
        <f t="shared" ref="L33" si="28">L13</f>
        <v>Teensy 3.5</v>
      </c>
      <c r="M33" s="31" t="str">
        <f t="shared" ref="M33" si="29">M13</f>
        <v>Teensy 3.6</v>
      </c>
      <c r="N33" s="18" t="str">
        <f t="shared" si="25"/>
        <v>FRDM-K66F</v>
      </c>
      <c r="O33" s="50" t="str">
        <f>O22</f>
        <v>Bela.io (BBB)</v>
      </c>
      <c r="Q33" t="s">
        <v>65</v>
      </c>
      <c r="R33" s="19">
        <v>0.5</v>
      </c>
      <c r="X33" s="29" t="s">
        <v>58</v>
      </c>
      <c r="Y33" s="29" t="str">
        <f>K33</f>
        <v>Teensy 3.2</v>
      </c>
      <c r="Z33" s="31" t="str">
        <f>L33</f>
        <v>Teensy 3.5</v>
      </c>
      <c r="AA33" s="31" t="str">
        <f>M33</f>
        <v>Teensy 3.6</v>
      </c>
      <c r="AB33" s="29" t="str">
        <f>N33</f>
        <v>FRDM-K66F</v>
      </c>
    </row>
    <row r="34" spans="2:28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VLOOKUP($B34,$B5:$N9,E$30)/$R$36*$B34</f>
        <v>20447.284345047923</v>
      </c>
      <c r="F34" s="24">
        <f t="shared" ref="F34:N34" si="30">VLOOKUP($B34,$B5:$N9,F$30)/$R$36*$B34</f>
        <v>52596.975673898756</v>
      </c>
      <c r="G34" s="24">
        <f t="shared" si="30"/>
        <v>61491.16064565719</v>
      </c>
      <c r="H34" s="24">
        <f t="shared" ref="H34" si="31">VLOOKUP($B34,$B5:$N9,H$30)/$R$36*$B34</f>
        <v>82177.709296353365</v>
      </c>
      <c r="I34" s="24">
        <f t="shared" ref="I34" si="32">VLOOKUP($B34,$B5:$N9,I$30)/$R$36*$B34</f>
        <v>136054.42176870749</v>
      </c>
      <c r="J34" s="24">
        <f t="shared" si="30"/>
        <v>91690.544412607444</v>
      </c>
      <c r="K34" s="24">
        <f t="shared" si="30"/>
        <v>228996.70817232001</v>
      </c>
      <c r="L34" s="24">
        <f t="shared" ref="L34" si="33">VLOOKUP($B34,$B5:$N9,L$30)/$R$36*$B34</f>
        <v>297785.22240833798</v>
      </c>
      <c r="M34" s="24">
        <f t="shared" ref="M34" si="34">VLOOKUP($B34,$B5:$N9,M$30)/$R$36*$B34</f>
        <v>517464.42432082794</v>
      </c>
      <c r="N34" s="24">
        <f t="shared" si="30"/>
        <v>457142.85714285716</v>
      </c>
      <c r="O34" s="24" t="e">
        <f t="shared" ref="O34" si="35">VLOOKUP($B34,$B5:$N9,O$30)/$R$36*$B34</f>
        <v>#REF!</v>
      </c>
      <c r="Q34" t="s">
        <v>66</v>
      </c>
      <c r="R34">
        <f>1/(1-R33)</f>
        <v>2</v>
      </c>
      <c r="X34" s="30" t="str">
        <f>C34</f>
        <v>Int16</v>
      </c>
      <c r="Y34" s="32">
        <f>K7/G7</f>
        <v>3.724058966652354</v>
      </c>
      <c r="Z34" s="32">
        <f>L7/H7</f>
        <v>3.6236739251814627</v>
      </c>
      <c r="AA34" s="32">
        <f>M7/I7</f>
        <v>3.8033635187580854</v>
      </c>
      <c r="AB34" s="32">
        <f>N7/J7</f>
        <v>4.9857142857142867</v>
      </c>
    </row>
    <row r="35" spans="2:28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VLOOKUP($B35,$B14:$N18,E$30)/$R$36*$B35</f>
        <v>7545.390238151379</v>
      </c>
      <c r="F35" s="24">
        <f t="shared" ref="F35:N35" si="36">VLOOKUP($B35,$B14:$N18,F$30)/$R$36*$B35</f>
        <v>33003.300330033002</v>
      </c>
      <c r="G35" s="24">
        <f t="shared" si="36"/>
        <v>32219.089810712845</v>
      </c>
      <c r="H35" s="24">
        <f t="shared" ref="H35" si="37">VLOOKUP($B35,$B14:$N18,H$30)/$R$36*$B35</f>
        <v>42999.193765116899</v>
      </c>
      <c r="I35" s="24">
        <f t="shared" ref="I35" si="38">VLOOKUP($B35,$B14:$N18,I$30)/$R$36*$B35</f>
        <v>69504.77845351868</v>
      </c>
      <c r="J35" s="24">
        <f t="shared" si="36"/>
        <v>62500</v>
      </c>
      <c r="K35" s="24">
        <f t="shared" si="36"/>
        <v>105367.13862364176</v>
      </c>
      <c r="L35" s="24">
        <f t="shared" ref="L35" si="39">VLOOKUP($B35,$B14:$N18,L$30)/$R$36*$B35</f>
        <v>138528.13852813852</v>
      </c>
      <c r="M35" s="24">
        <f t="shared" ref="M35" si="40">VLOOKUP($B35,$B14:$N18,M$30)/$R$36*$B35</f>
        <v>234432.23443223443</v>
      </c>
      <c r="N35" s="24">
        <f t="shared" si="36"/>
        <v>198757.76397515528</v>
      </c>
      <c r="O35" s="24" t="e">
        <f t="shared" ref="O35" si="41">VLOOKUP($B35,$B14:$N18,O$30)/$R$36*$B35</f>
        <v>#REF!</v>
      </c>
      <c r="Q35" t="s">
        <v>67</v>
      </c>
      <c r="R35">
        <f>R34</f>
        <v>2</v>
      </c>
      <c r="X35" s="30" t="str">
        <f>C35</f>
        <v>Int32</v>
      </c>
      <c r="Y35" s="32">
        <f>K16/G16</f>
        <v>3.2703325650312816</v>
      </c>
      <c r="Z35" s="32">
        <f>L16/H16</f>
        <v>3.2216450216450219</v>
      </c>
      <c r="AA35" s="32">
        <f>M16/I16</f>
        <v>3.3728937728937729</v>
      </c>
      <c r="AB35" s="32">
        <f>N16/J16</f>
        <v>3.1801242236024843</v>
      </c>
    </row>
    <row r="36" spans="2:28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VLOOKUP($B36,$B23:$N27,E$30)/$R$36*$B36</f>
        <v>2599.0903183885639</v>
      </c>
      <c r="F36" s="24">
        <f t="shared" ref="F36:K36" si="42">VLOOKUP($B36,$B23:$N27,F$30)/$R$36*$B36</f>
        <v>8407.3354001366188</v>
      </c>
      <c r="G36" s="24">
        <f t="shared" si="42"/>
        <v>11228.858165485297</v>
      </c>
      <c r="H36" s="24">
        <f t="shared" ref="H36" si="43">VLOOKUP($B36,$B23:$N27,H$30)/$R$36*$B36</f>
        <v>124416.79626749612</v>
      </c>
      <c r="I36" s="24">
        <f t="shared" ref="I36" si="44">VLOOKUP($B36,$B23:$N27,I$30)/$R$36*$B36</f>
        <v>217687.07482993198</v>
      </c>
      <c r="J36" s="24">
        <f t="shared" si="42"/>
        <v>147465.43778801843</v>
      </c>
      <c r="K36" s="24">
        <f t="shared" si="42"/>
        <v>21042.110523685526</v>
      </c>
      <c r="L36" s="24">
        <f t="shared" ref="L36" si="45">VLOOKUP($B36,$B23:$N27,L$30)/$R$36*$B36</f>
        <v>218668.8533552002</v>
      </c>
      <c r="M36" s="24">
        <f t="shared" ref="M36" si="46">VLOOKUP($B36,$B23:$N27,M$30)/$R$36*$B36</f>
        <v>336983.99326032016</v>
      </c>
      <c r="N36" s="24">
        <f>VLOOKUP($B36,$B23:$O27,N$30)/$R$36*$B36</f>
        <v>304761.90476190473</v>
      </c>
      <c r="O36" s="24">
        <f>VLOOKUP($B36,$B23:$O27,O$30)/$R$36*$B36</f>
        <v>10512483.574244415</v>
      </c>
      <c r="Q36" t="s">
        <v>68</v>
      </c>
      <c r="R36">
        <f>R34+R35</f>
        <v>4</v>
      </c>
      <c r="X36" s="30" t="str">
        <f>C36</f>
        <v>Float32</v>
      </c>
      <c r="Y36" s="32">
        <f>K25/G25</f>
        <v>1.8739314553249691</v>
      </c>
      <c r="Z36" s="32">
        <f>L25/H25</f>
        <v>1.7575509088424215</v>
      </c>
      <c r="AA36" s="32">
        <f>M25/I25</f>
        <v>1.5480202190395957</v>
      </c>
      <c r="AB36" s="32">
        <f>N25/J25</f>
        <v>2.0666666666666664</v>
      </c>
    </row>
    <row r="37" spans="2:28" x14ac:dyDescent="0.25">
      <c r="B37" s="55" t="s">
        <v>63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68"/>
    </row>
  </sheetData>
  <mergeCells count="25">
    <mergeCell ref="B20:C20"/>
    <mergeCell ref="B37:N37"/>
    <mergeCell ref="B31:C31"/>
    <mergeCell ref="D31:N31"/>
    <mergeCell ref="B32:C32"/>
    <mergeCell ref="D21:J21"/>
    <mergeCell ref="K21:N21"/>
    <mergeCell ref="B21:C21"/>
    <mergeCell ref="D20:O20"/>
    <mergeCell ref="B28:O28"/>
    <mergeCell ref="B11:C11"/>
    <mergeCell ref="B12:C12"/>
    <mergeCell ref="X32:AB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12:J12"/>
    <mergeCell ref="K12:N12"/>
  </mergeCells>
  <conditionalFormatting sqref="E34:O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workbookViewId="0">
      <selection activeCell="G26" sqref="A26:XFD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3" max="23" width="10.125" customWidth="1"/>
    <col min="27" max="27" width="3" style="14" customWidth="1"/>
    <col min="28" max="28" width="11.25" customWidth="1"/>
    <col min="34" max="34" width="10.125" customWidth="1"/>
  </cols>
  <sheetData>
    <row r="2" spans="2:43" ht="18.75" x14ac:dyDescent="0.3">
      <c r="B2" s="64" t="s">
        <v>53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AC2" s="65" t="s">
        <v>56</v>
      </c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75" customWidth="1"/>
    <col min="3" max="9" width="10.875" customWidth="1"/>
    <col min="10" max="10" width="3.625" customWidth="1"/>
    <col min="11" max="17" width="10.125" customWidth="1"/>
    <col min="18" max="18" width="3.375" customWidth="1"/>
    <col min="28" max="28" width="9.125" style="2"/>
  </cols>
  <sheetData>
    <row r="2" spans="2:53" ht="18.75" x14ac:dyDescent="0.3">
      <c r="B2" s="64" t="s">
        <v>55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AD2" s="65" t="s">
        <v>54</v>
      </c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75" bestFit="1" customWidth="1"/>
    <col min="3" max="3" width="15.375" customWidth="1"/>
    <col min="4" max="4" width="9.75" bestFit="1" customWidth="1"/>
    <col min="5" max="5" width="7.125" customWidth="1"/>
    <col min="6" max="6" width="10.625" style="5" bestFit="1" customWidth="1"/>
    <col min="7" max="7" width="10.6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Chip Audette</cp:lastModifiedBy>
  <dcterms:created xsi:type="dcterms:W3CDTF">2015-07-26T19:56:09Z</dcterms:created>
  <dcterms:modified xsi:type="dcterms:W3CDTF">2017-07-09T19:36:02Z</dcterms:modified>
</cp:coreProperties>
</file>