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Geraldine.Iroro\SNBO\OIL SPILL\"/>
    </mc:Choice>
  </mc:AlternateContent>
  <xr:revisionPtr revIDLastSave="0" documentId="13_ncr:1_{52A479F4-B8B2-427C-A280-6192BA480634}" xr6:coauthVersionLast="47" xr6:coauthVersionMax="47" xr10:uidLastSave="{00000000-0000-0000-0000-000000000000}"/>
  <bookViews>
    <workbookView xWindow="-110" yWindow="-110" windowWidth="19420" windowHeight="10420" firstSheet="2" activeTab="3" xr2:uid="{00DF1C1D-8711-4C26-9FA6-CC982F7EB681}"/>
  </bookViews>
  <sheets>
    <sheet name="Summary" sheetId="4" state="hidden" r:id="rId1"/>
    <sheet name="Old vs New Rate" sheetId="2" state="hidden" r:id="rId2"/>
    <sheet name="Realigned Rate" sheetId="5" r:id="rId3"/>
    <sheet name="Realigned Summary" sheetId="6" r:id="rId4"/>
    <sheet name="Current Rate" sheetId="3" state="hidden" r:id="rId5"/>
  </sheets>
  <externalReferences>
    <externalReference r:id="rId6"/>
  </externalReferences>
  <definedNames>
    <definedName name="_xlnm._FilterDatabase" localSheetId="1" hidden="1">'Old vs New Rate'!$B$1:$U$265</definedName>
    <definedName name="_xlnm._FilterDatabase" localSheetId="0" hidden="1">Summary!$K$3:$L$3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6" l="1"/>
  <c r="L7" i="6"/>
  <c r="L8" i="6"/>
  <c r="L9" i="6"/>
  <c r="L10" i="6"/>
  <c r="L11" i="6"/>
  <c r="L12" i="6"/>
  <c r="L13" i="6"/>
  <c r="L14" i="6"/>
  <c r="L15" i="6"/>
  <c r="L16" i="6"/>
  <c r="L17" i="6"/>
  <c r="L18" i="6"/>
  <c r="L19" i="6"/>
  <c r="L20" i="6"/>
  <c r="L21" i="6"/>
  <c r="L6" i="6"/>
  <c r="K7" i="6"/>
  <c r="K8" i="6"/>
  <c r="K9" i="6"/>
  <c r="K10" i="6"/>
  <c r="K11" i="6"/>
  <c r="K12" i="6"/>
  <c r="K13" i="6"/>
  <c r="K14" i="6"/>
  <c r="K15" i="6"/>
  <c r="K16" i="6"/>
  <c r="K17" i="6"/>
  <c r="K18" i="6"/>
  <c r="K19" i="6"/>
  <c r="K20" i="6"/>
  <c r="K21" i="6"/>
  <c r="K6" i="6"/>
  <c r="T249" i="5"/>
  <c r="U249" i="5" s="1"/>
  <c r="S249" i="5"/>
  <c r="T250" i="5"/>
  <c r="U250" i="5" s="1"/>
  <c r="S250" i="5"/>
  <c r="H7" i="6"/>
  <c r="I7" i="6"/>
  <c r="J7" i="6"/>
  <c r="I8" i="6"/>
  <c r="H9" i="6"/>
  <c r="I9" i="6"/>
  <c r="J9" i="6"/>
  <c r="H10" i="6"/>
  <c r="I10" i="6"/>
  <c r="J10" i="6"/>
  <c r="H11" i="6"/>
  <c r="I11" i="6"/>
  <c r="J11" i="6"/>
  <c r="H12" i="6"/>
  <c r="I12" i="6"/>
  <c r="J12" i="6"/>
  <c r="H13" i="6"/>
  <c r="I13" i="6"/>
  <c r="J13" i="6"/>
  <c r="H14" i="6"/>
  <c r="I14" i="6"/>
  <c r="J14" i="6"/>
  <c r="H15" i="6"/>
  <c r="I15" i="6"/>
  <c r="J15" i="6"/>
  <c r="H16" i="6"/>
  <c r="I16" i="6"/>
  <c r="J16" i="6"/>
  <c r="H17" i="6"/>
  <c r="I17" i="6"/>
  <c r="J17" i="6"/>
  <c r="H18" i="6"/>
  <c r="I18" i="6"/>
  <c r="J18" i="6"/>
  <c r="I19" i="6"/>
  <c r="H20" i="6"/>
  <c r="D6" i="6"/>
  <c r="E6" i="6"/>
  <c r="F6" i="6"/>
  <c r="D7" i="6"/>
  <c r="E7" i="6"/>
  <c r="F7" i="6"/>
  <c r="D8" i="6"/>
  <c r="E8" i="6"/>
  <c r="F8" i="6"/>
  <c r="D9" i="6"/>
  <c r="E9" i="6"/>
  <c r="F9" i="6"/>
  <c r="D10" i="6"/>
  <c r="E10" i="6"/>
  <c r="F10" i="6"/>
  <c r="D11" i="6"/>
  <c r="E11" i="6"/>
  <c r="F11" i="6"/>
  <c r="D12" i="6"/>
  <c r="E12" i="6"/>
  <c r="F12" i="6"/>
  <c r="D13" i="6"/>
  <c r="E13" i="6"/>
  <c r="F13" i="6"/>
  <c r="D14" i="6"/>
  <c r="E14" i="6"/>
  <c r="F14" i="6"/>
  <c r="D15" i="6"/>
  <c r="E15" i="6"/>
  <c r="F15" i="6"/>
  <c r="D16" i="6"/>
  <c r="E16" i="6"/>
  <c r="F16" i="6"/>
  <c r="D17" i="6"/>
  <c r="E17" i="6"/>
  <c r="F17" i="6"/>
  <c r="D18" i="6"/>
  <c r="E18" i="6"/>
  <c r="F18" i="6"/>
  <c r="D19" i="6"/>
  <c r="E19" i="6"/>
  <c r="F19" i="6"/>
  <c r="D20" i="6"/>
  <c r="E20" i="6"/>
  <c r="F20" i="6"/>
  <c r="D21" i="6"/>
  <c r="E21" i="6"/>
  <c r="F21" i="6"/>
  <c r="D22" i="6"/>
  <c r="E22" i="6"/>
  <c r="F22" i="6"/>
  <c r="B2"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S294" i="2"/>
  <c r="Q197" i="5"/>
  <c r="Q216" i="5"/>
  <c r="S216" i="5" s="1"/>
  <c r="S212" i="5"/>
  <c r="Q213" i="5"/>
  <c r="T277" i="5"/>
  <c r="O277" i="5"/>
  <c r="S264" i="5"/>
  <c r="U264" i="5" s="1"/>
  <c r="O264" i="5"/>
  <c r="P264" i="5" s="1"/>
  <c r="N264" i="5"/>
  <c r="J264" i="5"/>
  <c r="H264" i="5"/>
  <c r="S263" i="5"/>
  <c r="U263" i="5" s="1"/>
  <c r="O263" i="5"/>
  <c r="P263" i="5" s="1"/>
  <c r="N263" i="5"/>
  <c r="J263" i="5"/>
  <c r="H263" i="5"/>
  <c r="S262" i="5"/>
  <c r="U262" i="5" s="1"/>
  <c r="P262" i="5"/>
  <c r="O262" i="5"/>
  <c r="N262" i="5"/>
  <c r="I262" i="5"/>
  <c r="H262" i="5"/>
  <c r="J262" i="5" s="1"/>
  <c r="S261" i="5"/>
  <c r="U261" i="5" s="1"/>
  <c r="P261" i="5"/>
  <c r="O261" i="5"/>
  <c r="N261" i="5"/>
  <c r="J261" i="5"/>
  <c r="I261" i="5"/>
  <c r="H261" i="5"/>
  <c r="S260" i="5"/>
  <c r="U260" i="5" s="1"/>
  <c r="O260" i="5"/>
  <c r="P260" i="5" s="1"/>
  <c r="N260" i="5"/>
  <c r="I260" i="5"/>
  <c r="H260" i="5"/>
  <c r="S259" i="5"/>
  <c r="U259" i="5" s="1"/>
  <c r="O259" i="5"/>
  <c r="N259" i="5"/>
  <c r="P259" i="5" s="1"/>
  <c r="J259" i="5"/>
  <c r="I259" i="5"/>
  <c r="H259" i="5"/>
  <c r="S258" i="5"/>
  <c r="U258" i="5" s="1"/>
  <c r="O258" i="5"/>
  <c r="P258" i="5" s="1"/>
  <c r="N258" i="5"/>
  <c r="I258" i="5"/>
  <c r="H258" i="5"/>
  <c r="J258" i="5" s="1"/>
  <c r="U257" i="5"/>
  <c r="S257" i="5"/>
  <c r="P257" i="5"/>
  <c r="O257" i="5"/>
  <c r="N257" i="5"/>
  <c r="I257" i="5"/>
  <c r="H257" i="5"/>
  <c r="J257" i="5" s="1"/>
  <c r="S256" i="5"/>
  <c r="U256" i="5" s="1"/>
  <c r="P256" i="5"/>
  <c r="O256" i="5"/>
  <c r="N256" i="5"/>
  <c r="I256" i="5"/>
  <c r="H256" i="5"/>
  <c r="J256" i="5" s="1"/>
  <c r="U255" i="5"/>
  <c r="S255" i="5"/>
  <c r="O255" i="5"/>
  <c r="P255" i="5" s="1"/>
  <c r="N255" i="5"/>
  <c r="I255" i="5"/>
  <c r="H255" i="5"/>
  <c r="J255" i="5" s="1"/>
  <c r="S254" i="5"/>
  <c r="U254" i="5" s="1"/>
  <c r="P254" i="5"/>
  <c r="O254" i="5"/>
  <c r="N254" i="5"/>
  <c r="I254" i="5"/>
  <c r="H254" i="5"/>
  <c r="J254" i="5" s="1"/>
  <c r="U253" i="5"/>
  <c r="S253" i="5"/>
  <c r="O253" i="5"/>
  <c r="P253" i="5" s="1"/>
  <c r="N253" i="5"/>
  <c r="I253" i="5"/>
  <c r="H253" i="5"/>
  <c r="J253" i="5" s="1"/>
  <c r="O252" i="5"/>
  <c r="P252" i="5" s="1"/>
  <c r="N252" i="5"/>
  <c r="H252" i="5"/>
  <c r="E252" i="5"/>
  <c r="S252" i="5" s="1"/>
  <c r="U252" i="5" s="1"/>
  <c r="S251" i="5"/>
  <c r="U251" i="5" s="1"/>
  <c r="P251" i="5"/>
  <c r="O251" i="5"/>
  <c r="N251" i="5"/>
  <c r="I251" i="5"/>
  <c r="H251" i="5"/>
  <c r="J251" i="5" s="1"/>
  <c r="P250" i="5"/>
  <c r="O250" i="5"/>
  <c r="N250" i="5"/>
  <c r="G250" i="5"/>
  <c r="I250" i="5" s="1"/>
  <c r="F250" i="5"/>
  <c r="H250" i="5" s="1"/>
  <c r="J250" i="5" s="1"/>
  <c r="O249" i="5"/>
  <c r="P249" i="5" s="1"/>
  <c r="N249" i="5"/>
  <c r="I249" i="5"/>
  <c r="H249" i="5"/>
  <c r="S248" i="5"/>
  <c r="U248" i="5" s="1"/>
  <c r="O248" i="5"/>
  <c r="P248" i="5" s="1"/>
  <c r="N248" i="5"/>
  <c r="I248" i="5"/>
  <c r="H248" i="5"/>
  <c r="S247" i="5"/>
  <c r="U247" i="5" s="1"/>
  <c r="O247" i="5"/>
  <c r="P247" i="5" s="1"/>
  <c r="N247" i="5"/>
  <c r="I247" i="5"/>
  <c r="H247" i="5"/>
  <c r="S246" i="5"/>
  <c r="U246" i="5" s="1"/>
  <c r="P246" i="5"/>
  <c r="O246" i="5"/>
  <c r="N246" i="5"/>
  <c r="I246" i="5"/>
  <c r="H246" i="5"/>
  <c r="S245" i="5"/>
  <c r="U245" i="5" s="1"/>
  <c r="P245" i="5"/>
  <c r="O245" i="5"/>
  <c r="N245" i="5"/>
  <c r="I245" i="5"/>
  <c r="H245" i="5"/>
  <c r="J245" i="5" s="1"/>
  <c r="S244" i="5"/>
  <c r="U244" i="5" s="1"/>
  <c r="O244" i="5"/>
  <c r="N244" i="5"/>
  <c r="P244" i="5" s="1"/>
  <c r="J244" i="5"/>
  <c r="I244" i="5"/>
  <c r="H244" i="5"/>
  <c r="S243" i="5"/>
  <c r="U243" i="5" s="1"/>
  <c r="P243" i="5"/>
  <c r="O243" i="5"/>
  <c r="N243" i="5"/>
  <c r="H243" i="5"/>
  <c r="J243" i="5" s="1"/>
  <c r="S242" i="5"/>
  <c r="U242" i="5" s="1"/>
  <c r="O242" i="5"/>
  <c r="N242" i="5"/>
  <c r="J242" i="5"/>
  <c r="H242" i="5"/>
  <c r="T240" i="5"/>
  <c r="T265" i="5" s="1"/>
  <c r="T286" i="5" s="1"/>
  <c r="I21" i="6" s="1"/>
  <c r="R240" i="5"/>
  <c r="R239" i="5"/>
  <c r="P239" i="5"/>
  <c r="O239" i="5"/>
  <c r="N239" i="5"/>
  <c r="J239" i="5"/>
  <c r="H239" i="5"/>
  <c r="E239" i="5"/>
  <c r="S239" i="5" s="1"/>
  <c r="U239" i="5" s="1"/>
  <c r="S238" i="5"/>
  <c r="U238" i="5" s="1"/>
  <c r="R238" i="5"/>
  <c r="O238" i="5"/>
  <c r="H238" i="5"/>
  <c r="E238" i="5"/>
  <c r="R237" i="5"/>
  <c r="N237" i="5"/>
  <c r="E237" i="5"/>
  <c r="R236" i="5"/>
  <c r="S236" i="5"/>
  <c r="U236" i="5" s="1"/>
  <c r="P236" i="5"/>
  <c r="O236" i="5"/>
  <c r="N236" i="5"/>
  <c r="J236" i="5"/>
  <c r="I236" i="5"/>
  <c r="H236" i="5"/>
  <c r="E236" i="5"/>
  <c r="U235" i="5"/>
  <c r="S235" i="5"/>
  <c r="R235" i="5"/>
  <c r="I235" i="5"/>
  <c r="H235" i="5"/>
  <c r="E235" i="5"/>
  <c r="O235" i="5" s="1"/>
  <c r="S234" i="5"/>
  <c r="R234" i="5"/>
  <c r="O234" i="5"/>
  <c r="P234" i="5" s="1"/>
  <c r="N234" i="5"/>
  <c r="H234" i="5"/>
  <c r="E234" i="5"/>
  <c r="I234" i="5" s="1"/>
  <c r="T230" i="5"/>
  <c r="S230" i="5"/>
  <c r="O230" i="5"/>
  <c r="N230" i="5"/>
  <c r="P230" i="5" s="1"/>
  <c r="J230" i="5"/>
  <c r="I230" i="5"/>
  <c r="H230" i="5"/>
  <c r="T229" i="5"/>
  <c r="S229" i="5"/>
  <c r="O229" i="5"/>
  <c r="P229" i="5" s="1"/>
  <c r="N229" i="5"/>
  <c r="I229" i="5"/>
  <c r="H229" i="5"/>
  <c r="J229" i="5" s="1"/>
  <c r="U228" i="5"/>
  <c r="T228" i="5"/>
  <c r="S228" i="5"/>
  <c r="P228" i="5"/>
  <c r="O228" i="5"/>
  <c r="N228" i="5"/>
  <c r="H228" i="5"/>
  <c r="J228" i="5" s="1"/>
  <c r="T227" i="5"/>
  <c r="S227" i="5"/>
  <c r="U227" i="5" s="1"/>
  <c r="P227" i="5"/>
  <c r="O227" i="5"/>
  <c r="N227" i="5"/>
  <c r="I227" i="5"/>
  <c r="H227" i="5"/>
  <c r="T226" i="5"/>
  <c r="S226" i="5"/>
  <c r="U226" i="5" s="1"/>
  <c r="P226" i="5"/>
  <c r="O226" i="5"/>
  <c r="N226" i="5"/>
  <c r="J226" i="5"/>
  <c r="I226" i="5"/>
  <c r="I231" i="5" s="1"/>
  <c r="H226" i="5"/>
  <c r="O225" i="5"/>
  <c r="I225" i="5"/>
  <c r="I285" i="5" s="1"/>
  <c r="H225" i="5"/>
  <c r="G225" i="5"/>
  <c r="F225" i="5"/>
  <c r="T224" i="5"/>
  <c r="S224" i="5"/>
  <c r="S225" i="5" s="1"/>
  <c r="R224" i="5"/>
  <c r="P224" i="5"/>
  <c r="O224" i="5"/>
  <c r="O231" i="5" s="1"/>
  <c r="O285" i="5" s="1"/>
  <c r="N224" i="5"/>
  <c r="J224" i="5"/>
  <c r="T221" i="5"/>
  <c r="O221" i="5"/>
  <c r="J221" i="5"/>
  <c r="I221" i="5"/>
  <c r="H221" i="5"/>
  <c r="E221" i="5"/>
  <c r="N221" i="5" s="1"/>
  <c r="F220" i="5"/>
  <c r="U219" i="5"/>
  <c r="T219" i="5"/>
  <c r="S219" i="5"/>
  <c r="H219" i="5"/>
  <c r="E219" i="5"/>
  <c r="E218" i="5"/>
  <c r="T218" i="5" s="1"/>
  <c r="O216" i="5"/>
  <c r="N216" i="5"/>
  <c r="J216" i="5"/>
  <c r="I216" i="5"/>
  <c r="H216" i="5"/>
  <c r="E216" i="5"/>
  <c r="T216" i="5" s="1"/>
  <c r="E215" i="5"/>
  <c r="Q214" i="5"/>
  <c r="Q215" i="5" s="1"/>
  <c r="O214" i="5"/>
  <c r="P214" i="5" s="1"/>
  <c r="H214" i="5"/>
  <c r="E214" i="5"/>
  <c r="N214" i="5" s="1"/>
  <c r="S213" i="5"/>
  <c r="O213" i="5"/>
  <c r="P213" i="5" s="1"/>
  <c r="N213" i="5"/>
  <c r="J213" i="5"/>
  <c r="I213" i="5"/>
  <c r="H213" i="5"/>
  <c r="E213" i="5"/>
  <c r="T213" i="5" s="1"/>
  <c r="O212" i="5"/>
  <c r="N212" i="5"/>
  <c r="P212" i="5" s="1"/>
  <c r="H212" i="5"/>
  <c r="J212" i="5" s="1"/>
  <c r="E212" i="5"/>
  <c r="I212" i="5" s="1"/>
  <c r="U211" i="5"/>
  <c r="T211" i="5"/>
  <c r="S211" i="5"/>
  <c r="N211" i="5"/>
  <c r="I211" i="5"/>
  <c r="H211" i="5"/>
  <c r="E211" i="5"/>
  <c r="O211" i="5" s="1"/>
  <c r="U210" i="5"/>
  <c r="T210" i="5"/>
  <c r="S210" i="5"/>
  <c r="O210" i="5"/>
  <c r="P210" i="5" s="1"/>
  <c r="N210" i="5"/>
  <c r="J210" i="5"/>
  <c r="I210" i="5"/>
  <c r="H210" i="5"/>
  <c r="E210" i="5"/>
  <c r="S209" i="5"/>
  <c r="O209" i="5"/>
  <c r="E209" i="5"/>
  <c r="T208" i="5"/>
  <c r="S208" i="5"/>
  <c r="U208" i="5" s="1"/>
  <c r="I208" i="5"/>
  <c r="F208" i="5"/>
  <c r="H208" i="5" s="1"/>
  <c r="J208" i="5" s="1"/>
  <c r="E208" i="5"/>
  <c r="O208" i="5" s="1"/>
  <c r="T207" i="5"/>
  <c r="S207" i="5"/>
  <c r="O207" i="5"/>
  <c r="N207" i="5"/>
  <c r="P207" i="5" s="1"/>
  <c r="H207" i="5"/>
  <c r="E207" i="5"/>
  <c r="I207" i="5" s="1"/>
  <c r="U206" i="5"/>
  <c r="T206" i="5"/>
  <c r="S206" i="5"/>
  <c r="H206" i="5"/>
  <c r="E206" i="5"/>
  <c r="T205" i="5"/>
  <c r="S205" i="5"/>
  <c r="O205" i="5"/>
  <c r="P205" i="5" s="1"/>
  <c r="L205" i="5"/>
  <c r="N205" i="5" s="1"/>
  <c r="I205" i="5"/>
  <c r="H205" i="5"/>
  <c r="J205" i="5" s="1"/>
  <c r="F205" i="5"/>
  <c r="E205" i="5"/>
  <c r="S204" i="5"/>
  <c r="O204" i="5"/>
  <c r="N204" i="5"/>
  <c r="P204" i="5" s="1"/>
  <c r="H204" i="5"/>
  <c r="J204" i="5" s="1"/>
  <c r="E204" i="5"/>
  <c r="I204" i="5" s="1"/>
  <c r="T203" i="5"/>
  <c r="S203" i="5"/>
  <c r="U203" i="5" s="1"/>
  <c r="I203" i="5"/>
  <c r="H203" i="5"/>
  <c r="E203" i="5"/>
  <c r="O203" i="5" s="1"/>
  <c r="N202" i="5"/>
  <c r="L202" i="5"/>
  <c r="L208" i="5" s="1"/>
  <c r="N208" i="5" s="1"/>
  <c r="I202" i="5"/>
  <c r="F202" i="5"/>
  <c r="E202" i="5"/>
  <c r="L201" i="5"/>
  <c r="F201" i="5"/>
  <c r="E201" i="5"/>
  <c r="S201" i="5" s="1"/>
  <c r="P200" i="5"/>
  <c r="O200" i="5"/>
  <c r="N200" i="5"/>
  <c r="J200" i="5"/>
  <c r="I200" i="5"/>
  <c r="H200" i="5"/>
  <c r="E200" i="5"/>
  <c r="T200" i="5" s="1"/>
  <c r="T199" i="5"/>
  <c r="O199" i="5"/>
  <c r="E199" i="5"/>
  <c r="T198" i="5"/>
  <c r="S198" i="5"/>
  <c r="O198" i="5"/>
  <c r="I198" i="5"/>
  <c r="E198" i="5"/>
  <c r="S197" i="5"/>
  <c r="N197" i="5"/>
  <c r="I197" i="5"/>
  <c r="H197" i="5"/>
  <c r="J197" i="5" s="1"/>
  <c r="E197" i="5"/>
  <c r="O197" i="5" s="1"/>
  <c r="U196" i="5"/>
  <c r="T196" i="5"/>
  <c r="J196" i="5"/>
  <c r="T195" i="5"/>
  <c r="S195" i="5"/>
  <c r="P195" i="5"/>
  <c r="O195" i="5"/>
  <c r="N195" i="5"/>
  <c r="I195" i="5"/>
  <c r="H195" i="5"/>
  <c r="T194" i="5"/>
  <c r="T192" i="5"/>
  <c r="U192" i="5" s="1"/>
  <c r="S192" i="5"/>
  <c r="O192" i="5"/>
  <c r="N192" i="5"/>
  <c r="I192" i="5"/>
  <c r="H192" i="5"/>
  <c r="T191" i="5"/>
  <c r="S191" i="5"/>
  <c r="U191" i="5" s="1"/>
  <c r="O191" i="5"/>
  <c r="P191" i="5" s="1"/>
  <c r="N191" i="5"/>
  <c r="J191" i="5"/>
  <c r="I191" i="5"/>
  <c r="H191" i="5"/>
  <c r="U190" i="5"/>
  <c r="T190" i="5"/>
  <c r="S190" i="5"/>
  <c r="P190" i="5"/>
  <c r="O190" i="5"/>
  <c r="N190" i="5"/>
  <c r="I190" i="5"/>
  <c r="H190" i="5"/>
  <c r="J190" i="5" s="1"/>
  <c r="T189" i="5"/>
  <c r="S189" i="5"/>
  <c r="U189" i="5" s="1"/>
  <c r="O189" i="5"/>
  <c r="P189" i="5" s="1"/>
  <c r="N189" i="5"/>
  <c r="J189" i="5"/>
  <c r="I189" i="5"/>
  <c r="H189" i="5"/>
  <c r="T188" i="5"/>
  <c r="U188" i="5" s="1"/>
  <c r="S188" i="5"/>
  <c r="O188" i="5"/>
  <c r="P188" i="5" s="1"/>
  <c r="N188" i="5"/>
  <c r="J188" i="5"/>
  <c r="I188" i="5"/>
  <c r="H188" i="5"/>
  <c r="U187" i="5"/>
  <c r="T187" i="5"/>
  <c r="S187" i="5"/>
  <c r="P187" i="5"/>
  <c r="O187" i="5"/>
  <c r="N187" i="5"/>
  <c r="I187" i="5"/>
  <c r="H187" i="5"/>
  <c r="J187" i="5" s="1"/>
  <c r="T186" i="5"/>
  <c r="S186" i="5"/>
  <c r="O186" i="5"/>
  <c r="P186" i="5" s="1"/>
  <c r="N186" i="5"/>
  <c r="I186" i="5"/>
  <c r="H186" i="5"/>
  <c r="T185" i="5"/>
  <c r="U185" i="5" s="1"/>
  <c r="S185" i="5"/>
  <c r="P185" i="5"/>
  <c r="O185" i="5"/>
  <c r="N185" i="5"/>
  <c r="J185" i="5"/>
  <c r="I185" i="5"/>
  <c r="H185" i="5"/>
  <c r="U184" i="5"/>
  <c r="T184" i="5"/>
  <c r="S184" i="5"/>
  <c r="O184" i="5"/>
  <c r="P184" i="5" s="1"/>
  <c r="N184" i="5"/>
  <c r="J184" i="5"/>
  <c r="T183" i="5"/>
  <c r="S183" i="5"/>
  <c r="U183" i="5" s="1"/>
  <c r="P183" i="5"/>
  <c r="O183" i="5"/>
  <c r="N183" i="5"/>
  <c r="J183" i="5"/>
  <c r="I183" i="5"/>
  <c r="H183" i="5"/>
  <c r="T182" i="5"/>
  <c r="U182" i="5" s="1"/>
  <c r="S182" i="5"/>
  <c r="O182" i="5"/>
  <c r="N182" i="5"/>
  <c r="N193" i="5" s="1"/>
  <c r="N283" i="5" s="1"/>
  <c r="I182" i="5"/>
  <c r="H182" i="5"/>
  <c r="U178" i="5"/>
  <c r="T178" i="5"/>
  <c r="S178" i="5"/>
  <c r="O178" i="5"/>
  <c r="N178" i="5"/>
  <c r="P178" i="5" s="1"/>
  <c r="I178" i="5"/>
  <c r="H178" i="5"/>
  <c r="J178" i="5" s="1"/>
  <c r="T177" i="5"/>
  <c r="S177" i="5"/>
  <c r="U177" i="5" s="1"/>
  <c r="J177" i="5"/>
  <c r="U176" i="5"/>
  <c r="T176" i="5"/>
  <c r="S176" i="5"/>
  <c r="P176" i="5"/>
  <c r="O176" i="5"/>
  <c r="N176" i="5"/>
  <c r="I176" i="5"/>
  <c r="H176" i="5"/>
  <c r="J176" i="5" s="1"/>
  <c r="T175" i="5"/>
  <c r="U175" i="5" s="1"/>
  <c r="S175" i="5"/>
  <c r="O175" i="5"/>
  <c r="N175" i="5"/>
  <c r="I175" i="5"/>
  <c r="H175" i="5"/>
  <c r="U174" i="5"/>
  <c r="T174" i="5"/>
  <c r="S174" i="5"/>
  <c r="J174" i="5"/>
  <c r="U173" i="5"/>
  <c r="T173" i="5"/>
  <c r="S173" i="5"/>
  <c r="O173" i="5"/>
  <c r="P173" i="5" s="1"/>
  <c r="N173" i="5"/>
  <c r="I173" i="5"/>
  <c r="H173" i="5"/>
  <c r="J173" i="5" s="1"/>
  <c r="T172" i="5"/>
  <c r="U172" i="5" s="1"/>
  <c r="S172" i="5"/>
  <c r="P172" i="5"/>
  <c r="O172" i="5"/>
  <c r="N172" i="5"/>
  <c r="I172" i="5"/>
  <c r="H172" i="5"/>
  <c r="J172" i="5" s="1"/>
  <c r="U171" i="5"/>
  <c r="T171" i="5"/>
  <c r="S171" i="5"/>
  <c r="P171" i="5"/>
  <c r="O171" i="5"/>
  <c r="N171" i="5"/>
  <c r="I171" i="5"/>
  <c r="H171" i="5"/>
  <c r="J171" i="5" s="1"/>
  <c r="U170" i="5"/>
  <c r="T170" i="5"/>
  <c r="S170" i="5"/>
  <c r="O170" i="5"/>
  <c r="N170" i="5"/>
  <c r="I170" i="5"/>
  <c r="H170" i="5"/>
  <c r="J170" i="5" s="1"/>
  <c r="U169" i="5"/>
  <c r="T169" i="5"/>
  <c r="T179" i="5" s="1"/>
  <c r="T282" i="5" s="1"/>
  <c r="S169" i="5"/>
  <c r="O169" i="5"/>
  <c r="P169" i="5" s="1"/>
  <c r="N169" i="5"/>
  <c r="J169" i="5"/>
  <c r="I169" i="5"/>
  <c r="H169" i="5"/>
  <c r="U168" i="5"/>
  <c r="U179" i="5" s="1"/>
  <c r="U282" i="5" s="1"/>
  <c r="T168" i="5"/>
  <c r="S168" i="5"/>
  <c r="O168" i="5"/>
  <c r="N168" i="5"/>
  <c r="N179" i="5" s="1"/>
  <c r="N282" i="5" s="1"/>
  <c r="I168" i="5"/>
  <c r="H168" i="5"/>
  <c r="H282" i="5" s="1"/>
  <c r="T164" i="5"/>
  <c r="U164" i="5" s="1"/>
  <c r="S164" i="5"/>
  <c r="P164" i="5"/>
  <c r="O164" i="5"/>
  <c r="N164" i="5"/>
  <c r="J164" i="5"/>
  <c r="I164" i="5"/>
  <c r="H164" i="5"/>
  <c r="T163" i="5"/>
  <c r="S163" i="5"/>
  <c r="U163" i="5" s="1"/>
  <c r="P163" i="5"/>
  <c r="O163" i="5"/>
  <c r="N163" i="5"/>
  <c r="I163" i="5"/>
  <c r="H163" i="5"/>
  <c r="J163" i="5" s="1"/>
  <c r="T162" i="5"/>
  <c r="S162" i="5"/>
  <c r="P162" i="5"/>
  <c r="O162" i="5"/>
  <c r="N162" i="5"/>
  <c r="I162" i="5"/>
  <c r="H162" i="5"/>
  <c r="U161" i="5"/>
  <c r="T161" i="5"/>
  <c r="S161" i="5"/>
  <c r="P161" i="5"/>
  <c r="O161" i="5"/>
  <c r="N161" i="5"/>
  <c r="I161" i="5"/>
  <c r="H161" i="5"/>
  <c r="J161" i="5" s="1"/>
  <c r="T160" i="5"/>
  <c r="U160" i="5" s="1"/>
  <c r="S160" i="5"/>
  <c r="O160" i="5"/>
  <c r="P160" i="5" s="1"/>
  <c r="N160" i="5"/>
  <c r="I160" i="5"/>
  <c r="H160" i="5"/>
  <c r="U159" i="5"/>
  <c r="S159" i="5"/>
  <c r="J159" i="5"/>
  <c r="S158" i="5"/>
  <c r="U158" i="5" s="1"/>
  <c r="O158" i="5"/>
  <c r="P158" i="5" s="1"/>
  <c r="N158" i="5"/>
  <c r="J158" i="5"/>
  <c r="I158" i="5"/>
  <c r="H158" i="5"/>
  <c r="S157" i="5"/>
  <c r="U157" i="5" s="1"/>
  <c r="O157" i="5"/>
  <c r="N157" i="5"/>
  <c r="J157" i="5"/>
  <c r="I157" i="5"/>
  <c r="H157" i="5"/>
  <c r="S156" i="5"/>
  <c r="U156" i="5" s="1"/>
  <c r="O156" i="5"/>
  <c r="P156" i="5" s="1"/>
  <c r="N156" i="5"/>
  <c r="I156" i="5"/>
  <c r="J156" i="5" s="1"/>
  <c r="H156" i="5"/>
  <c r="S155" i="5"/>
  <c r="U155" i="5" s="1"/>
  <c r="O155" i="5"/>
  <c r="P155" i="5" s="1"/>
  <c r="N155" i="5"/>
  <c r="J155" i="5"/>
  <c r="I155" i="5"/>
  <c r="H155" i="5"/>
  <c r="S154" i="5"/>
  <c r="U154" i="5" s="1"/>
  <c r="O154" i="5"/>
  <c r="P154" i="5" s="1"/>
  <c r="N154" i="5"/>
  <c r="J154" i="5"/>
  <c r="I154" i="5"/>
  <c r="H154" i="5"/>
  <c r="S153" i="5"/>
  <c r="U153" i="5" s="1"/>
  <c r="O153" i="5"/>
  <c r="N153" i="5"/>
  <c r="J153" i="5"/>
  <c r="I153" i="5"/>
  <c r="H153" i="5"/>
  <c r="S152" i="5"/>
  <c r="U152" i="5" s="1"/>
  <c r="O152" i="5"/>
  <c r="P152" i="5" s="1"/>
  <c r="N152" i="5"/>
  <c r="J152" i="5"/>
  <c r="I152" i="5"/>
  <c r="H152" i="5"/>
  <c r="S151" i="5"/>
  <c r="U151" i="5" s="1"/>
  <c r="O151" i="5"/>
  <c r="P151" i="5" s="1"/>
  <c r="N151" i="5"/>
  <c r="J151" i="5"/>
  <c r="I151" i="5"/>
  <c r="H151" i="5"/>
  <c r="S150" i="5"/>
  <c r="U150" i="5" s="1"/>
  <c r="O150" i="5"/>
  <c r="P150" i="5" s="1"/>
  <c r="N150" i="5"/>
  <c r="J150" i="5"/>
  <c r="I150" i="5"/>
  <c r="H150" i="5"/>
  <c r="T149" i="5"/>
  <c r="U149" i="5" s="1"/>
  <c r="S149" i="5"/>
  <c r="J149" i="5"/>
  <c r="U148" i="5"/>
  <c r="T148" i="5"/>
  <c r="S148" i="5"/>
  <c r="O148" i="5"/>
  <c r="N148" i="5"/>
  <c r="P148" i="5" s="1"/>
  <c r="I148" i="5"/>
  <c r="H148" i="5"/>
  <c r="J148" i="5" s="1"/>
  <c r="U147" i="5"/>
  <c r="T147" i="5"/>
  <c r="S147" i="5"/>
  <c r="O147" i="5"/>
  <c r="P147" i="5" s="1"/>
  <c r="N147" i="5"/>
  <c r="I147" i="5"/>
  <c r="H147" i="5"/>
  <c r="J147" i="5" s="1"/>
  <c r="U146" i="5"/>
  <c r="T146" i="5"/>
  <c r="S146" i="5"/>
  <c r="J146" i="5"/>
  <c r="T145" i="5"/>
  <c r="U145" i="5" s="1"/>
  <c r="S145" i="5"/>
  <c r="P145" i="5"/>
  <c r="O145" i="5"/>
  <c r="N145" i="5"/>
  <c r="I145" i="5"/>
  <c r="H145" i="5"/>
  <c r="J145" i="5" s="1"/>
  <c r="T144" i="5"/>
  <c r="U144" i="5" s="1"/>
  <c r="S144" i="5"/>
  <c r="J144" i="5"/>
  <c r="T143" i="5"/>
  <c r="S143" i="5"/>
  <c r="U143" i="5" s="1"/>
  <c r="O143" i="5"/>
  <c r="P143" i="5" s="1"/>
  <c r="N143" i="5"/>
  <c r="J143" i="5"/>
  <c r="I143" i="5"/>
  <c r="H143" i="5"/>
  <c r="J142" i="5"/>
  <c r="U141" i="5"/>
  <c r="T141" i="5"/>
  <c r="S141" i="5"/>
  <c r="P141" i="5"/>
  <c r="O141" i="5"/>
  <c r="N141" i="5"/>
  <c r="I141" i="5"/>
  <c r="H141" i="5"/>
  <c r="J141" i="5" s="1"/>
  <c r="J140" i="5"/>
  <c r="T139" i="5"/>
  <c r="U139" i="5" s="1"/>
  <c r="S139" i="5"/>
  <c r="P139" i="5"/>
  <c r="O139" i="5"/>
  <c r="N139" i="5"/>
  <c r="J139" i="5"/>
  <c r="I139" i="5"/>
  <c r="H139" i="5"/>
  <c r="U138" i="5"/>
  <c r="T138" i="5"/>
  <c r="S138" i="5"/>
  <c r="O138" i="5"/>
  <c r="N138" i="5"/>
  <c r="P138" i="5" s="1"/>
  <c r="I138" i="5"/>
  <c r="H138" i="5"/>
  <c r="J138" i="5" s="1"/>
  <c r="U137" i="5"/>
  <c r="T137" i="5"/>
  <c r="S137" i="5"/>
  <c r="O137" i="5"/>
  <c r="P137" i="5" s="1"/>
  <c r="N137" i="5"/>
  <c r="I137" i="5"/>
  <c r="H137" i="5"/>
  <c r="J137" i="5" s="1"/>
  <c r="U136" i="5"/>
  <c r="T136" i="5"/>
  <c r="S136" i="5"/>
  <c r="P136" i="5"/>
  <c r="O136" i="5"/>
  <c r="N136" i="5"/>
  <c r="J136" i="5"/>
  <c r="I136" i="5"/>
  <c r="H136" i="5"/>
  <c r="T135" i="5"/>
  <c r="S135" i="5"/>
  <c r="U135" i="5" s="1"/>
  <c r="O135" i="5"/>
  <c r="P135" i="5" s="1"/>
  <c r="N135" i="5"/>
  <c r="J135" i="5"/>
  <c r="I135" i="5"/>
  <c r="H135" i="5"/>
  <c r="J134" i="5"/>
  <c r="T133" i="5"/>
  <c r="S133" i="5"/>
  <c r="P133" i="5"/>
  <c r="O133" i="5"/>
  <c r="N133" i="5"/>
  <c r="J133" i="5"/>
  <c r="I133" i="5"/>
  <c r="H133" i="5"/>
  <c r="U132" i="5"/>
  <c r="T132" i="5"/>
  <c r="S132" i="5"/>
  <c r="P132" i="5"/>
  <c r="N132" i="5"/>
  <c r="J132" i="5"/>
  <c r="I132" i="5"/>
  <c r="H132" i="5"/>
  <c r="U131" i="5"/>
  <c r="T131" i="5"/>
  <c r="S131" i="5"/>
  <c r="O131" i="5"/>
  <c r="N131" i="5"/>
  <c r="P131" i="5" s="1"/>
  <c r="I131" i="5"/>
  <c r="H131" i="5"/>
  <c r="J131" i="5" s="1"/>
  <c r="J130" i="5"/>
  <c r="U129" i="5"/>
  <c r="T129" i="5"/>
  <c r="S129" i="5"/>
  <c r="P129" i="5"/>
  <c r="O129" i="5"/>
  <c r="N129" i="5"/>
  <c r="J129" i="5"/>
  <c r="I129" i="5"/>
  <c r="I165" i="5" s="1"/>
  <c r="H129" i="5"/>
  <c r="J128" i="5"/>
  <c r="T127" i="5"/>
  <c r="U127" i="5" s="1"/>
  <c r="S127" i="5"/>
  <c r="O127" i="5"/>
  <c r="P127" i="5" s="1"/>
  <c r="N127" i="5"/>
  <c r="J127" i="5"/>
  <c r="I127" i="5"/>
  <c r="H127" i="5"/>
  <c r="U126" i="5"/>
  <c r="J126" i="5"/>
  <c r="T125" i="5"/>
  <c r="S125" i="5"/>
  <c r="P125" i="5"/>
  <c r="O125" i="5"/>
  <c r="O165" i="5" s="1"/>
  <c r="O281" i="5" s="1"/>
  <c r="N125" i="5"/>
  <c r="N165" i="5" s="1"/>
  <c r="N281" i="5" s="1"/>
  <c r="J125" i="5"/>
  <c r="I125" i="5"/>
  <c r="H125" i="5"/>
  <c r="H281" i="5" s="1"/>
  <c r="U120" i="5"/>
  <c r="T120" i="5"/>
  <c r="S120" i="5"/>
  <c r="O120" i="5"/>
  <c r="P120" i="5" s="1"/>
  <c r="N120" i="5"/>
  <c r="I120" i="5"/>
  <c r="H120" i="5"/>
  <c r="J120" i="5" s="1"/>
  <c r="U119" i="5"/>
  <c r="T119" i="5"/>
  <c r="S119" i="5"/>
  <c r="P119" i="5"/>
  <c r="O119" i="5"/>
  <c r="N119" i="5"/>
  <c r="J119" i="5"/>
  <c r="I119" i="5"/>
  <c r="H119" i="5"/>
  <c r="T118" i="5"/>
  <c r="S118" i="5"/>
  <c r="U118" i="5" s="1"/>
  <c r="O118" i="5"/>
  <c r="P118" i="5" s="1"/>
  <c r="N118" i="5"/>
  <c r="J118" i="5"/>
  <c r="U117" i="5"/>
  <c r="T117" i="5"/>
  <c r="S117" i="5"/>
  <c r="P117" i="5"/>
  <c r="O117" i="5"/>
  <c r="N117" i="5"/>
  <c r="J117" i="5"/>
  <c r="I117" i="5"/>
  <c r="H117" i="5"/>
  <c r="T116" i="5"/>
  <c r="S116" i="5"/>
  <c r="U116" i="5" s="1"/>
  <c r="O116" i="5"/>
  <c r="P116" i="5" s="1"/>
  <c r="N116" i="5"/>
  <c r="N121" i="5" s="1"/>
  <c r="N280" i="5" s="1"/>
  <c r="J116" i="5"/>
  <c r="I116" i="5"/>
  <c r="H116" i="5"/>
  <c r="T115" i="5"/>
  <c r="U115" i="5" s="1"/>
  <c r="S115" i="5"/>
  <c r="O115" i="5"/>
  <c r="P115" i="5" s="1"/>
  <c r="N115" i="5"/>
  <c r="J115" i="5"/>
  <c r="I115" i="5"/>
  <c r="H115" i="5"/>
  <c r="U114" i="5"/>
  <c r="T114" i="5"/>
  <c r="S114" i="5"/>
  <c r="P114" i="5"/>
  <c r="O114" i="5"/>
  <c r="N114" i="5"/>
  <c r="J114" i="5"/>
  <c r="T113" i="5"/>
  <c r="U113" i="5" s="1"/>
  <c r="S113" i="5"/>
  <c r="O113" i="5"/>
  <c r="P113" i="5" s="1"/>
  <c r="N113" i="5"/>
  <c r="J113" i="5"/>
  <c r="I113" i="5"/>
  <c r="H113" i="5"/>
  <c r="U112" i="5"/>
  <c r="T112" i="5"/>
  <c r="S112" i="5"/>
  <c r="P112" i="5"/>
  <c r="O112" i="5"/>
  <c r="N112" i="5"/>
  <c r="I112" i="5"/>
  <c r="H112" i="5"/>
  <c r="J112" i="5" s="1"/>
  <c r="T111" i="5"/>
  <c r="U111" i="5" s="1"/>
  <c r="S111" i="5"/>
  <c r="O111" i="5"/>
  <c r="P111" i="5" s="1"/>
  <c r="N111" i="5"/>
  <c r="I111" i="5"/>
  <c r="H111" i="5"/>
  <c r="J111" i="5" s="1"/>
  <c r="T110" i="5"/>
  <c r="U110" i="5" s="1"/>
  <c r="S110" i="5"/>
  <c r="S121" i="5" s="1"/>
  <c r="S280" i="5" s="1"/>
  <c r="P110" i="5"/>
  <c r="O110" i="5"/>
  <c r="O121" i="5" s="1"/>
  <c r="O280" i="5" s="1"/>
  <c r="N110" i="5"/>
  <c r="J110" i="5"/>
  <c r="I110" i="5"/>
  <c r="I280" i="5" s="1"/>
  <c r="H110" i="5"/>
  <c r="H280" i="5" s="1"/>
  <c r="S107" i="5"/>
  <c r="S279" i="5" s="1"/>
  <c r="N107" i="5"/>
  <c r="N279" i="5" s="1"/>
  <c r="H107" i="5"/>
  <c r="T106" i="5"/>
  <c r="T107" i="5" s="1"/>
  <c r="T279" i="5" s="1"/>
  <c r="S106" i="5"/>
  <c r="O106" i="5"/>
  <c r="P106" i="5" s="1"/>
  <c r="N106" i="5"/>
  <c r="I106" i="5"/>
  <c r="H106" i="5"/>
  <c r="J106" i="5" s="1"/>
  <c r="U105" i="5"/>
  <c r="T105" i="5"/>
  <c r="S105" i="5"/>
  <c r="P105" i="5"/>
  <c r="P107" i="5" s="1"/>
  <c r="P279" i="5" s="1"/>
  <c r="O105" i="5"/>
  <c r="O107" i="5" s="1"/>
  <c r="O279" i="5" s="1"/>
  <c r="N105" i="5"/>
  <c r="J105" i="5"/>
  <c r="I105" i="5"/>
  <c r="I279" i="5" s="1"/>
  <c r="H105" i="5"/>
  <c r="H279" i="5" s="1"/>
  <c r="U104" i="5"/>
  <c r="O103" i="5"/>
  <c r="O278" i="5" s="1"/>
  <c r="R102" i="5"/>
  <c r="Q102" i="5"/>
  <c r="S102" i="5" s="1"/>
  <c r="U102" i="5" s="1"/>
  <c r="O102" i="5"/>
  <c r="P102" i="5" s="1"/>
  <c r="N102" i="5"/>
  <c r="I102" i="5"/>
  <c r="H102" i="5"/>
  <c r="J102" i="5" s="1"/>
  <c r="T101" i="5"/>
  <c r="T103" i="5" s="1"/>
  <c r="T278" i="5" s="1"/>
  <c r="S101" i="5"/>
  <c r="P101" i="5"/>
  <c r="O101" i="5"/>
  <c r="N101" i="5"/>
  <c r="J101" i="5"/>
  <c r="I101" i="5"/>
  <c r="H101" i="5"/>
  <c r="U100" i="5"/>
  <c r="T100" i="5"/>
  <c r="S100" i="5"/>
  <c r="S103" i="5" s="1"/>
  <c r="S278" i="5" s="1"/>
  <c r="O100" i="5"/>
  <c r="N100" i="5"/>
  <c r="P100" i="5" s="1"/>
  <c r="P103" i="5" s="1"/>
  <c r="P278" i="5" s="1"/>
  <c r="I100" i="5"/>
  <c r="H100" i="5"/>
  <c r="H278" i="5" s="1"/>
  <c r="T97" i="5"/>
  <c r="U97" i="5" s="1"/>
  <c r="S97" i="5"/>
  <c r="P97" i="5"/>
  <c r="O97" i="5"/>
  <c r="N97" i="5"/>
  <c r="J97" i="5"/>
  <c r="I97" i="5"/>
  <c r="H97" i="5"/>
  <c r="U96" i="5"/>
  <c r="T96" i="5"/>
  <c r="S96" i="5"/>
  <c r="S98" i="5" s="1"/>
  <c r="S277" i="5" s="1"/>
  <c r="O96" i="5"/>
  <c r="N96" i="5"/>
  <c r="P96" i="5" s="1"/>
  <c r="I96" i="5"/>
  <c r="H96" i="5"/>
  <c r="J96" i="5" s="1"/>
  <c r="T95" i="5"/>
  <c r="U95" i="5" s="1"/>
  <c r="S95" i="5"/>
  <c r="O95" i="5"/>
  <c r="P95" i="5" s="1"/>
  <c r="N95" i="5"/>
  <c r="I95" i="5"/>
  <c r="H95" i="5"/>
  <c r="J95" i="5" s="1"/>
  <c r="U94" i="5"/>
  <c r="T94" i="5"/>
  <c r="S94" i="5"/>
  <c r="P94" i="5"/>
  <c r="P98" i="5" s="1"/>
  <c r="P277" i="5" s="1"/>
  <c r="O94" i="5"/>
  <c r="N94" i="5"/>
  <c r="N98" i="5" s="1"/>
  <c r="N277" i="5" s="1"/>
  <c r="J94" i="5"/>
  <c r="I94" i="5"/>
  <c r="H94" i="5"/>
  <c r="N92" i="5"/>
  <c r="N276" i="5" s="1"/>
  <c r="T91" i="5"/>
  <c r="U91" i="5" s="1"/>
  <c r="R91" i="5"/>
  <c r="S91" i="5"/>
  <c r="O91" i="5"/>
  <c r="P91" i="5" s="1"/>
  <c r="N91" i="5"/>
  <c r="I91" i="5"/>
  <c r="H91" i="5"/>
  <c r="J91" i="5" s="1"/>
  <c r="T90" i="5"/>
  <c r="S90" i="5"/>
  <c r="R90" i="5"/>
  <c r="O90" i="5"/>
  <c r="P90" i="5" s="1"/>
  <c r="N90" i="5"/>
  <c r="I90" i="5"/>
  <c r="H90" i="5"/>
  <c r="J90" i="5" s="1"/>
  <c r="S89" i="5"/>
  <c r="R89" i="5"/>
  <c r="T89" i="5" s="1"/>
  <c r="U89" i="5" s="1"/>
  <c r="O89" i="5"/>
  <c r="P89" i="5" s="1"/>
  <c r="N89" i="5"/>
  <c r="J89" i="5"/>
  <c r="I89" i="5"/>
  <c r="H89" i="5"/>
  <c r="R88" i="5"/>
  <c r="T88" i="5" s="1"/>
  <c r="S88" i="5"/>
  <c r="P88" i="5"/>
  <c r="O88" i="5"/>
  <c r="O92" i="5" s="1"/>
  <c r="O276" i="5" s="1"/>
  <c r="N88" i="5"/>
  <c r="J88" i="5"/>
  <c r="I88" i="5"/>
  <c r="H88" i="5"/>
  <c r="T87" i="5"/>
  <c r="T92" i="5" s="1"/>
  <c r="T276" i="5" s="1"/>
  <c r="S87" i="5"/>
  <c r="U87" i="5" s="1"/>
  <c r="R87" i="5"/>
  <c r="P87" i="5"/>
  <c r="O87" i="5"/>
  <c r="N87" i="5"/>
  <c r="J87" i="5"/>
  <c r="I87" i="5"/>
  <c r="I92" i="5" s="1"/>
  <c r="H87" i="5"/>
  <c r="H276" i="5" s="1"/>
  <c r="T84" i="5"/>
  <c r="S84" i="5"/>
  <c r="O84" i="5"/>
  <c r="P84" i="5" s="1"/>
  <c r="N84" i="5"/>
  <c r="J84" i="5"/>
  <c r="I84" i="5"/>
  <c r="H84" i="5"/>
  <c r="U83" i="5"/>
  <c r="T83" i="5"/>
  <c r="S83" i="5"/>
  <c r="P83" i="5"/>
  <c r="O83" i="5"/>
  <c r="N83" i="5"/>
  <c r="I83" i="5"/>
  <c r="H83" i="5"/>
  <c r="J83" i="5" s="1"/>
  <c r="T82" i="5"/>
  <c r="U82" i="5" s="1"/>
  <c r="S82" i="5"/>
  <c r="O82" i="5"/>
  <c r="P82" i="5" s="1"/>
  <c r="N82" i="5"/>
  <c r="I82" i="5"/>
  <c r="J82" i="5" s="1"/>
  <c r="H82" i="5"/>
  <c r="T81" i="5"/>
  <c r="U81" i="5" s="1"/>
  <c r="S81" i="5"/>
  <c r="P81" i="5"/>
  <c r="O81" i="5"/>
  <c r="N81" i="5"/>
  <c r="J81" i="5"/>
  <c r="I81" i="5"/>
  <c r="H81" i="5"/>
  <c r="P80" i="5"/>
  <c r="O80" i="5"/>
  <c r="N80" i="5"/>
  <c r="J80" i="5"/>
  <c r="I80" i="5"/>
  <c r="H80" i="5"/>
  <c r="G80" i="5"/>
  <c r="R80" i="5" s="1"/>
  <c r="T80" i="5" s="1"/>
  <c r="F80" i="5"/>
  <c r="S80" i="5" s="1"/>
  <c r="R79" i="5"/>
  <c r="T79" i="5" s="1"/>
  <c r="S79" i="5"/>
  <c r="P79" i="5"/>
  <c r="O79" i="5"/>
  <c r="N79" i="5"/>
  <c r="J79" i="5"/>
  <c r="I79" i="5"/>
  <c r="H79" i="5"/>
  <c r="T78" i="5"/>
  <c r="S78" i="5"/>
  <c r="U78" i="5" s="1"/>
  <c r="O78" i="5"/>
  <c r="P78" i="5" s="1"/>
  <c r="N78" i="5"/>
  <c r="I78" i="5"/>
  <c r="H78" i="5"/>
  <c r="J78" i="5" s="1"/>
  <c r="T77" i="5"/>
  <c r="S77" i="5"/>
  <c r="O77" i="5"/>
  <c r="P77" i="5" s="1"/>
  <c r="N77" i="5"/>
  <c r="N85" i="5" s="1"/>
  <c r="N275" i="5" s="1"/>
  <c r="I77" i="5"/>
  <c r="H77" i="5"/>
  <c r="T76" i="5"/>
  <c r="N75" i="5"/>
  <c r="N274" i="5" s="1"/>
  <c r="H75" i="5"/>
  <c r="T74" i="5"/>
  <c r="U74" i="5" s="1"/>
  <c r="S74" i="5"/>
  <c r="O74" i="5"/>
  <c r="O75" i="5" s="1"/>
  <c r="O274" i="5" s="1"/>
  <c r="N74" i="5"/>
  <c r="I74" i="5"/>
  <c r="H74" i="5"/>
  <c r="J74" i="5" s="1"/>
  <c r="T73" i="5"/>
  <c r="T75" i="5" s="1"/>
  <c r="T274" i="5" s="1"/>
  <c r="S73" i="5"/>
  <c r="S75" i="5" s="1"/>
  <c r="S274" i="5" s="1"/>
  <c r="P73" i="5"/>
  <c r="O73" i="5"/>
  <c r="N73" i="5"/>
  <c r="J73" i="5"/>
  <c r="I73" i="5"/>
  <c r="H73" i="5"/>
  <c r="H274" i="5" s="1"/>
  <c r="T70" i="5"/>
  <c r="S70" i="5"/>
  <c r="O70" i="5"/>
  <c r="P70" i="5" s="1"/>
  <c r="N70" i="5"/>
  <c r="I70" i="5"/>
  <c r="F70" i="5"/>
  <c r="H70" i="5" s="1"/>
  <c r="J70" i="5" s="1"/>
  <c r="T69" i="5"/>
  <c r="S69" i="5"/>
  <c r="U69" i="5" s="1"/>
  <c r="O69" i="5"/>
  <c r="P69" i="5" s="1"/>
  <c r="N69" i="5"/>
  <c r="I69" i="5"/>
  <c r="F69" i="5"/>
  <c r="H69" i="5" s="1"/>
  <c r="J69" i="5" s="1"/>
  <c r="T68" i="5"/>
  <c r="S68" i="5"/>
  <c r="U68" i="5" s="1"/>
  <c r="O68" i="5"/>
  <c r="N68" i="5"/>
  <c r="P68" i="5" s="1"/>
  <c r="I68" i="5"/>
  <c r="F68" i="5"/>
  <c r="H68" i="5" s="1"/>
  <c r="J68" i="5" s="1"/>
  <c r="T67" i="5"/>
  <c r="S67" i="5"/>
  <c r="O67" i="5"/>
  <c r="N67" i="5"/>
  <c r="P67" i="5" s="1"/>
  <c r="I67" i="5"/>
  <c r="F67" i="5"/>
  <c r="H67" i="5" s="1"/>
  <c r="J67" i="5" s="1"/>
  <c r="T66" i="5"/>
  <c r="U66" i="5" s="1"/>
  <c r="S66" i="5"/>
  <c r="P66" i="5"/>
  <c r="O66" i="5"/>
  <c r="N66" i="5"/>
  <c r="I66" i="5"/>
  <c r="F66" i="5"/>
  <c r="H66" i="5" s="1"/>
  <c r="J66" i="5" s="1"/>
  <c r="T65" i="5"/>
  <c r="S65" i="5"/>
  <c r="P65" i="5"/>
  <c r="O65" i="5"/>
  <c r="N65" i="5"/>
  <c r="I65" i="5"/>
  <c r="F65" i="5"/>
  <c r="H65" i="5" s="1"/>
  <c r="J65" i="5" s="1"/>
  <c r="T64" i="5"/>
  <c r="U64" i="5" s="1"/>
  <c r="S64" i="5"/>
  <c r="P64" i="5"/>
  <c r="O64" i="5"/>
  <c r="N64" i="5"/>
  <c r="I64" i="5"/>
  <c r="F64" i="5"/>
  <c r="H64" i="5" s="1"/>
  <c r="J64" i="5" s="1"/>
  <c r="T63" i="5"/>
  <c r="S63" i="5"/>
  <c r="O63" i="5"/>
  <c r="N63" i="5"/>
  <c r="P63" i="5" s="1"/>
  <c r="I63" i="5"/>
  <c r="F63" i="5"/>
  <c r="H63" i="5" s="1"/>
  <c r="J63" i="5" s="1"/>
  <c r="T62" i="5"/>
  <c r="S62" i="5"/>
  <c r="P62" i="5"/>
  <c r="O62" i="5"/>
  <c r="N62" i="5"/>
  <c r="I62" i="5"/>
  <c r="F62" i="5"/>
  <c r="H62" i="5" s="1"/>
  <c r="J62" i="5" s="1"/>
  <c r="T60" i="5"/>
  <c r="U60" i="5" s="1"/>
  <c r="S60" i="5"/>
  <c r="P60" i="5"/>
  <c r="O60" i="5"/>
  <c r="N60" i="5"/>
  <c r="I60" i="5"/>
  <c r="F60" i="5"/>
  <c r="H60" i="5" s="1"/>
  <c r="J60" i="5" s="1"/>
  <c r="T59" i="5"/>
  <c r="S59" i="5"/>
  <c r="P59" i="5"/>
  <c r="O59" i="5"/>
  <c r="N59" i="5"/>
  <c r="I59" i="5"/>
  <c r="F59" i="5"/>
  <c r="H59" i="5" s="1"/>
  <c r="J59" i="5" s="1"/>
  <c r="T58" i="5"/>
  <c r="S58" i="5"/>
  <c r="O58" i="5"/>
  <c r="N58" i="5"/>
  <c r="P58" i="5" s="1"/>
  <c r="I58" i="5"/>
  <c r="F58" i="5"/>
  <c r="H58" i="5" s="1"/>
  <c r="J58" i="5" s="1"/>
  <c r="T57" i="5"/>
  <c r="S57" i="5"/>
  <c r="P57" i="5"/>
  <c r="O57" i="5"/>
  <c r="N57" i="5"/>
  <c r="I57" i="5"/>
  <c r="F57" i="5"/>
  <c r="H57" i="5" s="1"/>
  <c r="J57" i="5" s="1"/>
  <c r="T56" i="5"/>
  <c r="U56" i="5" s="1"/>
  <c r="S56" i="5"/>
  <c r="P56" i="5"/>
  <c r="O56" i="5"/>
  <c r="N56" i="5"/>
  <c r="I56" i="5"/>
  <c r="F56" i="5"/>
  <c r="H56" i="5" s="1"/>
  <c r="J56" i="5" s="1"/>
  <c r="T55" i="5"/>
  <c r="S55" i="5"/>
  <c r="P55" i="5"/>
  <c r="O55" i="5"/>
  <c r="N55" i="5"/>
  <c r="I55" i="5"/>
  <c r="F55" i="5"/>
  <c r="H55" i="5" s="1"/>
  <c r="J55" i="5" s="1"/>
  <c r="T54" i="5"/>
  <c r="S54" i="5"/>
  <c r="O54" i="5"/>
  <c r="N54" i="5"/>
  <c r="I54" i="5"/>
  <c r="F54" i="5"/>
  <c r="H54" i="5" s="1"/>
  <c r="J54" i="5" s="1"/>
  <c r="T53" i="5"/>
  <c r="S53" i="5"/>
  <c r="O53" i="5"/>
  <c r="P53" i="5" s="1"/>
  <c r="N53" i="5"/>
  <c r="J53" i="5"/>
  <c r="I53" i="5"/>
  <c r="H53" i="5"/>
  <c r="F53" i="5"/>
  <c r="T52" i="5"/>
  <c r="T71" i="5" s="1"/>
  <c r="T273" i="5" s="1"/>
  <c r="S52" i="5"/>
  <c r="U52" i="5" s="1"/>
  <c r="O52" i="5"/>
  <c r="O71" i="5" s="1"/>
  <c r="O273" i="5" s="1"/>
  <c r="N52" i="5"/>
  <c r="I52" i="5"/>
  <c r="H52" i="5"/>
  <c r="F52" i="5"/>
  <c r="T48" i="5"/>
  <c r="S48" i="5"/>
  <c r="O48" i="5"/>
  <c r="N48" i="5"/>
  <c r="P48" i="5" s="1"/>
  <c r="I48" i="5"/>
  <c r="F48" i="5"/>
  <c r="H48" i="5" s="1"/>
  <c r="J48" i="5" s="1"/>
  <c r="T47" i="5"/>
  <c r="U47" i="5" s="1"/>
  <c r="S47" i="5"/>
  <c r="P47" i="5"/>
  <c r="O47" i="5"/>
  <c r="N47" i="5"/>
  <c r="I47" i="5"/>
  <c r="F47" i="5"/>
  <c r="H47" i="5" s="1"/>
  <c r="J47" i="5" s="1"/>
  <c r="T46" i="5"/>
  <c r="S46" i="5"/>
  <c r="P46" i="5"/>
  <c r="O46" i="5"/>
  <c r="N46" i="5"/>
  <c r="I46" i="5"/>
  <c r="F46" i="5"/>
  <c r="H46" i="5" s="1"/>
  <c r="J46" i="5" s="1"/>
  <c r="T45" i="5"/>
  <c r="S45" i="5"/>
  <c r="P45" i="5"/>
  <c r="O45" i="5"/>
  <c r="N45" i="5"/>
  <c r="I45" i="5"/>
  <c r="F45" i="5"/>
  <c r="H45" i="5" s="1"/>
  <c r="T44" i="5"/>
  <c r="S44" i="5"/>
  <c r="O44" i="5"/>
  <c r="N44" i="5"/>
  <c r="P44" i="5" s="1"/>
  <c r="I44" i="5"/>
  <c r="F44" i="5"/>
  <c r="H44" i="5" s="1"/>
  <c r="J44" i="5" s="1"/>
  <c r="T43" i="5"/>
  <c r="U43" i="5" s="1"/>
  <c r="S43" i="5"/>
  <c r="O43" i="5"/>
  <c r="N43" i="5"/>
  <c r="P43" i="5" s="1"/>
  <c r="I43" i="5"/>
  <c r="F43" i="5"/>
  <c r="H43" i="5" s="1"/>
  <c r="T42" i="5"/>
  <c r="S42" i="5"/>
  <c r="P42" i="5"/>
  <c r="O42" i="5"/>
  <c r="N42" i="5"/>
  <c r="I42" i="5"/>
  <c r="F42" i="5"/>
  <c r="H42" i="5" s="1"/>
  <c r="J42" i="5" s="1"/>
  <c r="T41" i="5"/>
  <c r="S41" i="5"/>
  <c r="O41" i="5"/>
  <c r="P41" i="5" s="1"/>
  <c r="N41" i="5"/>
  <c r="I41" i="5"/>
  <c r="H41" i="5"/>
  <c r="J41" i="5" s="1"/>
  <c r="F41" i="5"/>
  <c r="U40" i="5"/>
  <c r="T40" i="5"/>
  <c r="S40" i="5"/>
  <c r="O40" i="5"/>
  <c r="P40" i="5" s="1"/>
  <c r="N40" i="5"/>
  <c r="I40" i="5"/>
  <c r="H40" i="5"/>
  <c r="J40" i="5" s="1"/>
  <c r="F40" i="5"/>
  <c r="T39" i="5"/>
  <c r="T38" i="5"/>
  <c r="S38" i="5"/>
  <c r="O38" i="5"/>
  <c r="N38" i="5"/>
  <c r="P38" i="5" s="1"/>
  <c r="I38" i="5"/>
  <c r="F38" i="5"/>
  <c r="H38" i="5" s="1"/>
  <c r="T37" i="5"/>
  <c r="U37" i="5" s="1"/>
  <c r="S37" i="5"/>
  <c r="O37" i="5"/>
  <c r="N37" i="5"/>
  <c r="P37" i="5" s="1"/>
  <c r="I37" i="5"/>
  <c r="F37" i="5"/>
  <c r="H37" i="5" s="1"/>
  <c r="J37" i="5" s="1"/>
  <c r="T36" i="5"/>
  <c r="U36" i="5" s="1"/>
  <c r="S36" i="5"/>
  <c r="O36" i="5"/>
  <c r="N36" i="5"/>
  <c r="P36" i="5" s="1"/>
  <c r="I36" i="5"/>
  <c r="F36" i="5"/>
  <c r="H36" i="5" s="1"/>
  <c r="J36" i="5" s="1"/>
  <c r="T35" i="5"/>
  <c r="S35" i="5"/>
  <c r="O35" i="5"/>
  <c r="N35" i="5"/>
  <c r="P35" i="5" s="1"/>
  <c r="I35" i="5"/>
  <c r="F35" i="5"/>
  <c r="H35" i="5" s="1"/>
  <c r="T34" i="5"/>
  <c r="S34" i="5"/>
  <c r="O34" i="5"/>
  <c r="N34" i="5"/>
  <c r="P34" i="5" s="1"/>
  <c r="I34" i="5"/>
  <c r="F34" i="5"/>
  <c r="H34" i="5" s="1"/>
  <c r="J34" i="5" s="1"/>
  <c r="T33" i="5"/>
  <c r="U33" i="5" s="1"/>
  <c r="S33" i="5"/>
  <c r="O33" i="5"/>
  <c r="N33" i="5"/>
  <c r="P33" i="5" s="1"/>
  <c r="I33" i="5"/>
  <c r="F33" i="5"/>
  <c r="H33" i="5" s="1"/>
  <c r="T32" i="5"/>
  <c r="S32" i="5"/>
  <c r="O32" i="5"/>
  <c r="N32" i="5"/>
  <c r="P32" i="5" s="1"/>
  <c r="I32" i="5"/>
  <c r="F32" i="5"/>
  <c r="H32" i="5" s="1"/>
  <c r="T31" i="5"/>
  <c r="S31" i="5"/>
  <c r="O31" i="5"/>
  <c r="P31" i="5" s="1"/>
  <c r="N31" i="5"/>
  <c r="J31" i="5"/>
  <c r="I31" i="5"/>
  <c r="H31" i="5"/>
  <c r="F31" i="5"/>
  <c r="T30" i="5"/>
  <c r="U30" i="5" s="1"/>
  <c r="S30" i="5"/>
  <c r="O30" i="5"/>
  <c r="N30" i="5"/>
  <c r="I30" i="5"/>
  <c r="I49" i="5" s="1"/>
  <c r="H30" i="5"/>
  <c r="H49" i="5" s="1"/>
  <c r="F30" i="5"/>
  <c r="T29" i="5"/>
  <c r="J29" i="5"/>
  <c r="T28" i="5"/>
  <c r="J28" i="5"/>
  <c r="T26" i="5"/>
  <c r="S26" i="5"/>
  <c r="O26" i="5"/>
  <c r="N26" i="5"/>
  <c r="P26" i="5" s="1"/>
  <c r="I26" i="5"/>
  <c r="H26" i="5"/>
  <c r="J26" i="5" s="1"/>
  <c r="F26" i="5"/>
  <c r="T25" i="5"/>
  <c r="S25" i="5"/>
  <c r="O25" i="5"/>
  <c r="N25" i="5"/>
  <c r="P25" i="5" s="1"/>
  <c r="I25" i="5"/>
  <c r="J25" i="5" s="1"/>
  <c r="F25" i="5"/>
  <c r="H25" i="5" s="1"/>
  <c r="T24" i="5"/>
  <c r="S24" i="5"/>
  <c r="O24" i="5"/>
  <c r="P24" i="5" s="1"/>
  <c r="N24" i="5"/>
  <c r="I24" i="5"/>
  <c r="F24" i="5"/>
  <c r="H24" i="5" s="1"/>
  <c r="J24" i="5" s="1"/>
  <c r="T23" i="5"/>
  <c r="S23" i="5"/>
  <c r="O23" i="5"/>
  <c r="N23" i="5"/>
  <c r="P23" i="5" s="1"/>
  <c r="I23" i="5"/>
  <c r="H23" i="5"/>
  <c r="F23" i="5"/>
  <c r="T22" i="5"/>
  <c r="U22" i="5" s="1"/>
  <c r="S22" i="5"/>
  <c r="O22" i="5"/>
  <c r="N22" i="5"/>
  <c r="P22" i="5" s="1"/>
  <c r="I22" i="5"/>
  <c r="F22" i="5"/>
  <c r="H22" i="5" s="1"/>
  <c r="J22" i="5" s="1"/>
  <c r="T21" i="5"/>
  <c r="S21" i="5"/>
  <c r="O21" i="5"/>
  <c r="P21" i="5" s="1"/>
  <c r="N21" i="5"/>
  <c r="I21" i="5"/>
  <c r="F21" i="5"/>
  <c r="H21" i="5" s="1"/>
  <c r="J21" i="5" s="1"/>
  <c r="T20" i="5"/>
  <c r="S20" i="5"/>
  <c r="O20" i="5"/>
  <c r="P20" i="5" s="1"/>
  <c r="N20" i="5"/>
  <c r="I20" i="5"/>
  <c r="F20" i="5"/>
  <c r="H20" i="5" s="1"/>
  <c r="J20" i="5" s="1"/>
  <c r="T19" i="5"/>
  <c r="S19" i="5"/>
  <c r="U19" i="5" s="1"/>
  <c r="O19" i="5"/>
  <c r="N19" i="5"/>
  <c r="P19" i="5" s="1"/>
  <c r="I19" i="5"/>
  <c r="F19" i="5"/>
  <c r="H19" i="5" s="1"/>
  <c r="J19" i="5" s="1"/>
  <c r="T18" i="5"/>
  <c r="S18" i="5"/>
  <c r="P18" i="5"/>
  <c r="O18" i="5"/>
  <c r="N18" i="5"/>
  <c r="I18" i="5"/>
  <c r="F18" i="5"/>
  <c r="H18" i="5" s="1"/>
  <c r="J18" i="5" s="1"/>
  <c r="J17" i="5"/>
  <c r="T16" i="5"/>
  <c r="S16" i="5"/>
  <c r="U16" i="5" s="1"/>
  <c r="O16" i="5"/>
  <c r="P16" i="5" s="1"/>
  <c r="N16" i="5"/>
  <c r="I16" i="5"/>
  <c r="H16" i="5"/>
  <c r="J16" i="5" s="1"/>
  <c r="F16" i="5"/>
  <c r="T15" i="5"/>
  <c r="S15" i="5"/>
  <c r="O15" i="5"/>
  <c r="P15" i="5" s="1"/>
  <c r="N15" i="5"/>
  <c r="I15" i="5"/>
  <c r="F15" i="5"/>
  <c r="H15" i="5" s="1"/>
  <c r="J15" i="5" s="1"/>
  <c r="T14" i="5"/>
  <c r="S14" i="5"/>
  <c r="U14" i="5" s="1"/>
  <c r="O14" i="5"/>
  <c r="P14" i="5" s="1"/>
  <c r="N14" i="5"/>
  <c r="I14" i="5"/>
  <c r="H14" i="5"/>
  <c r="J14" i="5" s="1"/>
  <c r="F14" i="5"/>
  <c r="T13" i="5"/>
  <c r="S13" i="5"/>
  <c r="U13" i="5" s="1"/>
  <c r="O13" i="5"/>
  <c r="P13" i="5" s="1"/>
  <c r="N13" i="5"/>
  <c r="I13" i="5"/>
  <c r="F13" i="5"/>
  <c r="H13" i="5" s="1"/>
  <c r="J13" i="5" s="1"/>
  <c r="T12" i="5"/>
  <c r="S12" i="5"/>
  <c r="U12" i="5" s="1"/>
  <c r="O12" i="5"/>
  <c r="P12" i="5" s="1"/>
  <c r="N12" i="5"/>
  <c r="I12" i="5"/>
  <c r="F12" i="5"/>
  <c r="H12" i="5" s="1"/>
  <c r="J12" i="5" s="1"/>
  <c r="T11" i="5"/>
  <c r="S11" i="5"/>
  <c r="U11" i="5" s="1"/>
  <c r="O11" i="5"/>
  <c r="N11" i="5"/>
  <c r="P11" i="5" s="1"/>
  <c r="I11" i="5"/>
  <c r="H11" i="5"/>
  <c r="J11" i="5" s="1"/>
  <c r="F11" i="5"/>
  <c r="T10" i="5"/>
  <c r="S10" i="5"/>
  <c r="O10" i="5"/>
  <c r="N10" i="5"/>
  <c r="P10" i="5" s="1"/>
  <c r="I10" i="5"/>
  <c r="F10" i="5"/>
  <c r="H10" i="5" s="1"/>
  <c r="J10" i="5" s="1"/>
  <c r="T9" i="5"/>
  <c r="S9" i="5"/>
  <c r="P9" i="5"/>
  <c r="O9" i="5"/>
  <c r="N9" i="5"/>
  <c r="I9" i="5"/>
  <c r="F9" i="5"/>
  <c r="H9" i="5" s="1"/>
  <c r="J9" i="5" s="1"/>
  <c r="T8" i="5"/>
  <c r="S8" i="5"/>
  <c r="O8" i="5"/>
  <c r="O27" i="5" s="1"/>
  <c r="N8" i="5"/>
  <c r="I8" i="5"/>
  <c r="J8" i="5" s="1"/>
  <c r="H8" i="5"/>
  <c r="Q34" i="4"/>
  <c r="Q36" i="4"/>
  <c r="P36" i="4" s="1"/>
  <c r="N34" i="4"/>
  <c r="N28" i="4"/>
  <c r="R21" i="4"/>
  <c r="Q21" i="4"/>
  <c r="Q6" i="4"/>
  <c r="Q7" i="4"/>
  <c r="Q8" i="4"/>
  <c r="Q9" i="4"/>
  <c r="Q10" i="4"/>
  <c r="Q11" i="4"/>
  <c r="Q12" i="4"/>
  <c r="Q13" i="4"/>
  <c r="Q14" i="4"/>
  <c r="Q15" i="4"/>
  <c r="Q17" i="4"/>
  <c r="Q19" i="4"/>
  <c r="Q5" i="4"/>
  <c r="P21" i="4"/>
  <c r="P7" i="4"/>
  <c r="P8" i="4"/>
  <c r="P10" i="4"/>
  <c r="P15" i="4"/>
  <c r="P17" i="4"/>
  <c r="P18" i="4"/>
  <c r="P19" i="4"/>
  <c r="P6" i="4"/>
  <c r="P5" i="4"/>
  <c r="K21" i="4"/>
  <c r="K25" i="4"/>
  <c r="K23" i="4"/>
  <c r="N25" i="4"/>
  <c r="J25" i="4"/>
  <c r="N23" i="4"/>
  <c r="J23" i="4"/>
  <c r="U65" i="5" l="1"/>
  <c r="U70" i="5"/>
  <c r="U63" i="5"/>
  <c r="U62" i="5"/>
  <c r="U67" i="5"/>
  <c r="U229" i="5"/>
  <c r="U205" i="5"/>
  <c r="U207" i="5"/>
  <c r="U216" i="5"/>
  <c r="U213" i="5"/>
  <c r="U186" i="5"/>
  <c r="U193" i="5"/>
  <c r="U283" i="5" s="1"/>
  <c r="S165" i="5"/>
  <c r="S281" i="5" s="1"/>
  <c r="U90" i="5"/>
  <c r="S92" i="5"/>
  <c r="S276" i="5" s="1"/>
  <c r="U84" i="5"/>
  <c r="U80" i="5"/>
  <c r="U55" i="5"/>
  <c r="U58" i="5"/>
  <c r="U57" i="5"/>
  <c r="U59" i="5"/>
  <c r="U54" i="5"/>
  <c r="U44" i="5"/>
  <c r="U48" i="5"/>
  <c r="U46" i="5"/>
  <c r="U45" i="5"/>
  <c r="U42" i="5"/>
  <c r="N49" i="5"/>
  <c r="N272" i="5" s="1"/>
  <c r="U34" i="5"/>
  <c r="U32" i="5"/>
  <c r="U35" i="5"/>
  <c r="U38" i="5"/>
  <c r="U21" i="5"/>
  <c r="U26" i="5"/>
  <c r="U25" i="5"/>
  <c r="U24" i="5"/>
  <c r="U23" i="5"/>
  <c r="T27" i="5"/>
  <c r="U18" i="5"/>
  <c r="U10" i="5"/>
  <c r="S27" i="5"/>
  <c r="S271" i="5" s="1"/>
  <c r="H6" i="6" s="1"/>
  <c r="U9" i="5"/>
  <c r="U15" i="5"/>
  <c r="O271" i="5"/>
  <c r="H27" i="5"/>
  <c r="T271" i="5"/>
  <c r="I6" i="6" s="1"/>
  <c r="U20" i="5"/>
  <c r="J30" i="5"/>
  <c r="J38" i="5"/>
  <c r="U41" i="5"/>
  <c r="J43" i="5"/>
  <c r="S71" i="5"/>
  <c r="S273" i="5" s="1"/>
  <c r="H8" i="6" s="1"/>
  <c r="P121" i="5"/>
  <c r="P280" i="5" s="1"/>
  <c r="P85" i="5"/>
  <c r="P275" i="5" s="1"/>
  <c r="T220" i="5"/>
  <c r="N27" i="5"/>
  <c r="P30" i="5"/>
  <c r="P49" i="5" s="1"/>
  <c r="P272" i="5" s="1"/>
  <c r="O49" i="5"/>
  <c r="O272" i="5" s="1"/>
  <c r="U53" i="5"/>
  <c r="S85" i="5"/>
  <c r="S275" i="5" s="1"/>
  <c r="U77" i="5"/>
  <c r="U121" i="5"/>
  <c r="U280" i="5" s="1"/>
  <c r="O217" i="5"/>
  <c r="I271" i="5"/>
  <c r="I27" i="5"/>
  <c r="P8" i="5"/>
  <c r="P27" i="5" s="1"/>
  <c r="S49" i="5"/>
  <c r="S272" i="5" s="1"/>
  <c r="J35" i="5"/>
  <c r="T85" i="5"/>
  <c r="T275" i="5" s="1"/>
  <c r="U79" i="5"/>
  <c r="J92" i="5"/>
  <c r="U88" i="5"/>
  <c r="U92" i="5" s="1"/>
  <c r="U276" i="5" s="1"/>
  <c r="J279" i="5"/>
  <c r="J219" i="5"/>
  <c r="J23" i="5"/>
  <c r="J271" i="5" s="1"/>
  <c r="T49" i="5"/>
  <c r="T272" i="5" s="1"/>
  <c r="H273" i="5"/>
  <c r="H71" i="5"/>
  <c r="J52" i="5"/>
  <c r="U98" i="5"/>
  <c r="U277" i="5" s="1"/>
  <c r="U31" i="5"/>
  <c r="U49" i="5" s="1"/>
  <c r="U272" i="5" s="1"/>
  <c r="J33" i="5"/>
  <c r="J45" i="5"/>
  <c r="I71" i="5"/>
  <c r="N71" i="5"/>
  <c r="N273" i="5" s="1"/>
  <c r="P54" i="5"/>
  <c r="J121" i="5"/>
  <c r="U133" i="5"/>
  <c r="J214" i="5"/>
  <c r="H271" i="5"/>
  <c r="U8" i="5"/>
  <c r="H272" i="5"/>
  <c r="J32" i="5"/>
  <c r="P92" i="5"/>
  <c r="P276" i="5" s="1"/>
  <c r="I275" i="5"/>
  <c r="I85" i="5"/>
  <c r="H277" i="5"/>
  <c r="S179" i="5"/>
  <c r="S282" i="5" s="1"/>
  <c r="J182" i="5"/>
  <c r="H283" i="5"/>
  <c r="S193" i="5"/>
  <c r="S283" i="5" s="1"/>
  <c r="T214" i="5"/>
  <c r="J234" i="5"/>
  <c r="P74" i="5"/>
  <c r="P75" i="5" s="1"/>
  <c r="P274" i="5" s="1"/>
  <c r="J77" i="5"/>
  <c r="I276" i="5"/>
  <c r="I277" i="5"/>
  <c r="N103" i="5"/>
  <c r="N278" i="5" s="1"/>
  <c r="U106" i="5"/>
  <c r="U107" i="5" s="1"/>
  <c r="U279" i="5" s="1"/>
  <c r="T121" i="5"/>
  <c r="T280" i="5" s="1"/>
  <c r="P175" i="5"/>
  <c r="I283" i="5"/>
  <c r="I193" i="5"/>
  <c r="P192" i="5"/>
  <c r="T193" i="5"/>
  <c r="T283" i="5" s="1"/>
  <c r="O218" i="5"/>
  <c r="J225" i="5"/>
  <c r="H285" i="5"/>
  <c r="H231" i="5"/>
  <c r="N240" i="5"/>
  <c r="J248" i="5"/>
  <c r="J260" i="5"/>
  <c r="J276" i="5"/>
  <c r="J277" i="5"/>
  <c r="H121" i="5"/>
  <c r="T165" i="5"/>
  <c r="T281" i="5" s="1"/>
  <c r="H179" i="5"/>
  <c r="N201" i="5"/>
  <c r="I201" i="5"/>
  <c r="T201" i="5"/>
  <c r="U201" i="5" s="1"/>
  <c r="P208" i="5"/>
  <c r="N215" i="5"/>
  <c r="T215" i="5"/>
  <c r="H215" i="5"/>
  <c r="P52" i="5"/>
  <c r="P71" i="5" s="1"/>
  <c r="P273" i="5" s="1"/>
  <c r="U73" i="5"/>
  <c r="U75" i="5" s="1"/>
  <c r="U274" i="5" s="1"/>
  <c r="O85" i="5"/>
  <c r="O275" i="5" s="1"/>
  <c r="I278" i="5"/>
  <c r="U101" i="5"/>
  <c r="U103" i="5" s="1"/>
  <c r="U278" i="5" s="1"/>
  <c r="I107" i="5"/>
  <c r="I121" i="5"/>
  <c r="H165" i="5"/>
  <c r="U125" i="5"/>
  <c r="P153" i="5"/>
  <c r="P165" i="5" s="1"/>
  <c r="P281" i="5" s="1"/>
  <c r="P157" i="5"/>
  <c r="I282" i="5"/>
  <c r="I179" i="5"/>
  <c r="O193" i="5"/>
  <c r="O283" i="5" s="1"/>
  <c r="U195" i="5"/>
  <c r="U198" i="5"/>
  <c r="T202" i="5"/>
  <c r="H202" i="5"/>
  <c r="J202" i="5" s="1"/>
  <c r="S202" i="5"/>
  <c r="O202" i="5"/>
  <c r="P202" i="5" s="1"/>
  <c r="N209" i="5"/>
  <c r="P209" i="5" s="1"/>
  <c r="T209" i="5"/>
  <c r="U209" i="5" s="1"/>
  <c r="H209" i="5"/>
  <c r="J209" i="5" s="1"/>
  <c r="P211" i="5"/>
  <c r="I214" i="5"/>
  <c r="I215" i="5"/>
  <c r="N225" i="5"/>
  <c r="N231" i="5" s="1"/>
  <c r="N285" i="5" s="1"/>
  <c r="U230" i="5"/>
  <c r="O240" i="5"/>
  <c r="P242" i="5"/>
  <c r="J247" i="5"/>
  <c r="I274" i="5"/>
  <c r="H98" i="5"/>
  <c r="J100" i="5"/>
  <c r="J107" i="5"/>
  <c r="I281" i="5"/>
  <c r="U162" i="5"/>
  <c r="J168" i="5"/>
  <c r="J195" i="5"/>
  <c r="T197" i="5"/>
  <c r="I199" i="5"/>
  <c r="H199" i="5"/>
  <c r="J199" i="5" s="1"/>
  <c r="S199" i="5"/>
  <c r="H201" i="5"/>
  <c r="J201" i="5" s="1"/>
  <c r="J203" i="5"/>
  <c r="O206" i="5"/>
  <c r="N206" i="5"/>
  <c r="I206" i="5"/>
  <c r="J206" i="5" s="1"/>
  <c r="J207" i="5"/>
  <c r="I209" i="5"/>
  <c r="J211" i="5"/>
  <c r="O215" i="5"/>
  <c r="P215" i="5" s="1"/>
  <c r="O219" i="5"/>
  <c r="P219" i="5" s="1"/>
  <c r="N219" i="5"/>
  <c r="I219" i="5"/>
  <c r="P225" i="5"/>
  <c r="P231" i="5" s="1"/>
  <c r="P285" i="5" s="1"/>
  <c r="I238" i="5"/>
  <c r="N238" i="5"/>
  <c r="J246" i="5"/>
  <c r="I272" i="5"/>
  <c r="J274" i="5"/>
  <c r="J98" i="5"/>
  <c r="J280" i="5"/>
  <c r="O179" i="5"/>
  <c r="O282" i="5" s="1"/>
  <c r="H193" i="5"/>
  <c r="S218" i="5"/>
  <c r="S220" i="5" s="1"/>
  <c r="N218" i="5"/>
  <c r="N220" i="5" s="1"/>
  <c r="U234" i="5"/>
  <c r="J238" i="5"/>
  <c r="I75" i="5"/>
  <c r="H103" i="5"/>
  <c r="J160" i="5"/>
  <c r="J165" i="5" s="1"/>
  <c r="J162" i="5"/>
  <c r="P170" i="5"/>
  <c r="J175" i="5"/>
  <c r="J192" i="5"/>
  <c r="N198" i="5"/>
  <c r="P198" i="5" s="1"/>
  <c r="H198" i="5"/>
  <c r="J198" i="5" s="1"/>
  <c r="N199" i="5"/>
  <c r="P199" i="5" s="1"/>
  <c r="N203" i="5"/>
  <c r="P203" i="5" s="1"/>
  <c r="P216" i="5"/>
  <c r="H218" i="5"/>
  <c r="P221" i="5"/>
  <c r="U224" i="5"/>
  <c r="T225" i="5"/>
  <c r="U225" i="5" s="1"/>
  <c r="S231" i="5"/>
  <c r="S285" i="5" s="1"/>
  <c r="P238" i="5"/>
  <c r="O265" i="5"/>
  <c r="O286" i="5" s="1"/>
  <c r="I273" i="5"/>
  <c r="J75" i="5"/>
  <c r="H275" i="5"/>
  <c r="H85" i="5"/>
  <c r="H92" i="5"/>
  <c r="I103" i="5"/>
  <c r="P168" i="5"/>
  <c r="J186" i="5"/>
  <c r="P197" i="5"/>
  <c r="O201" i="5"/>
  <c r="S214" i="5"/>
  <c r="S215" i="5"/>
  <c r="I218" i="5"/>
  <c r="I222" i="5" s="1"/>
  <c r="J227" i="5"/>
  <c r="I265" i="5"/>
  <c r="J235" i="5"/>
  <c r="O237" i="5"/>
  <c r="P237" i="5" s="1"/>
  <c r="I237" i="5"/>
  <c r="I286" i="5" s="1"/>
  <c r="S237" i="5"/>
  <c r="U237" i="5" s="1"/>
  <c r="H237" i="5"/>
  <c r="J249" i="5"/>
  <c r="N235" i="5"/>
  <c r="P235" i="5" s="1"/>
  <c r="T204" i="5"/>
  <c r="U204" i="5" s="1"/>
  <c r="T212" i="5"/>
  <c r="U212" i="5" s="1"/>
  <c r="I252" i="5"/>
  <c r="J252" i="5" s="1"/>
  <c r="S200" i="5"/>
  <c r="U200" i="5" s="1"/>
  <c r="S221" i="5"/>
  <c r="U221" i="5" s="1"/>
  <c r="P182" i="5"/>
  <c r="P38" i="4"/>
  <c r="Q31" i="2"/>
  <c r="Q41" i="2"/>
  <c r="Q53" i="2"/>
  <c r="R80" i="2"/>
  <c r="R79" i="2"/>
  <c r="Q80" i="2"/>
  <c r="Q79" i="2"/>
  <c r="U133" i="2"/>
  <c r="T133" i="2"/>
  <c r="S133" i="2"/>
  <c r="U71" i="5" l="1"/>
  <c r="U273" i="5" s="1"/>
  <c r="J8" i="6" s="1"/>
  <c r="U214" i="5"/>
  <c r="U85" i="5"/>
  <c r="U275" i="5" s="1"/>
  <c r="U27" i="5"/>
  <c r="U271" i="5" s="1"/>
  <c r="J6" i="6" s="1"/>
  <c r="H222" i="5"/>
  <c r="J275" i="5"/>
  <c r="J85" i="5"/>
  <c r="N217" i="5"/>
  <c r="P217" i="5" s="1"/>
  <c r="P222" i="5" s="1"/>
  <c r="U218" i="5"/>
  <c r="J27" i="5"/>
  <c r="U231" i="5"/>
  <c r="U285" i="5" s="1"/>
  <c r="J20" i="6" s="1"/>
  <c r="P240" i="5"/>
  <c r="P265" i="5" s="1"/>
  <c r="P286" i="5" s="1"/>
  <c r="J215" i="5"/>
  <c r="J284" i="5" s="1"/>
  <c r="U220" i="5"/>
  <c r="P201" i="5"/>
  <c r="N265" i="5"/>
  <c r="N286" i="5" s="1"/>
  <c r="U215" i="5"/>
  <c r="J285" i="5"/>
  <c r="J231" i="5"/>
  <c r="J272" i="5"/>
  <c r="J49" i="5"/>
  <c r="I284" i="5"/>
  <c r="T231" i="5"/>
  <c r="T285" i="5" s="1"/>
  <c r="I20" i="6" s="1"/>
  <c r="S217" i="5"/>
  <c r="S222" i="5" s="1"/>
  <c r="S284" i="5" s="1"/>
  <c r="H19" i="6" s="1"/>
  <c r="H220" i="5"/>
  <c r="J220" i="5" s="1"/>
  <c r="J218" i="5"/>
  <c r="J278" i="5"/>
  <c r="J103" i="5"/>
  <c r="P218" i="5"/>
  <c r="O220" i="5"/>
  <c r="P220" i="5" s="1"/>
  <c r="J283" i="5"/>
  <c r="J193" i="5"/>
  <c r="J273" i="5"/>
  <c r="J71" i="5"/>
  <c r="O222" i="5"/>
  <c r="O284" i="5" s="1"/>
  <c r="O287" i="5" s="1"/>
  <c r="O289" i="5" s="1"/>
  <c r="H240" i="5"/>
  <c r="J240" i="5" s="1"/>
  <c r="J265" i="5" s="1"/>
  <c r="J237" i="5"/>
  <c r="J281" i="5"/>
  <c r="U199" i="5"/>
  <c r="P271" i="5"/>
  <c r="H284" i="5"/>
  <c r="I267" i="5"/>
  <c r="J282" i="5"/>
  <c r="J179" i="5"/>
  <c r="N271" i="5"/>
  <c r="S240" i="5"/>
  <c r="U240" i="5" s="1"/>
  <c r="U265" i="5" s="1"/>
  <c r="U286" i="5" s="1"/>
  <c r="J21" i="6" s="1"/>
  <c r="T217" i="5"/>
  <c r="T222" i="5"/>
  <c r="T284" i="5" s="1"/>
  <c r="U197" i="5"/>
  <c r="P179" i="5"/>
  <c r="P282" i="5" s="1"/>
  <c r="P193" i="5"/>
  <c r="P283" i="5" s="1"/>
  <c r="P206" i="5"/>
  <c r="J222" i="5"/>
  <c r="U202" i="5"/>
  <c r="U165" i="5"/>
  <c r="U281" i="5" s="1"/>
  <c r="H217" i="5"/>
  <c r="J217" i="5" s="1"/>
  <c r="I287" i="5"/>
  <c r="P40" i="4"/>
  <c r="P42" i="4" s="1"/>
  <c r="R40" i="4"/>
  <c r="R42" i="4" s="1"/>
  <c r="Q38" i="4"/>
  <c r="R91" i="2"/>
  <c r="Q91" i="2"/>
  <c r="Q88" i="2"/>
  <c r="R88" i="2"/>
  <c r="Q89" i="2"/>
  <c r="R89" i="2"/>
  <c r="Q90" i="2"/>
  <c r="R90" i="2"/>
  <c r="R87" i="2"/>
  <c r="Q87" i="2"/>
  <c r="R102" i="2"/>
  <c r="Q102" i="2"/>
  <c r="R133" i="2"/>
  <c r="Q133" i="2"/>
  <c r="Q221" i="2"/>
  <c r="S221" i="2"/>
  <c r="T221" i="2"/>
  <c r="N220" i="2"/>
  <c r="N221" i="2"/>
  <c r="Q220" i="2"/>
  <c r="H220" i="2"/>
  <c r="T219" i="2"/>
  <c r="S219" i="2"/>
  <c r="T218" i="2"/>
  <c r="T220" i="2" s="1"/>
  <c r="S218" i="2"/>
  <c r="N217" i="2"/>
  <c r="S217" i="2"/>
  <c r="T230" i="2"/>
  <c r="S230" i="2"/>
  <c r="T229" i="2"/>
  <c r="S229" i="2"/>
  <c r="T228" i="2"/>
  <c r="S228" i="2"/>
  <c r="T227" i="2"/>
  <c r="S227" i="2"/>
  <c r="T226" i="2"/>
  <c r="S226" i="2"/>
  <c r="N226" i="2"/>
  <c r="T225" i="2"/>
  <c r="S225" i="2"/>
  <c r="O225" i="2"/>
  <c r="N225" i="2"/>
  <c r="Q225" i="2"/>
  <c r="R224" i="2"/>
  <c r="Q224" i="2"/>
  <c r="N224" i="2"/>
  <c r="T267" i="5" l="1"/>
  <c r="T287" i="5"/>
  <c r="I22" i="6" s="1"/>
  <c r="J287" i="5"/>
  <c r="P284" i="5"/>
  <c r="P287" i="5" s="1"/>
  <c r="P289" i="5" s="1"/>
  <c r="P267" i="5"/>
  <c r="J286" i="5"/>
  <c r="U217" i="5"/>
  <c r="U222" i="5" s="1"/>
  <c r="H265" i="5"/>
  <c r="H267" i="5" s="1"/>
  <c r="O267" i="5"/>
  <c r="N222" i="5"/>
  <c r="J267" i="5"/>
  <c r="H286" i="5"/>
  <c r="H287" i="5" s="1"/>
  <c r="S265" i="5"/>
  <c r="S286" i="5" s="1"/>
  <c r="S220" i="2"/>
  <c r="S287" i="5" l="1"/>
  <c r="H22" i="6" s="1"/>
  <c r="H21" i="6"/>
  <c r="U284" i="5"/>
  <c r="U267" i="5"/>
  <c r="S267" i="5"/>
  <c r="N284" i="5"/>
  <c r="N287" i="5" s="1"/>
  <c r="N289" i="5" s="1"/>
  <c r="N267" i="5"/>
  <c r="Q244" i="2"/>
  <c r="Q243" i="2"/>
  <c r="Q259" i="2"/>
  <c r="S259" i="2" s="1"/>
  <c r="U259" i="2" s="1"/>
  <c r="Q260" i="2"/>
  <c r="Q261" i="2"/>
  <c r="Q262" i="2"/>
  <c r="Q258" i="2"/>
  <c r="R262" i="2"/>
  <c r="R261" i="2"/>
  <c r="R260" i="2"/>
  <c r="R259" i="2"/>
  <c r="R258" i="2"/>
  <c r="R244" i="2"/>
  <c r="R243" i="2"/>
  <c r="T240" i="2"/>
  <c r="S240" i="2"/>
  <c r="U240" i="2" s="1"/>
  <c r="N240" i="2"/>
  <c r="Q238" i="2"/>
  <c r="R238" i="2"/>
  <c r="Q239" i="2"/>
  <c r="R239" i="2"/>
  <c r="R240" i="2"/>
  <c r="Q235" i="2"/>
  <c r="R235" i="2"/>
  <c r="Q236" i="2"/>
  <c r="R236" i="2"/>
  <c r="Q237" i="2"/>
  <c r="R237" i="2"/>
  <c r="R234" i="2"/>
  <c r="Q234" i="2"/>
  <c r="Q250" i="2"/>
  <c r="S250" i="2" s="1"/>
  <c r="U250" i="2" s="1"/>
  <c r="S249" i="2"/>
  <c r="U249" i="2" s="1"/>
  <c r="B5" i="4"/>
  <c r="B6" i="4"/>
  <c r="B7" i="4"/>
  <c r="B8" i="4"/>
  <c r="B9" i="4"/>
  <c r="B10" i="4"/>
  <c r="B11" i="4"/>
  <c r="B12" i="4"/>
  <c r="B13" i="4"/>
  <c r="B14" i="4"/>
  <c r="B15" i="4"/>
  <c r="B16" i="4"/>
  <c r="B17" i="4"/>
  <c r="B18" i="4"/>
  <c r="B19" i="4"/>
  <c r="B20" i="4"/>
  <c r="L154" i="3"/>
  <c r="K154" i="3"/>
  <c r="J154" i="3"/>
  <c r="K153" i="3"/>
  <c r="J153" i="3"/>
  <c r="L153" i="3" s="1"/>
  <c r="L152" i="3"/>
  <c r="K152" i="3"/>
  <c r="J152" i="3"/>
  <c r="K151" i="3"/>
  <c r="J151" i="3"/>
  <c r="L151" i="3" s="1"/>
  <c r="K150" i="3"/>
  <c r="L150" i="3" s="1"/>
  <c r="J150" i="3"/>
  <c r="L149" i="3"/>
  <c r="K149" i="3"/>
  <c r="J149" i="3"/>
  <c r="K148" i="3"/>
  <c r="L148" i="3" s="1"/>
  <c r="J148" i="3"/>
  <c r="K147" i="3"/>
  <c r="L147" i="3" s="1"/>
  <c r="J147" i="3"/>
  <c r="L146" i="3"/>
  <c r="K146" i="3"/>
  <c r="J146" i="3"/>
  <c r="K145" i="3"/>
  <c r="J145" i="3"/>
  <c r="L145" i="3" s="1"/>
  <c r="L144" i="3"/>
  <c r="K144" i="3"/>
  <c r="J144" i="3"/>
  <c r="K143" i="3"/>
  <c r="L143" i="3" s="1"/>
  <c r="J143" i="3"/>
  <c r="K142" i="3"/>
  <c r="L142" i="3" s="1"/>
  <c r="J142" i="3"/>
  <c r="L141" i="3"/>
  <c r="K141" i="3"/>
  <c r="J141" i="3"/>
  <c r="K139" i="3"/>
  <c r="L139" i="3" s="1"/>
  <c r="J139" i="3"/>
  <c r="K136" i="3"/>
  <c r="L136" i="3" s="1"/>
  <c r="J136" i="3"/>
  <c r="L133" i="3"/>
  <c r="K133" i="3"/>
  <c r="J133" i="3"/>
  <c r="K132" i="3"/>
  <c r="J132" i="3"/>
  <c r="L132" i="3" s="1"/>
  <c r="L131" i="3"/>
  <c r="K131" i="3"/>
  <c r="J131" i="3"/>
  <c r="K130" i="3"/>
  <c r="L130" i="3" s="1"/>
  <c r="J130" i="3"/>
  <c r="K129" i="3"/>
  <c r="L129" i="3" s="1"/>
  <c r="J129" i="3"/>
  <c r="L128" i="3"/>
  <c r="K128" i="3"/>
  <c r="J128" i="3"/>
  <c r="K125" i="3"/>
  <c r="L125" i="3" s="1"/>
  <c r="J125" i="3"/>
  <c r="K124" i="3"/>
  <c r="L124" i="3" s="1"/>
  <c r="J124" i="3"/>
  <c r="L123" i="3"/>
  <c r="K123" i="3"/>
  <c r="J123" i="3"/>
  <c r="K122" i="3"/>
  <c r="J122" i="3"/>
  <c r="L122" i="3" s="1"/>
  <c r="L121" i="3"/>
  <c r="K121" i="3"/>
  <c r="J121" i="3"/>
  <c r="K119" i="3"/>
  <c r="L119" i="3" s="1"/>
  <c r="J119" i="3"/>
  <c r="K115" i="3"/>
  <c r="L115" i="3" s="1"/>
  <c r="J115" i="3"/>
  <c r="L113" i="3"/>
  <c r="K113" i="3"/>
  <c r="J113" i="3"/>
  <c r="K112" i="3"/>
  <c r="L112" i="3" s="1"/>
  <c r="J112" i="3"/>
  <c r="K111" i="3"/>
  <c r="L111" i="3" s="1"/>
  <c r="J111" i="3"/>
  <c r="L109" i="3"/>
  <c r="K109" i="3"/>
  <c r="J109" i="3"/>
  <c r="K108" i="3"/>
  <c r="J108" i="3"/>
  <c r="L108" i="3" s="1"/>
  <c r="L107" i="3"/>
  <c r="K107" i="3"/>
  <c r="J107" i="3"/>
  <c r="K105" i="3"/>
  <c r="L105" i="3" s="1"/>
  <c r="J105" i="3"/>
  <c r="K104" i="3"/>
  <c r="L104" i="3" s="1"/>
  <c r="J104" i="3"/>
  <c r="L103" i="3"/>
  <c r="K103" i="3"/>
  <c r="J103" i="3"/>
  <c r="K99" i="3"/>
  <c r="L99" i="3" s="1"/>
  <c r="J99" i="3"/>
  <c r="K97" i="3"/>
  <c r="L97" i="3" s="1"/>
  <c r="J97" i="3"/>
  <c r="L96" i="3"/>
  <c r="K96" i="3"/>
  <c r="J96" i="3"/>
  <c r="K94" i="3"/>
  <c r="J94" i="3"/>
  <c r="L94" i="3" s="1"/>
  <c r="L93" i="3"/>
  <c r="K93" i="3"/>
  <c r="J93" i="3"/>
  <c r="K92" i="3"/>
  <c r="L92" i="3" s="1"/>
  <c r="J92" i="3"/>
  <c r="K91" i="3"/>
  <c r="L91" i="3" s="1"/>
  <c r="J91" i="3"/>
  <c r="L90" i="3"/>
  <c r="K90" i="3"/>
  <c r="J90" i="3"/>
  <c r="K89" i="3"/>
  <c r="L89" i="3" s="1"/>
  <c r="J89" i="3"/>
  <c r="K85" i="3"/>
  <c r="L85" i="3" s="1"/>
  <c r="J85" i="3"/>
  <c r="L82" i="3"/>
  <c r="K82" i="3"/>
  <c r="J82" i="3"/>
  <c r="K81" i="3"/>
  <c r="J81" i="3"/>
  <c r="L81" i="3" s="1"/>
  <c r="L80" i="3"/>
  <c r="K80" i="3"/>
  <c r="J80" i="3"/>
  <c r="K79" i="3"/>
  <c r="L79" i="3" s="1"/>
  <c r="J79" i="3"/>
  <c r="K78" i="3"/>
  <c r="L78" i="3" s="1"/>
  <c r="J78" i="3"/>
  <c r="L76" i="3"/>
  <c r="K76" i="3"/>
  <c r="J76" i="3"/>
  <c r="K75" i="3"/>
  <c r="L75" i="3" s="1"/>
  <c r="J75" i="3"/>
  <c r="K73" i="3"/>
  <c r="L73" i="3" s="1"/>
  <c r="J73" i="3"/>
  <c r="L71" i="3"/>
  <c r="K71" i="3"/>
  <c r="J71" i="3"/>
  <c r="K69" i="3"/>
  <c r="J69" i="3"/>
  <c r="L69" i="3" s="1"/>
  <c r="L68" i="3"/>
  <c r="K68" i="3"/>
  <c r="J68" i="3"/>
  <c r="K66" i="3"/>
  <c r="L66" i="3" s="1"/>
  <c r="J66" i="3"/>
  <c r="K65" i="3"/>
  <c r="L65" i="3" s="1"/>
  <c r="J65" i="3"/>
  <c r="L64" i="3"/>
  <c r="K64" i="3"/>
  <c r="J64" i="3"/>
  <c r="K63" i="3"/>
  <c r="L63" i="3" s="1"/>
  <c r="J63" i="3"/>
  <c r="K61" i="3"/>
  <c r="L61" i="3" s="1"/>
  <c r="J61" i="3"/>
  <c r="L60" i="3"/>
  <c r="K60" i="3"/>
  <c r="J60" i="3"/>
  <c r="K58" i="3"/>
  <c r="J58" i="3"/>
  <c r="L58" i="3" s="1"/>
  <c r="L56" i="3"/>
  <c r="K56" i="3"/>
  <c r="J56" i="3"/>
  <c r="K54" i="3"/>
  <c r="L54" i="3" s="1"/>
  <c r="J54" i="3"/>
  <c r="K50" i="3"/>
  <c r="L50" i="3" s="1"/>
  <c r="J50" i="3"/>
  <c r="L49" i="3"/>
  <c r="K49" i="3"/>
  <c r="J49" i="3"/>
  <c r="K47" i="3"/>
  <c r="L47" i="3" s="1"/>
  <c r="J47" i="3"/>
  <c r="K46" i="3"/>
  <c r="L46" i="3" s="1"/>
  <c r="J46" i="3"/>
  <c r="L45" i="3"/>
  <c r="K45" i="3"/>
  <c r="J45" i="3"/>
  <c r="K43" i="3"/>
  <c r="J43" i="3"/>
  <c r="L43" i="3" s="1"/>
  <c r="L42" i="3"/>
  <c r="K42" i="3"/>
  <c r="J42" i="3"/>
  <c r="K41" i="3"/>
  <c r="L41" i="3" s="1"/>
  <c r="J41" i="3"/>
  <c r="K40" i="3"/>
  <c r="L40" i="3" s="1"/>
  <c r="J40" i="3"/>
  <c r="L36" i="3"/>
  <c r="K36" i="3"/>
  <c r="J36" i="3"/>
  <c r="K35" i="3"/>
  <c r="L35" i="3" s="1"/>
  <c r="J35" i="3"/>
  <c r="K34" i="3"/>
  <c r="L34" i="3" s="1"/>
  <c r="J34" i="3"/>
  <c r="L33" i="3"/>
  <c r="K33" i="3"/>
  <c r="J33" i="3"/>
  <c r="K30" i="3"/>
  <c r="J30" i="3"/>
  <c r="L30" i="3" s="1"/>
  <c r="L29" i="3"/>
  <c r="K29" i="3"/>
  <c r="J29" i="3"/>
  <c r="K26" i="3"/>
  <c r="L26" i="3" s="1"/>
  <c r="J26" i="3"/>
  <c r="K25" i="3"/>
  <c r="L25" i="3" s="1"/>
  <c r="J25" i="3"/>
  <c r="L24" i="3"/>
  <c r="K24" i="3"/>
  <c r="J24" i="3"/>
  <c r="K23" i="3"/>
  <c r="L23" i="3" s="1"/>
  <c r="J23" i="3"/>
  <c r="K20" i="3"/>
  <c r="L20" i="3" s="1"/>
  <c r="J20" i="3"/>
  <c r="L19" i="3"/>
  <c r="K19" i="3"/>
  <c r="J19" i="3"/>
  <c r="K18" i="3"/>
  <c r="J18" i="3"/>
  <c r="L18" i="3" s="1"/>
  <c r="L17" i="3"/>
  <c r="K17" i="3"/>
  <c r="J17" i="3"/>
  <c r="K16" i="3"/>
  <c r="L16" i="3" s="1"/>
  <c r="J16" i="3"/>
  <c r="K13" i="3"/>
  <c r="L13" i="3" s="1"/>
  <c r="J13" i="3"/>
  <c r="L12" i="3"/>
  <c r="K12" i="3"/>
  <c r="J12" i="3"/>
  <c r="K11" i="3"/>
  <c r="L11" i="3" s="1"/>
  <c r="J11" i="3"/>
  <c r="K10" i="3"/>
  <c r="L10" i="3" s="1"/>
  <c r="J10" i="3"/>
  <c r="L9" i="3"/>
  <c r="K9" i="3"/>
  <c r="J9" i="3"/>
  <c r="K6" i="3"/>
  <c r="J6" i="3"/>
  <c r="J155" i="3" s="1"/>
  <c r="L5" i="3"/>
  <c r="K5" i="3"/>
  <c r="J5" i="3"/>
  <c r="K4" i="3"/>
  <c r="L4" i="3" s="1"/>
  <c r="J4" i="3"/>
  <c r="T277" i="2"/>
  <c r="M11" i="4" s="1"/>
  <c r="O277" i="2"/>
  <c r="I11" i="4" s="1"/>
  <c r="T265" i="2"/>
  <c r="T286" i="2" s="1"/>
  <c r="M20" i="4" s="1"/>
  <c r="S264" i="2"/>
  <c r="U264" i="2" s="1"/>
  <c r="O264" i="2"/>
  <c r="N264" i="2"/>
  <c r="H264" i="2"/>
  <c r="J264" i="2" s="1"/>
  <c r="Q263" i="2"/>
  <c r="S263" i="2" s="1"/>
  <c r="U263" i="2" s="1"/>
  <c r="O263" i="2"/>
  <c r="N263" i="2"/>
  <c r="H263" i="2"/>
  <c r="J263" i="2" s="1"/>
  <c r="S262" i="2"/>
  <c r="U262" i="2" s="1"/>
  <c r="O262" i="2"/>
  <c r="N262" i="2"/>
  <c r="I262" i="2"/>
  <c r="H262" i="2"/>
  <c r="S261" i="2"/>
  <c r="U261" i="2" s="1"/>
  <c r="O261" i="2"/>
  <c r="N261" i="2"/>
  <c r="I261" i="2"/>
  <c r="H261" i="2"/>
  <c r="S260" i="2"/>
  <c r="U260" i="2" s="1"/>
  <c r="O260" i="2"/>
  <c r="P260" i="2" s="1"/>
  <c r="N260" i="2"/>
  <c r="I260" i="2"/>
  <c r="H260" i="2"/>
  <c r="J260" i="2" s="1"/>
  <c r="O259" i="2"/>
  <c r="N259" i="2"/>
  <c r="I259" i="2"/>
  <c r="H259" i="2"/>
  <c r="S258" i="2"/>
  <c r="U258" i="2" s="1"/>
  <c r="O258" i="2"/>
  <c r="N258" i="2"/>
  <c r="I258" i="2"/>
  <c r="H258" i="2"/>
  <c r="S257" i="2"/>
  <c r="U257" i="2" s="1"/>
  <c r="O257" i="2"/>
  <c r="P257" i="2" s="1"/>
  <c r="N257" i="2"/>
  <c r="I257" i="2"/>
  <c r="H257" i="2"/>
  <c r="S256" i="2"/>
  <c r="U256" i="2" s="1"/>
  <c r="O256" i="2"/>
  <c r="P256" i="2" s="1"/>
  <c r="N256" i="2"/>
  <c r="I256" i="2"/>
  <c r="H256" i="2"/>
  <c r="S255" i="2"/>
  <c r="U255" i="2" s="1"/>
  <c r="O255" i="2"/>
  <c r="N255" i="2"/>
  <c r="I255" i="2"/>
  <c r="H255" i="2"/>
  <c r="S254" i="2"/>
  <c r="U254" i="2" s="1"/>
  <c r="O254" i="2"/>
  <c r="P254" i="2" s="1"/>
  <c r="N254" i="2"/>
  <c r="I254" i="2"/>
  <c r="H254" i="2"/>
  <c r="U253" i="2"/>
  <c r="S253" i="2"/>
  <c r="O253" i="2"/>
  <c r="N253" i="2"/>
  <c r="I253" i="2"/>
  <c r="H253" i="2"/>
  <c r="E252" i="2"/>
  <c r="H252" i="2" s="1"/>
  <c r="S251" i="2"/>
  <c r="U251" i="2" s="1"/>
  <c r="O251" i="2"/>
  <c r="N251" i="2"/>
  <c r="I251" i="2"/>
  <c r="H251" i="2"/>
  <c r="J251" i="2" s="1"/>
  <c r="O250" i="2"/>
  <c r="N250" i="2"/>
  <c r="G250" i="2"/>
  <c r="I250" i="2" s="1"/>
  <c r="F250" i="2"/>
  <c r="H250" i="2" s="1"/>
  <c r="O249" i="2"/>
  <c r="P249" i="2" s="1"/>
  <c r="N249" i="2"/>
  <c r="I249" i="2"/>
  <c r="H249" i="2"/>
  <c r="J249" i="2" s="1"/>
  <c r="S248" i="2"/>
  <c r="U248" i="2" s="1"/>
  <c r="O248" i="2"/>
  <c r="N248" i="2"/>
  <c r="I248" i="2"/>
  <c r="H248" i="2"/>
  <c r="S247" i="2"/>
  <c r="U247" i="2" s="1"/>
  <c r="O247" i="2"/>
  <c r="N247" i="2"/>
  <c r="P247" i="2" s="1"/>
  <c r="J247" i="2"/>
  <c r="I247" i="2"/>
  <c r="H247" i="2"/>
  <c r="S246" i="2"/>
  <c r="U246" i="2" s="1"/>
  <c r="O246" i="2"/>
  <c r="N246" i="2"/>
  <c r="I246" i="2"/>
  <c r="H246" i="2"/>
  <c r="J246" i="2" s="1"/>
  <c r="S245" i="2"/>
  <c r="U245" i="2" s="1"/>
  <c r="O245" i="2"/>
  <c r="N245" i="2"/>
  <c r="I245" i="2"/>
  <c r="J245" i="2" s="1"/>
  <c r="H245" i="2"/>
  <c r="S244" i="2"/>
  <c r="U244" i="2" s="1"/>
  <c r="O244" i="2"/>
  <c r="N244" i="2"/>
  <c r="I244" i="2"/>
  <c r="J244" i="2" s="1"/>
  <c r="H244" i="2"/>
  <c r="S243" i="2"/>
  <c r="U243" i="2" s="1"/>
  <c r="O243" i="2"/>
  <c r="P243" i="2" s="1"/>
  <c r="N243" i="2"/>
  <c r="H243" i="2"/>
  <c r="J243" i="2" s="1"/>
  <c r="S242" i="2"/>
  <c r="U242" i="2" s="1"/>
  <c r="O242" i="2"/>
  <c r="N242" i="2"/>
  <c r="H242" i="2"/>
  <c r="J242" i="2" s="1"/>
  <c r="E239" i="2"/>
  <c r="E238" i="2"/>
  <c r="E237" i="2"/>
  <c r="O237" i="2" s="1"/>
  <c r="O236" i="2"/>
  <c r="E236" i="2"/>
  <c r="I236" i="2" s="1"/>
  <c r="E235" i="2"/>
  <c r="S234" i="2"/>
  <c r="O234" i="2"/>
  <c r="N234" i="2"/>
  <c r="I234" i="2"/>
  <c r="E234" i="2"/>
  <c r="H234" i="2" s="1"/>
  <c r="O230" i="2"/>
  <c r="N230" i="2"/>
  <c r="I230" i="2"/>
  <c r="H230" i="2"/>
  <c r="O229" i="2"/>
  <c r="N229" i="2"/>
  <c r="I229" i="2"/>
  <c r="H229" i="2"/>
  <c r="O228" i="2"/>
  <c r="N228" i="2"/>
  <c r="H228" i="2"/>
  <c r="J228" i="2" s="1"/>
  <c r="O227" i="2"/>
  <c r="N227" i="2"/>
  <c r="I227" i="2"/>
  <c r="H227" i="2"/>
  <c r="O226" i="2"/>
  <c r="I226" i="2"/>
  <c r="H226" i="2"/>
  <c r="I225" i="2"/>
  <c r="H225" i="2"/>
  <c r="G225" i="2"/>
  <c r="F225" i="2"/>
  <c r="T224" i="2"/>
  <c r="S224" i="2"/>
  <c r="O224" i="2"/>
  <c r="J224" i="2"/>
  <c r="E221" i="2"/>
  <c r="F220" i="2"/>
  <c r="N219" i="2"/>
  <c r="I219" i="2"/>
  <c r="H219" i="2"/>
  <c r="E219" i="2"/>
  <c r="O219" i="2" s="1"/>
  <c r="E218" i="2"/>
  <c r="T216" i="2"/>
  <c r="S216" i="2"/>
  <c r="E216" i="2"/>
  <c r="E215" i="2"/>
  <c r="Q214" i="2"/>
  <c r="Q215" i="2" s="1"/>
  <c r="S215" i="2" s="1"/>
  <c r="E214" i="2"/>
  <c r="T213" i="2"/>
  <c r="S213" i="2"/>
  <c r="E213" i="2"/>
  <c r="E212" i="2"/>
  <c r="Q211" i="2"/>
  <c r="S211" i="2" s="1"/>
  <c r="E211" i="2"/>
  <c r="O211" i="2" s="1"/>
  <c r="Q210" i="2"/>
  <c r="S210" i="2" s="1"/>
  <c r="O210" i="2"/>
  <c r="E210" i="2"/>
  <c r="Q209" i="2"/>
  <c r="E209" i="2"/>
  <c r="T209" i="2" s="1"/>
  <c r="L208" i="2"/>
  <c r="N208" i="2" s="1"/>
  <c r="I208" i="2"/>
  <c r="E208" i="2"/>
  <c r="S208" i="2" s="1"/>
  <c r="Q207" i="2"/>
  <c r="S207" i="2" s="1"/>
  <c r="E207" i="2"/>
  <c r="N207" i="2" s="1"/>
  <c r="N206" i="2"/>
  <c r="I206" i="2"/>
  <c r="E206" i="2"/>
  <c r="T206" i="2" s="1"/>
  <c r="L205" i="2"/>
  <c r="F205" i="2"/>
  <c r="E205" i="2"/>
  <c r="O205" i="2" s="1"/>
  <c r="H204" i="2"/>
  <c r="E204" i="2"/>
  <c r="Q203" i="2"/>
  <c r="E203" i="2"/>
  <c r="I203" i="2" s="1"/>
  <c r="L202" i="2"/>
  <c r="F202" i="2"/>
  <c r="F208" i="2" s="1"/>
  <c r="E202" i="2"/>
  <c r="T201" i="2"/>
  <c r="L201" i="2"/>
  <c r="I201" i="2"/>
  <c r="F201" i="2"/>
  <c r="E201" i="2"/>
  <c r="O200" i="2"/>
  <c r="N200" i="2"/>
  <c r="E200" i="2"/>
  <c r="H200" i="2" s="1"/>
  <c r="E199" i="2"/>
  <c r="E198" i="2"/>
  <c r="T198" i="2" s="1"/>
  <c r="T197" i="2"/>
  <c r="O197" i="2"/>
  <c r="N197" i="2"/>
  <c r="I197" i="2"/>
  <c r="E197" i="2"/>
  <c r="T196" i="2"/>
  <c r="U196" i="2" s="1"/>
  <c r="J196" i="2"/>
  <c r="T195" i="2"/>
  <c r="S195" i="2"/>
  <c r="O195" i="2"/>
  <c r="P195" i="2" s="1"/>
  <c r="N195" i="2"/>
  <c r="I195" i="2"/>
  <c r="H195" i="2"/>
  <c r="T194" i="2"/>
  <c r="T192" i="2"/>
  <c r="S192" i="2"/>
  <c r="O192" i="2"/>
  <c r="N192" i="2"/>
  <c r="I192" i="2"/>
  <c r="H192" i="2"/>
  <c r="J192" i="2" s="1"/>
  <c r="T191" i="2"/>
  <c r="S191" i="2"/>
  <c r="O191" i="2"/>
  <c r="N191" i="2"/>
  <c r="I191" i="2"/>
  <c r="H191" i="2"/>
  <c r="T190" i="2"/>
  <c r="S190" i="2"/>
  <c r="U190" i="2" s="1"/>
  <c r="O190" i="2"/>
  <c r="N190" i="2"/>
  <c r="I190" i="2"/>
  <c r="H190" i="2"/>
  <c r="T189" i="2"/>
  <c r="S189" i="2"/>
  <c r="O189" i="2"/>
  <c r="N189" i="2"/>
  <c r="I189" i="2"/>
  <c r="H189" i="2"/>
  <c r="T188" i="2"/>
  <c r="S188" i="2"/>
  <c r="O188" i="2"/>
  <c r="N188" i="2"/>
  <c r="I188" i="2"/>
  <c r="H188" i="2"/>
  <c r="T187" i="2"/>
  <c r="S187" i="2"/>
  <c r="O187" i="2"/>
  <c r="N187" i="2"/>
  <c r="I187" i="2"/>
  <c r="H187" i="2"/>
  <c r="T186" i="2"/>
  <c r="S186" i="2"/>
  <c r="U186" i="2" s="1"/>
  <c r="O186" i="2"/>
  <c r="P186" i="2" s="1"/>
  <c r="N186" i="2"/>
  <c r="I186" i="2"/>
  <c r="H186" i="2"/>
  <c r="J186" i="2" s="1"/>
  <c r="T185" i="2"/>
  <c r="S185" i="2"/>
  <c r="O185" i="2"/>
  <c r="N185" i="2"/>
  <c r="I185" i="2"/>
  <c r="H185" i="2"/>
  <c r="T184" i="2"/>
  <c r="S184" i="2"/>
  <c r="O184" i="2"/>
  <c r="N184" i="2"/>
  <c r="J184" i="2"/>
  <c r="T183" i="2"/>
  <c r="S183" i="2"/>
  <c r="U183" i="2" s="1"/>
  <c r="O183" i="2"/>
  <c r="N183" i="2"/>
  <c r="I183" i="2"/>
  <c r="H183" i="2"/>
  <c r="T182" i="2"/>
  <c r="S182" i="2"/>
  <c r="O182" i="2"/>
  <c r="N182" i="2"/>
  <c r="I182" i="2"/>
  <c r="H182" i="2"/>
  <c r="T178" i="2"/>
  <c r="S178" i="2"/>
  <c r="O178" i="2"/>
  <c r="N178" i="2"/>
  <c r="I178" i="2"/>
  <c r="H178" i="2"/>
  <c r="T177" i="2"/>
  <c r="S177" i="2"/>
  <c r="J177" i="2"/>
  <c r="T176" i="2"/>
  <c r="S176" i="2"/>
  <c r="O176" i="2"/>
  <c r="N176" i="2"/>
  <c r="I176" i="2"/>
  <c r="H176" i="2"/>
  <c r="T175" i="2"/>
  <c r="S175" i="2"/>
  <c r="O175" i="2"/>
  <c r="N175" i="2"/>
  <c r="I175" i="2"/>
  <c r="H175" i="2"/>
  <c r="J175" i="2" s="1"/>
  <c r="T174" i="2"/>
  <c r="S174" i="2"/>
  <c r="J174" i="2"/>
  <c r="T173" i="2"/>
  <c r="S173" i="2"/>
  <c r="O173" i="2"/>
  <c r="N173" i="2"/>
  <c r="I173" i="2"/>
  <c r="H173" i="2"/>
  <c r="T172" i="2"/>
  <c r="S172" i="2"/>
  <c r="O172" i="2"/>
  <c r="P172" i="2" s="1"/>
  <c r="N172" i="2"/>
  <c r="I172" i="2"/>
  <c r="H172" i="2"/>
  <c r="J172" i="2" s="1"/>
  <c r="T171" i="2"/>
  <c r="S171" i="2"/>
  <c r="O171" i="2"/>
  <c r="N171" i="2"/>
  <c r="I171" i="2"/>
  <c r="H171" i="2"/>
  <c r="T170" i="2"/>
  <c r="S170" i="2"/>
  <c r="O170" i="2"/>
  <c r="N170" i="2"/>
  <c r="I170" i="2"/>
  <c r="H170" i="2"/>
  <c r="J170" i="2" s="1"/>
  <c r="T169" i="2"/>
  <c r="S169" i="2"/>
  <c r="O169" i="2"/>
  <c r="N169" i="2"/>
  <c r="I169" i="2"/>
  <c r="H169" i="2"/>
  <c r="J169" i="2" s="1"/>
  <c r="T168" i="2"/>
  <c r="S168" i="2"/>
  <c r="O168" i="2"/>
  <c r="N168" i="2"/>
  <c r="I168" i="2"/>
  <c r="H168" i="2"/>
  <c r="T164" i="2"/>
  <c r="S164" i="2"/>
  <c r="O164" i="2"/>
  <c r="N164" i="2"/>
  <c r="I164" i="2"/>
  <c r="H164" i="2"/>
  <c r="T163" i="2"/>
  <c r="S163" i="2"/>
  <c r="O163" i="2"/>
  <c r="N163" i="2"/>
  <c r="I163" i="2"/>
  <c r="H163" i="2"/>
  <c r="J163" i="2" s="1"/>
  <c r="T162" i="2"/>
  <c r="S162" i="2"/>
  <c r="O162" i="2"/>
  <c r="N162" i="2"/>
  <c r="I162" i="2"/>
  <c r="H162" i="2"/>
  <c r="J162" i="2" s="1"/>
  <c r="T161" i="2"/>
  <c r="S161" i="2"/>
  <c r="O161" i="2"/>
  <c r="N161" i="2"/>
  <c r="I161" i="2"/>
  <c r="H161" i="2"/>
  <c r="T160" i="2"/>
  <c r="S160" i="2"/>
  <c r="O160" i="2"/>
  <c r="N160" i="2"/>
  <c r="I160" i="2"/>
  <c r="H160" i="2"/>
  <c r="S159" i="2"/>
  <c r="U159" i="2" s="1"/>
  <c r="J159" i="2"/>
  <c r="S158" i="2"/>
  <c r="U158" i="2" s="1"/>
  <c r="O158" i="2"/>
  <c r="P158" i="2" s="1"/>
  <c r="N158" i="2"/>
  <c r="I158" i="2"/>
  <c r="H158" i="2"/>
  <c r="S157" i="2"/>
  <c r="U157" i="2" s="1"/>
  <c r="O157" i="2"/>
  <c r="N157" i="2"/>
  <c r="P157" i="2" s="1"/>
  <c r="I157" i="2"/>
  <c r="H157" i="2"/>
  <c r="S156" i="2"/>
  <c r="U156" i="2" s="1"/>
  <c r="O156" i="2"/>
  <c r="N156" i="2"/>
  <c r="I156" i="2"/>
  <c r="H156" i="2"/>
  <c r="S155" i="2"/>
  <c r="U155" i="2" s="1"/>
  <c r="O155" i="2"/>
  <c r="N155" i="2"/>
  <c r="I155" i="2"/>
  <c r="H155" i="2"/>
  <c r="S154" i="2"/>
  <c r="U154" i="2" s="1"/>
  <c r="O154" i="2"/>
  <c r="N154" i="2"/>
  <c r="I154" i="2"/>
  <c r="H154" i="2"/>
  <c r="S153" i="2"/>
  <c r="U153" i="2" s="1"/>
  <c r="O153" i="2"/>
  <c r="N153" i="2"/>
  <c r="P153" i="2" s="1"/>
  <c r="I153" i="2"/>
  <c r="H153" i="2"/>
  <c r="S152" i="2"/>
  <c r="U152" i="2" s="1"/>
  <c r="O152" i="2"/>
  <c r="N152" i="2"/>
  <c r="I152" i="2"/>
  <c r="H152" i="2"/>
  <c r="S151" i="2"/>
  <c r="U151" i="2" s="1"/>
  <c r="P151" i="2"/>
  <c r="O151" i="2"/>
  <c r="N151" i="2"/>
  <c r="I151" i="2"/>
  <c r="H151" i="2"/>
  <c r="S150" i="2"/>
  <c r="U150" i="2" s="1"/>
  <c r="O150" i="2"/>
  <c r="N150" i="2"/>
  <c r="I150" i="2"/>
  <c r="H150" i="2"/>
  <c r="T149" i="2"/>
  <c r="S149" i="2"/>
  <c r="J149" i="2"/>
  <c r="T148" i="2"/>
  <c r="S148" i="2"/>
  <c r="O148" i="2"/>
  <c r="N148" i="2"/>
  <c r="I148" i="2"/>
  <c r="H148" i="2"/>
  <c r="J148" i="2" s="1"/>
  <c r="T147" i="2"/>
  <c r="S147" i="2"/>
  <c r="O147" i="2"/>
  <c r="N147" i="2"/>
  <c r="I147" i="2"/>
  <c r="H147" i="2"/>
  <c r="J147" i="2" s="1"/>
  <c r="T146" i="2"/>
  <c r="S146" i="2"/>
  <c r="J146" i="2"/>
  <c r="T145" i="2"/>
  <c r="S145" i="2"/>
  <c r="O145" i="2"/>
  <c r="N145" i="2"/>
  <c r="I145" i="2"/>
  <c r="H145" i="2"/>
  <c r="T144" i="2"/>
  <c r="S144" i="2"/>
  <c r="J144" i="2"/>
  <c r="T143" i="2"/>
  <c r="S143" i="2"/>
  <c r="O143" i="2"/>
  <c r="N143" i="2"/>
  <c r="P143" i="2" s="1"/>
  <c r="I143" i="2"/>
  <c r="H143" i="2"/>
  <c r="J143" i="2" s="1"/>
  <c r="J142" i="2"/>
  <c r="T141" i="2"/>
  <c r="S141" i="2"/>
  <c r="O141" i="2"/>
  <c r="P141" i="2" s="1"/>
  <c r="N141" i="2"/>
  <c r="I141" i="2"/>
  <c r="H141" i="2"/>
  <c r="J140" i="2"/>
  <c r="T139" i="2"/>
  <c r="S139" i="2"/>
  <c r="O139" i="2"/>
  <c r="N139" i="2"/>
  <c r="I139" i="2"/>
  <c r="H139" i="2"/>
  <c r="T138" i="2"/>
  <c r="S138" i="2"/>
  <c r="O138" i="2"/>
  <c r="N138" i="2"/>
  <c r="P138" i="2" s="1"/>
  <c r="I138" i="2"/>
  <c r="H138" i="2"/>
  <c r="T137" i="2"/>
  <c r="S137" i="2"/>
  <c r="O137" i="2"/>
  <c r="N137" i="2"/>
  <c r="I137" i="2"/>
  <c r="H137" i="2"/>
  <c r="J137" i="2" s="1"/>
  <c r="T136" i="2"/>
  <c r="S136" i="2"/>
  <c r="O136" i="2"/>
  <c r="N136" i="2"/>
  <c r="I136" i="2"/>
  <c r="H136" i="2"/>
  <c r="T135" i="2"/>
  <c r="S135" i="2"/>
  <c r="P135" i="2"/>
  <c r="O135" i="2"/>
  <c r="N135" i="2"/>
  <c r="I135" i="2"/>
  <c r="H135" i="2"/>
  <c r="J134" i="2"/>
  <c r="O133" i="2"/>
  <c r="N133" i="2"/>
  <c r="I133" i="2"/>
  <c r="H133" i="2"/>
  <c r="J133" i="2" s="1"/>
  <c r="T132" i="2"/>
  <c r="S132" i="2"/>
  <c r="N132" i="2"/>
  <c r="P132" i="2" s="1"/>
  <c r="I132" i="2"/>
  <c r="H132" i="2"/>
  <c r="J132" i="2" s="1"/>
  <c r="T131" i="2"/>
  <c r="S131" i="2"/>
  <c r="O131" i="2"/>
  <c r="N131" i="2"/>
  <c r="I131" i="2"/>
  <c r="H131" i="2"/>
  <c r="J130" i="2"/>
  <c r="T129" i="2"/>
  <c r="S129" i="2"/>
  <c r="O129" i="2"/>
  <c r="N129" i="2"/>
  <c r="I129" i="2"/>
  <c r="H129" i="2"/>
  <c r="J128" i="2"/>
  <c r="T127" i="2"/>
  <c r="S127" i="2"/>
  <c r="P127" i="2"/>
  <c r="O127" i="2"/>
  <c r="N127" i="2"/>
  <c r="I127" i="2"/>
  <c r="H127" i="2"/>
  <c r="U126" i="2"/>
  <c r="J126" i="2"/>
  <c r="T125" i="2"/>
  <c r="S125" i="2"/>
  <c r="O125" i="2"/>
  <c r="N125" i="2"/>
  <c r="I125" i="2"/>
  <c r="H125" i="2"/>
  <c r="T120" i="2"/>
  <c r="S120" i="2"/>
  <c r="O120" i="2"/>
  <c r="N120" i="2"/>
  <c r="I120" i="2"/>
  <c r="H120" i="2"/>
  <c r="T119" i="2"/>
  <c r="U119" i="2" s="1"/>
  <c r="S119" i="2"/>
  <c r="O119" i="2"/>
  <c r="N119" i="2"/>
  <c r="I119" i="2"/>
  <c r="H119" i="2"/>
  <c r="T118" i="2"/>
  <c r="S118" i="2"/>
  <c r="P118" i="2"/>
  <c r="O118" i="2"/>
  <c r="N118" i="2"/>
  <c r="J118" i="2"/>
  <c r="T117" i="2"/>
  <c r="S117" i="2"/>
  <c r="O117" i="2"/>
  <c r="N117" i="2"/>
  <c r="I117" i="2"/>
  <c r="H117" i="2"/>
  <c r="T116" i="2"/>
  <c r="S116" i="2"/>
  <c r="O116" i="2"/>
  <c r="N116" i="2"/>
  <c r="I116" i="2"/>
  <c r="H116" i="2"/>
  <c r="T115" i="2"/>
  <c r="S115" i="2"/>
  <c r="O115" i="2"/>
  <c r="N115" i="2"/>
  <c r="P115" i="2" s="1"/>
  <c r="I115" i="2"/>
  <c r="H115" i="2"/>
  <c r="T114" i="2"/>
  <c r="S114" i="2"/>
  <c r="O114" i="2"/>
  <c r="N114" i="2"/>
  <c r="J114" i="2"/>
  <c r="T113" i="2"/>
  <c r="S113" i="2"/>
  <c r="O113" i="2"/>
  <c r="P113" i="2" s="1"/>
  <c r="N113" i="2"/>
  <c r="I113" i="2"/>
  <c r="H113" i="2"/>
  <c r="T112" i="2"/>
  <c r="S112" i="2"/>
  <c r="O112" i="2"/>
  <c r="N112" i="2"/>
  <c r="I112" i="2"/>
  <c r="H112" i="2"/>
  <c r="T111" i="2"/>
  <c r="S111" i="2"/>
  <c r="O111" i="2"/>
  <c r="N111" i="2"/>
  <c r="I111" i="2"/>
  <c r="H111" i="2"/>
  <c r="T110" i="2"/>
  <c r="S110" i="2"/>
  <c r="O110" i="2"/>
  <c r="P110" i="2" s="1"/>
  <c r="N110" i="2"/>
  <c r="I110" i="2"/>
  <c r="H110" i="2"/>
  <c r="T106" i="2"/>
  <c r="S106" i="2"/>
  <c r="O106" i="2"/>
  <c r="N106" i="2"/>
  <c r="I106" i="2"/>
  <c r="H106" i="2"/>
  <c r="T105" i="2"/>
  <c r="S105" i="2"/>
  <c r="O105" i="2"/>
  <c r="N105" i="2"/>
  <c r="N107" i="2" s="1"/>
  <c r="N279" i="2" s="1"/>
  <c r="H13" i="4" s="1"/>
  <c r="I105" i="2"/>
  <c r="H105" i="2"/>
  <c r="U104" i="2"/>
  <c r="S102" i="2"/>
  <c r="U102" i="2" s="1"/>
  <c r="O102" i="2"/>
  <c r="P102" i="2" s="1"/>
  <c r="N102" i="2"/>
  <c r="I102" i="2"/>
  <c r="H102" i="2"/>
  <c r="T101" i="2"/>
  <c r="S101" i="2"/>
  <c r="O101" i="2"/>
  <c r="N101" i="2"/>
  <c r="I101" i="2"/>
  <c r="H101" i="2"/>
  <c r="J101" i="2" s="1"/>
  <c r="T100" i="2"/>
  <c r="S100" i="2"/>
  <c r="O100" i="2"/>
  <c r="N100" i="2"/>
  <c r="I100" i="2"/>
  <c r="H100" i="2"/>
  <c r="T97" i="2"/>
  <c r="S97" i="2"/>
  <c r="O97" i="2"/>
  <c r="N97" i="2"/>
  <c r="I97" i="2"/>
  <c r="H97" i="2"/>
  <c r="J97" i="2" s="1"/>
  <c r="T96" i="2"/>
  <c r="S96" i="2"/>
  <c r="O96" i="2"/>
  <c r="N96" i="2"/>
  <c r="I96" i="2"/>
  <c r="H96" i="2"/>
  <c r="T95" i="2"/>
  <c r="S95" i="2"/>
  <c r="O95" i="2"/>
  <c r="N95" i="2"/>
  <c r="I95" i="2"/>
  <c r="H95" i="2"/>
  <c r="T94" i="2"/>
  <c r="S94" i="2"/>
  <c r="O94" i="2"/>
  <c r="N94" i="2"/>
  <c r="I94" i="2"/>
  <c r="H94" i="2"/>
  <c r="T91" i="2"/>
  <c r="S91" i="2"/>
  <c r="O91" i="2"/>
  <c r="N91" i="2"/>
  <c r="I91" i="2"/>
  <c r="H91" i="2"/>
  <c r="J91" i="2" s="1"/>
  <c r="T90" i="2"/>
  <c r="S90" i="2"/>
  <c r="O90" i="2"/>
  <c r="N90" i="2"/>
  <c r="I90" i="2"/>
  <c r="H90" i="2"/>
  <c r="T89" i="2"/>
  <c r="S89" i="2"/>
  <c r="O89" i="2"/>
  <c r="P89" i="2" s="1"/>
  <c r="N89" i="2"/>
  <c r="I89" i="2"/>
  <c r="H89" i="2"/>
  <c r="J89" i="2" s="1"/>
  <c r="T88" i="2"/>
  <c r="S88" i="2"/>
  <c r="O88" i="2"/>
  <c r="N88" i="2"/>
  <c r="I88" i="2"/>
  <c r="H88" i="2"/>
  <c r="T87" i="2"/>
  <c r="S87" i="2"/>
  <c r="O87" i="2"/>
  <c r="N87" i="2"/>
  <c r="I87" i="2"/>
  <c r="H87" i="2"/>
  <c r="T84" i="2"/>
  <c r="S84" i="2"/>
  <c r="O84" i="2"/>
  <c r="N84" i="2"/>
  <c r="I84" i="2"/>
  <c r="H84" i="2"/>
  <c r="T83" i="2"/>
  <c r="S83" i="2"/>
  <c r="O83" i="2"/>
  <c r="N83" i="2"/>
  <c r="I83" i="2"/>
  <c r="H83" i="2"/>
  <c r="J83" i="2" s="1"/>
  <c r="T82" i="2"/>
  <c r="U82" i="2" s="1"/>
  <c r="S82" i="2"/>
  <c r="O82" i="2"/>
  <c r="N82" i="2"/>
  <c r="I82" i="2"/>
  <c r="H82" i="2"/>
  <c r="T81" i="2"/>
  <c r="S81" i="2"/>
  <c r="O81" i="2"/>
  <c r="P81" i="2" s="1"/>
  <c r="N81" i="2"/>
  <c r="I81" i="2"/>
  <c r="H81" i="2"/>
  <c r="J81" i="2" s="1"/>
  <c r="T80" i="2"/>
  <c r="S80" i="2"/>
  <c r="O80" i="2"/>
  <c r="N80" i="2"/>
  <c r="G80" i="2"/>
  <c r="I80" i="2" s="1"/>
  <c r="F80" i="2"/>
  <c r="H80" i="2" s="1"/>
  <c r="T79" i="2"/>
  <c r="S79" i="2"/>
  <c r="O79" i="2"/>
  <c r="P79" i="2" s="1"/>
  <c r="N79" i="2"/>
  <c r="I79" i="2"/>
  <c r="H79" i="2"/>
  <c r="T78" i="2"/>
  <c r="S78" i="2"/>
  <c r="Q78" i="2"/>
  <c r="O78" i="2"/>
  <c r="N78" i="2"/>
  <c r="I78" i="2"/>
  <c r="H78" i="2"/>
  <c r="T77" i="2"/>
  <c r="Q77" i="2"/>
  <c r="S77" i="2" s="1"/>
  <c r="O77" i="2"/>
  <c r="N77" i="2"/>
  <c r="I77" i="2"/>
  <c r="H77" i="2"/>
  <c r="T76" i="2"/>
  <c r="T74" i="2"/>
  <c r="S74" i="2"/>
  <c r="O74" i="2"/>
  <c r="N74" i="2"/>
  <c r="I74" i="2"/>
  <c r="H74" i="2"/>
  <c r="T73" i="2"/>
  <c r="S73" i="2"/>
  <c r="S75" i="2" s="1"/>
  <c r="S274" i="2" s="1"/>
  <c r="L8" i="4" s="1"/>
  <c r="O73" i="2"/>
  <c r="N73" i="2"/>
  <c r="N75" i="2" s="1"/>
  <c r="N274" i="2" s="1"/>
  <c r="H8" i="4" s="1"/>
  <c r="I73" i="2"/>
  <c r="H73" i="2"/>
  <c r="T70" i="2"/>
  <c r="S70" i="2"/>
  <c r="O70" i="2"/>
  <c r="N70" i="2"/>
  <c r="I70" i="2"/>
  <c r="F70" i="2"/>
  <c r="H70" i="2" s="1"/>
  <c r="J70" i="2" s="1"/>
  <c r="T69" i="2"/>
  <c r="S69" i="2"/>
  <c r="O69" i="2"/>
  <c r="P69" i="2" s="1"/>
  <c r="N69" i="2"/>
  <c r="I69" i="2"/>
  <c r="F69" i="2"/>
  <c r="H69" i="2" s="1"/>
  <c r="J69" i="2" s="1"/>
  <c r="T68" i="2"/>
  <c r="S68" i="2"/>
  <c r="O68" i="2"/>
  <c r="N68" i="2"/>
  <c r="I68" i="2"/>
  <c r="F68" i="2"/>
  <c r="H68" i="2" s="1"/>
  <c r="T67" i="2"/>
  <c r="S67" i="2"/>
  <c r="O67" i="2"/>
  <c r="N67" i="2"/>
  <c r="I67" i="2"/>
  <c r="H67" i="2"/>
  <c r="F67" i="2"/>
  <c r="T66" i="2"/>
  <c r="S66" i="2"/>
  <c r="O66" i="2"/>
  <c r="N66" i="2"/>
  <c r="I66" i="2"/>
  <c r="F66" i="2"/>
  <c r="H66" i="2" s="1"/>
  <c r="J66" i="2" s="1"/>
  <c r="T65" i="2"/>
  <c r="S65" i="2"/>
  <c r="O65" i="2"/>
  <c r="N65" i="2"/>
  <c r="I65" i="2"/>
  <c r="F65" i="2"/>
  <c r="H65" i="2" s="1"/>
  <c r="T64" i="2"/>
  <c r="U64" i="2" s="1"/>
  <c r="S64" i="2"/>
  <c r="O64" i="2"/>
  <c r="N64" i="2"/>
  <c r="I64" i="2"/>
  <c r="F64" i="2"/>
  <c r="H64" i="2" s="1"/>
  <c r="T63" i="2"/>
  <c r="S63" i="2"/>
  <c r="O63" i="2"/>
  <c r="N63" i="2"/>
  <c r="I63" i="2"/>
  <c r="F63" i="2"/>
  <c r="H63" i="2" s="1"/>
  <c r="T62" i="2"/>
  <c r="S62" i="2"/>
  <c r="O62" i="2"/>
  <c r="N62" i="2"/>
  <c r="I62" i="2"/>
  <c r="F62" i="2"/>
  <c r="H62" i="2" s="1"/>
  <c r="J62" i="2" s="1"/>
  <c r="T60" i="2"/>
  <c r="S60" i="2"/>
  <c r="O60" i="2"/>
  <c r="N60" i="2"/>
  <c r="I60" i="2"/>
  <c r="F60" i="2"/>
  <c r="H60" i="2" s="1"/>
  <c r="J60" i="2" s="1"/>
  <c r="T59" i="2"/>
  <c r="S59" i="2"/>
  <c r="O59" i="2"/>
  <c r="N59" i="2"/>
  <c r="I59" i="2"/>
  <c r="F59" i="2"/>
  <c r="H59" i="2" s="1"/>
  <c r="T58" i="2"/>
  <c r="S58" i="2"/>
  <c r="O58" i="2"/>
  <c r="N58" i="2"/>
  <c r="I58" i="2"/>
  <c r="F58" i="2"/>
  <c r="H58" i="2" s="1"/>
  <c r="T57" i="2"/>
  <c r="S57" i="2"/>
  <c r="O57" i="2"/>
  <c r="N57" i="2"/>
  <c r="I57" i="2"/>
  <c r="F57" i="2"/>
  <c r="H57" i="2" s="1"/>
  <c r="J57" i="2" s="1"/>
  <c r="T56" i="2"/>
  <c r="S56" i="2"/>
  <c r="O56" i="2"/>
  <c r="N56" i="2"/>
  <c r="P56" i="2" s="1"/>
  <c r="I56" i="2"/>
  <c r="F56" i="2"/>
  <c r="H56" i="2" s="1"/>
  <c r="J56" i="2" s="1"/>
  <c r="T55" i="2"/>
  <c r="S55" i="2"/>
  <c r="O55" i="2"/>
  <c r="N55" i="2"/>
  <c r="I55" i="2"/>
  <c r="F55" i="2"/>
  <c r="H55" i="2" s="1"/>
  <c r="J55" i="2" s="1"/>
  <c r="T54" i="2"/>
  <c r="S54" i="2"/>
  <c r="O54" i="2"/>
  <c r="N54" i="2"/>
  <c r="I54" i="2"/>
  <c r="F54" i="2"/>
  <c r="H54" i="2" s="1"/>
  <c r="T53" i="2"/>
  <c r="S53" i="2"/>
  <c r="O53" i="2"/>
  <c r="N53" i="2"/>
  <c r="I53" i="2"/>
  <c r="F53" i="2"/>
  <c r="H53" i="2" s="1"/>
  <c r="T52" i="2"/>
  <c r="S52" i="2"/>
  <c r="O52" i="2"/>
  <c r="N52" i="2"/>
  <c r="I52" i="2"/>
  <c r="F52" i="2"/>
  <c r="H52" i="2" s="1"/>
  <c r="T48" i="2"/>
  <c r="S48" i="2"/>
  <c r="O48" i="2"/>
  <c r="P48" i="2" s="1"/>
  <c r="N48" i="2"/>
  <c r="I48" i="2"/>
  <c r="F48" i="2"/>
  <c r="H48" i="2" s="1"/>
  <c r="J48" i="2" s="1"/>
  <c r="T47" i="2"/>
  <c r="S47" i="2"/>
  <c r="O47" i="2"/>
  <c r="N47" i="2"/>
  <c r="I47" i="2"/>
  <c r="F47" i="2"/>
  <c r="H47" i="2" s="1"/>
  <c r="T46" i="2"/>
  <c r="S46" i="2"/>
  <c r="O46" i="2"/>
  <c r="N46" i="2"/>
  <c r="P46" i="2" s="1"/>
  <c r="I46" i="2"/>
  <c r="H46" i="2"/>
  <c r="F46" i="2"/>
  <c r="T45" i="2"/>
  <c r="S45" i="2"/>
  <c r="O45" i="2"/>
  <c r="N45" i="2"/>
  <c r="I45" i="2"/>
  <c r="F45" i="2"/>
  <c r="H45" i="2" s="1"/>
  <c r="T44" i="2"/>
  <c r="S44" i="2"/>
  <c r="O44" i="2"/>
  <c r="P44" i="2" s="1"/>
  <c r="N44" i="2"/>
  <c r="I44" i="2"/>
  <c r="F44" i="2"/>
  <c r="H44" i="2" s="1"/>
  <c r="J44" i="2" s="1"/>
  <c r="T43" i="2"/>
  <c r="S43" i="2"/>
  <c r="O43" i="2"/>
  <c r="N43" i="2"/>
  <c r="I43" i="2"/>
  <c r="F43" i="2"/>
  <c r="H43" i="2" s="1"/>
  <c r="T42" i="2"/>
  <c r="S42" i="2"/>
  <c r="O42" i="2"/>
  <c r="N42" i="2"/>
  <c r="P42" i="2" s="1"/>
  <c r="I42" i="2"/>
  <c r="H42" i="2"/>
  <c r="F42" i="2"/>
  <c r="T41" i="2"/>
  <c r="S41" i="2"/>
  <c r="O41" i="2"/>
  <c r="N41" i="2"/>
  <c r="I41" i="2"/>
  <c r="F41" i="2"/>
  <c r="H41" i="2" s="1"/>
  <c r="T40" i="2"/>
  <c r="S40" i="2"/>
  <c r="O40" i="2"/>
  <c r="N40" i="2"/>
  <c r="I40" i="2"/>
  <c r="H40" i="2"/>
  <c r="F40" i="2"/>
  <c r="T39" i="2"/>
  <c r="T38" i="2"/>
  <c r="S38" i="2"/>
  <c r="O38" i="2"/>
  <c r="N38" i="2"/>
  <c r="I38" i="2"/>
  <c r="F38" i="2"/>
  <c r="H38" i="2" s="1"/>
  <c r="J38" i="2" s="1"/>
  <c r="T37" i="2"/>
  <c r="S37" i="2"/>
  <c r="O37" i="2"/>
  <c r="N37" i="2"/>
  <c r="I37" i="2"/>
  <c r="F37" i="2"/>
  <c r="H37" i="2" s="1"/>
  <c r="J37" i="2" s="1"/>
  <c r="T36" i="2"/>
  <c r="S36" i="2"/>
  <c r="O36" i="2"/>
  <c r="N36" i="2"/>
  <c r="I36" i="2"/>
  <c r="F36" i="2"/>
  <c r="H36" i="2" s="1"/>
  <c r="J36" i="2" s="1"/>
  <c r="T35" i="2"/>
  <c r="S35" i="2"/>
  <c r="O35" i="2"/>
  <c r="N35" i="2"/>
  <c r="I35" i="2"/>
  <c r="H35" i="2"/>
  <c r="F35" i="2"/>
  <c r="T34" i="2"/>
  <c r="S34" i="2"/>
  <c r="O34" i="2"/>
  <c r="N34" i="2"/>
  <c r="I34" i="2"/>
  <c r="F34" i="2"/>
  <c r="H34" i="2" s="1"/>
  <c r="T33" i="2"/>
  <c r="U33" i="2" s="1"/>
  <c r="S33" i="2"/>
  <c r="O33" i="2"/>
  <c r="N33" i="2"/>
  <c r="I33" i="2"/>
  <c r="F33" i="2"/>
  <c r="H33" i="2" s="1"/>
  <c r="T32" i="2"/>
  <c r="S32" i="2"/>
  <c r="O32" i="2"/>
  <c r="N32" i="2"/>
  <c r="I32" i="2"/>
  <c r="F32" i="2"/>
  <c r="H32" i="2" s="1"/>
  <c r="J32" i="2" s="1"/>
  <c r="T31" i="2"/>
  <c r="S31" i="2"/>
  <c r="O31" i="2"/>
  <c r="N31" i="2"/>
  <c r="I31" i="2"/>
  <c r="F31" i="2"/>
  <c r="H31" i="2" s="1"/>
  <c r="T30" i="2"/>
  <c r="S30" i="2"/>
  <c r="O30" i="2"/>
  <c r="N30" i="2"/>
  <c r="I30" i="2"/>
  <c r="F30" i="2"/>
  <c r="H30" i="2" s="1"/>
  <c r="T29" i="2"/>
  <c r="J29" i="2"/>
  <c r="T28" i="2"/>
  <c r="J28" i="2"/>
  <c r="T26" i="2"/>
  <c r="S26" i="2"/>
  <c r="O26" i="2"/>
  <c r="N26" i="2"/>
  <c r="I26" i="2"/>
  <c r="F26" i="2"/>
  <c r="H26" i="2" s="1"/>
  <c r="T25" i="2"/>
  <c r="S25" i="2"/>
  <c r="O25" i="2"/>
  <c r="N25" i="2"/>
  <c r="I25" i="2"/>
  <c r="F25" i="2"/>
  <c r="H25" i="2" s="1"/>
  <c r="T24" i="2"/>
  <c r="S24" i="2"/>
  <c r="O24" i="2"/>
  <c r="P24" i="2" s="1"/>
  <c r="N24" i="2"/>
  <c r="I24" i="2"/>
  <c r="F24" i="2"/>
  <c r="H24" i="2" s="1"/>
  <c r="J24" i="2" s="1"/>
  <c r="T23" i="2"/>
  <c r="S23" i="2"/>
  <c r="O23" i="2"/>
  <c r="N23" i="2"/>
  <c r="I23" i="2"/>
  <c r="F23" i="2"/>
  <c r="H23" i="2" s="1"/>
  <c r="T22" i="2"/>
  <c r="S22" i="2"/>
  <c r="O22" i="2"/>
  <c r="N22" i="2"/>
  <c r="I22" i="2"/>
  <c r="F22" i="2"/>
  <c r="H22" i="2" s="1"/>
  <c r="T21" i="2"/>
  <c r="S21" i="2"/>
  <c r="O21" i="2"/>
  <c r="N21" i="2"/>
  <c r="I21" i="2"/>
  <c r="F21" i="2"/>
  <c r="H21" i="2" s="1"/>
  <c r="J21" i="2" s="1"/>
  <c r="T20" i="2"/>
  <c r="S20" i="2"/>
  <c r="O20" i="2"/>
  <c r="N20" i="2"/>
  <c r="I20" i="2"/>
  <c r="H20" i="2"/>
  <c r="F20" i="2"/>
  <c r="T19" i="2"/>
  <c r="S19" i="2"/>
  <c r="O19" i="2"/>
  <c r="N19" i="2"/>
  <c r="I19" i="2"/>
  <c r="F19" i="2"/>
  <c r="H19" i="2" s="1"/>
  <c r="J19" i="2" s="1"/>
  <c r="T18" i="2"/>
  <c r="S18" i="2"/>
  <c r="O18" i="2"/>
  <c r="N18" i="2"/>
  <c r="I18" i="2"/>
  <c r="F18" i="2"/>
  <c r="H18" i="2" s="1"/>
  <c r="J17" i="2"/>
  <c r="T16" i="2"/>
  <c r="S16" i="2"/>
  <c r="O16" i="2"/>
  <c r="N16" i="2"/>
  <c r="I16" i="2"/>
  <c r="F16" i="2"/>
  <c r="H16" i="2" s="1"/>
  <c r="J16" i="2" s="1"/>
  <c r="T15" i="2"/>
  <c r="S15" i="2"/>
  <c r="O15" i="2"/>
  <c r="N15" i="2"/>
  <c r="I15" i="2"/>
  <c r="F15" i="2"/>
  <c r="H15" i="2" s="1"/>
  <c r="T14" i="2"/>
  <c r="S14" i="2"/>
  <c r="O14" i="2"/>
  <c r="N14" i="2"/>
  <c r="I14" i="2"/>
  <c r="F14" i="2"/>
  <c r="H14" i="2" s="1"/>
  <c r="T13" i="2"/>
  <c r="S13" i="2"/>
  <c r="O13" i="2"/>
  <c r="N13" i="2"/>
  <c r="I13" i="2"/>
  <c r="F13" i="2"/>
  <c r="H13" i="2" s="1"/>
  <c r="T12" i="2"/>
  <c r="S12" i="2"/>
  <c r="O12" i="2"/>
  <c r="N12" i="2"/>
  <c r="P12" i="2" s="1"/>
  <c r="I12" i="2"/>
  <c r="F12" i="2"/>
  <c r="H12" i="2" s="1"/>
  <c r="T11" i="2"/>
  <c r="S11" i="2"/>
  <c r="O11" i="2"/>
  <c r="N11" i="2"/>
  <c r="I11" i="2"/>
  <c r="F11" i="2"/>
  <c r="H11" i="2" s="1"/>
  <c r="T10" i="2"/>
  <c r="S10" i="2"/>
  <c r="O10" i="2"/>
  <c r="N10" i="2"/>
  <c r="I10" i="2"/>
  <c r="F10" i="2"/>
  <c r="H10" i="2" s="1"/>
  <c r="T9" i="2"/>
  <c r="U9" i="2" s="1"/>
  <c r="S9" i="2"/>
  <c r="O9" i="2"/>
  <c r="N9" i="2"/>
  <c r="I9" i="2"/>
  <c r="H9" i="2"/>
  <c r="F9" i="2"/>
  <c r="T8" i="2"/>
  <c r="S8" i="2"/>
  <c r="O8" i="2"/>
  <c r="N8" i="2"/>
  <c r="I8" i="2"/>
  <c r="J8" i="2" s="1"/>
  <c r="H8" i="2"/>
  <c r="U287" i="5" l="1"/>
  <c r="R289" i="5" s="1"/>
  <c r="J19" i="6"/>
  <c r="U31" i="2"/>
  <c r="J67" i="2"/>
  <c r="J43" i="2"/>
  <c r="U225" i="2"/>
  <c r="U63" i="2"/>
  <c r="P155" i="2"/>
  <c r="U13" i="2"/>
  <c r="U25" i="2"/>
  <c r="P45" i="2"/>
  <c r="P259" i="2"/>
  <c r="U117" i="2"/>
  <c r="J10" i="2"/>
  <c r="P11" i="2"/>
  <c r="U12" i="2"/>
  <c r="J31" i="2"/>
  <c r="P60" i="2"/>
  <c r="P65" i="2"/>
  <c r="T75" i="2"/>
  <c r="T274" i="2" s="1"/>
  <c r="M8" i="4" s="1"/>
  <c r="T107" i="2"/>
  <c r="T279" i="2" s="1"/>
  <c r="M13" i="4" s="1"/>
  <c r="P178" i="2"/>
  <c r="J227" i="2"/>
  <c r="P262" i="2"/>
  <c r="U47" i="2"/>
  <c r="P116" i="2"/>
  <c r="U125" i="2"/>
  <c r="P229" i="2"/>
  <c r="J54" i="2"/>
  <c r="P59" i="2"/>
  <c r="P64" i="2"/>
  <c r="J68" i="2"/>
  <c r="U90" i="2"/>
  <c r="U96" i="2"/>
  <c r="J127" i="2"/>
  <c r="J129" i="2"/>
  <c r="J141" i="2"/>
  <c r="J164" i="2"/>
  <c r="U178" i="2"/>
  <c r="U228" i="2"/>
  <c r="P14" i="2"/>
  <c r="U15" i="2"/>
  <c r="P21" i="2"/>
  <c r="P31" i="2"/>
  <c r="U95" i="2"/>
  <c r="U111" i="2"/>
  <c r="P148" i="2"/>
  <c r="U175" i="2"/>
  <c r="U184" i="2"/>
  <c r="U74" i="2"/>
  <c r="J23" i="2"/>
  <c r="J90" i="2"/>
  <c r="I107" i="2"/>
  <c r="J112" i="2"/>
  <c r="P139" i="2"/>
  <c r="U143" i="2"/>
  <c r="U172" i="2"/>
  <c r="J176" i="2"/>
  <c r="J185" i="2"/>
  <c r="J259" i="2"/>
  <c r="U79" i="2"/>
  <c r="P16" i="2"/>
  <c r="U30" i="2"/>
  <c r="P9" i="2"/>
  <c r="J13" i="2"/>
  <c r="P22" i="2"/>
  <c r="U23" i="2"/>
  <c r="U41" i="2"/>
  <c r="U70" i="2"/>
  <c r="J74" i="2"/>
  <c r="J78" i="2"/>
  <c r="J82" i="2"/>
  <c r="U106" i="2"/>
  <c r="U110" i="2"/>
  <c r="J120" i="2"/>
  <c r="P125" i="2"/>
  <c r="P131" i="2"/>
  <c r="U149" i="2"/>
  <c r="P176" i="2"/>
  <c r="J190" i="2"/>
  <c r="P191" i="2"/>
  <c r="J226" i="2"/>
  <c r="P255" i="2"/>
  <c r="P67" i="2"/>
  <c r="U169" i="2"/>
  <c r="U176" i="2"/>
  <c r="P10" i="2"/>
  <c r="J12" i="2"/>
  <c r="J25" i="2"/>
  <c r="J77" i="2"/>
  <c r="S107" i="2"/>
  <c r="S279" i="2" s="1"/>
  <c r="L13" i="4" s="1"/>
  <c r="J111" i="2"/>
  <c r="J115" i="2"/>
  <c r="J119" i="2"/>
  <c r="U131" i="2"/>
  <c r="J138" i="2"/>
  <c r="S193" i="2"/>
  <c r="S283" i="2" s="1"/>
  <c r="L17" i="4" s="1"/>
  <c r="J189" i="2"/>
  <c r="U191" i="2"/>
  <c r="J229" i="2"/>
  <c r="P258" i="2"/>
  <c r="U37" i="2"/>
  <c r="U57" i="2"/>
  <c r="P74" i="2"/>
  <c r="P133" i="2"/>
  <c r="P161" i="2"/>
  <c r="J171" i="2"/>
  <c r="P226" i="2"/>
  <c r="J248" i="2"/>
  <c r="P20" i="2"/>
  <c r="U21" i="2"/>
  <c r="U32" i="2"/>
  <c r="J47" i="2"/>
  <c r="P55" i="2"/>
  <c r="U62" i="2"/>
  <c r="J64" i="2"/>
  <c r="O75" i="2"/>
  <c r="O274" i="2" s="1"/>
  <c r="I8" i="4" s="1"/>
  <c r="P77" i="2"/>
  <c r="U78" i="2"/>
  <c r="S98" i="2"/>
  <c r="S277" i="2" s="1"/>
  <c r="L11" i="4" s="1"/>
  <c r="N103" i="2"/>
  <c r="N278" i="2" s="1"/>
  <c r="H12" i="4" s="1"/>
  <c r="S103" i="2"/>
  <c r="S278" i="2" s="1"/>
  <c r="L12" i="4" s="1"/>
  <c r="J106" i="2"/>
  <c r="U116" i="2"/>
  <c r="U120" i="2"/>
  <c r="U135" i="2"/>
  <c r="U145" i="2"/>
  <c r="P156" i="2"/>
  <c r="U173" i="2"/>
  <c r="U185" i="2"/>
  <c r="P242" i="2"/>
  <c r="P245" i="2"/>
  <c r="P253" i="2"/>
  <c r="P261" i="2"/>
  <c r="P13" i="2"/>
  <c r="J160" i="2"/>
  <c r="U20" i="2"/>
  <c r="J33" i="2"/>
  <c r="P34" i="2"/>
  <c r="P35" i="2"/>
  <c r="I71" i="2"/>
  <c r="U67" i="2"/>
  <c r="J96" i="2"/>
  <c r="O103" i="2"/>
  <c r="O278" i="2" s="1"/>
  <c r="I12" i="4" s="1"/>
  <c r="H279" i="2"/>
  <c r="D13" i="4" s="1"/>
  <c r="J113" i="2"/>
  <c r="P114" i="2"/>
  <c r="J131" i="2"/>
  <c r="P164" i="2"/>
  <c r="P188" i="2"/>
  <c r="H201" i="2"/>
  <c r="J201" i="2" s="1"/>
  <c r="J255" i="2"/>
  <c r="U83" i="2"/>
  <c r="I280" i="2"/>
  <c r="E14" i="4" s="1"/>
  <c r="P147" i="2"/>
  <c r="J258" i="2"/>
  <c r="U35" i="2"/>
  <c r="U55" i="2"/>
  <c r="P58" i="2"/>
  <c r="U73" i="2"/>
  <c r="U75" i="2" s="1"/>
  <c r="U274" i="2" s="1"/>
  <c r="N8" i="4" s="1"/>
  <c r="P80" i="2"/>
  <c r="U81" i="2"/>
  <c r="P90" i="2"/>
  <c r="U91" i="2"/>
  <c r="J102" i="2"/>
  <c r="U146" i="2"/>
  <c r="P152" i="2"/>
  <c r="U171" i="2"/>
  <c r="S231" i="2"/>
  <c r="S285" i="2" s="1"/>
  <c r="L19" i="4" s="1"/>
  <c r="U229" i="2"/>
  <c r="O27" i="2"/>
  <c r="O271" i="2" s="1"/>
  <c r="I5" i="4" s="1"/>
  <c r="P8" i="2"/>
  <c r="S27" i="2"/>
  <c r="S271" i="2" s="1"/>
  <c r="L5" i="4" s="1"/>
  <c r="P19" i="2"/>
  <c r="T215" i="2"/>
  <c r="H215" i="2"/>
  <c r="P15" i="2"/>
  <c r="J26" i="2"/>
  <c r="P41" i="2"/>
  <c r="U68" i="2"/>
  <c r="P88" i="2"/>
  <c r="P97" i="2"/>
  <c r="J40" i="2"/>
  <c r="U46" i="2"/>
  <c r="P154" i="2"/>
  <c r="J14" i="2"/>
  <c r="P18" i="2"/>
  <c r="U19" i="2"/>
  <c r="U42" i="2"/>
  <c r="J45" i="2"/>
  <c r="J46" i="2"/>
  <c r="P53" i="2"/>
  <c r="U54" i="2"/>
  <c r="U59" i="2"/>
  <c r="J63" i="2"/>
  <c r="I85" i="2"/>
  <c r="I276" i="2"/>
  <c r="E10" i="4" s="1"/>
  <c r="H98" i="2"/>
  <c r="T103" i="2"/>
  <c r="T278" i="2" s="1"/>
  <c r="M12" i="4" s="1"/>
  <c r="N212" i="2"/>
  <c r="T212" i="2"/>
  <c r="S212" i="2"/>
  <c r="U212" i="2" s="1"/>
  <c r="O212" i="2"/>
  <c r="H212" i="2"/>
  <c r="J212" i="2" s="1"/>
  <c r="S235" i="2"/>
  <c r="U235" i="2" s="1"/>
  <c r="O235" i="2"/>
  <c r="N235" i="2"/>
  <c r="I235" i="2"/>
  <c r="H235" i="2"/>
  <c r="U129" i="2"/>
  <c r="U136" i="2"/>
  <c r="J9" i="2"/>
  <c r="U16" i="2"/>
  <c r="U18" i="2"/>
  <c r="P96" i="2"/>
  <c r="P150" i="2"/>
  <c r="T49" i="2"/>
  <c r="T272" i="2" s="1"/>
  <c r="M6" i="4" s="1"/>
  <c r="U14" i="2"/>
  <c r="J20" i="2"/>
  <c r="U26" i="2"/>
  <c r="N49" i="2"/>
  <c r="N272" i="2" s="1"/>
  <c r="H6" i="4" s="1"/>
  <c r="J35" i="2"/>
  <c r="P37" i="2"/>
  <c r="U38" i="2"/>
  <c r="U40" i="2"/>
  <c r="O71" i="2"/>
  <c r="O273" i="2" s="1"/>
  <c r="I7" i="4" s="1"/>
  <c r="U53" i="2"/>
  <c r="U58" i="2"/>
  <c r="P63" i="2"/>
  <c r="P73" i="2"/>
  <c r="J84" i="2"/>
  <c r="P87" i="2"/>
  <c r="J94" i="2"/>
  <c r="P95" i="2"/>
  <c r="P160" i="2"/>
  <c r="O218" i="2"/>
  <c r="O220" i="2" s="1"/>
  <c r="N218" i="2"/>
  <c r="I218" i="2"/>
  <c r="H218" i="2"/>
  <c r="J220" i="2" s="1"/>
  <c r="J18" i="2"/>
  <c r="U36" i="2"/>
  <c r="U105" i="2"/>
  <c r="U107" i="2" s="1"/>
  <c r="U279" i="2" s="1"/>
  <c r="N13" i="4" s="1"/>
  <c r="N27" i="2"/>
  <c r="U24" i="2"/>
  <c r="S49" i="2"/>
  <c r="S272" i="2" s="1"/>
  <c r="L6" i="4" s="1"/>
  <c r="J34" i="2"/>
  <c r="P36" i="2"/>
  <c r="T27" i="2"/>
  <c r="T271" i="2" s="1"/>
  <c r="M5" i="4" s="1"/>
  <c r="U22" i="2"/>
  <c r="J41" i="2"/>
  <c r="J42" i="2"/>
  <c r="J58" i="2"/>
  <c r="J65" i="2"/>
  <c r="P68" i="2"/>
  <c r="I278" i="2"/>
  <c r="E12" i="4" s="1"/>
  <c r="J139" i="2"/>
  <c r="U174" i="2"/>
  <c r="T214" i="2"/>
  <c r="O214" i="2"/>
  <c r="N214" i="2"/>
  <c r="I214" i="2"/>
  <c r="H214" i="2"/>
  <c r="U144" i="2"/>
  <c r="U170" i="2"/>
  <c r="U187" i="2"/>
  <c r="P200" i="2"/>
  <c r="U230" i="2"/>
  <c r="J117" i="2"/>
  <c r="N165" i="2"/>
  <c r="N281" i="2" s="1"/>
  <c r="H15" i="4" s="1"/>
  <c r="U132" i="2"/>
  <c r="J145" i="2"/>
  <c r="U161" i="2"/>
  <c r="P183" i="2"/>
  <c r="J188" i="2"/>
  <c r="U192" i="2"/>
  <c r="S200" i="2"/>
  <c r="H208" i="2"/>
  <c r="J208" i="2" s="1"/>
  <c r="S206" i="2"/>
  <c r="U206" i="2" s="1"/>
  <c r="O208" i="2"/>
  <c r="P208" i="2" s="1"/>
  <c r="H237" i="2"/>
  <c r="J237" i="2" s="1"/>
  <c r="P112" i="2"/>
  <c r="O165" i="2"/>
  <c r="O281" i="2" s="1"/>
  <c r="I15" i="4" s="1"/>
  <c r="J136" i="2"/>
  <c r="P137" i="2"/>
  <c r="H198" i="2"/>
  <c r="I205" i="2"/>
  <c r="T208" i="2"/>
  <c r="U208" i="2" s="1"/>
  <c r="I211" i="2"/>
  <c r="P227" i="2"/>
  <c r="I237" i="2"/>
  <c r="U160" i="2"/>
  <c r="P173" i="2"/>
  <c r="J178" i="2"/>
  <c r="P189" i="2"/>
  <c r="N205" i="2"/>
  <c r="P205" i="2" s="1"/>
  <c r="I207" i="2"/>
  <c r="N211" i="2"/>
  <c r="P211" i="2" s="1"/>
  <c r="U227" i="2"/>
  <c r="N237" i="2"/>
  <c r="P237" i="2" s="1"/>
  <c r="P246" i="2"/>
  <c r="J257" i="2"/>
  <c r="U139" i="2"/>
  <c r="U141" i="2"/>
  <c r="P145" i="2"/>
  <c r="J150" i="2"/>
  <c r="J154" i="2"/>
  <c r="J158" i="2"/>
  <c r="J161" i="2"/>
  <c r="U164" i="2"/>
  <c r="J191" i="2"/>
  <c r="O207" i="2"/>
  <c r="P207" i="2" s="1"/>
  <c r="I209" i="2"/>
  <c r="S237" i="2"/>
  <c r="U237" i="2" s="1"/>
  <c r="J256" i="2"/>
  <c r="P33" i="2"/>
  <c r="U34" i="2"/>
  <c r="P43" i="2"/>
  <c r="U45" i="2"/>
  <c r="U66" i="2"/>
  <c r="T85" i="2"/>
  <c r="T275" i="2" s="1"/>
  <c r="M9" i="4" s="1"/>
  <c r="P84" i="2"/>
  <c r="T92" i="2"/>
  <c r="T276" i="2" s="1"/>
  <c r="M10" i="4" s="1"/>
  <c r="N92" i="2"/>
  <c r="N276" i="2" s="1"/>
  <c r="H10" i="4" s="1"/>
  <c r="N98" i="2"/>
  <c r="N277" i="2" s="1"/>
  <c r="H11" i="4" s="1"/>
  <c r="J116" i="2"/>
  <c r="U10" i="2"/>
  <c r="J15" i="2"/>
  <c r="J22" i="2"/>
  <c r="P23" i="2"/>
  <c r="P25" i="2"/>
  <c r="P26" i="2"/>
  <c r="I49" i="2"/>
  <c r="P32" i="2"/>
  <c r="P38" i="2"/>
  <c r="P40" i="2"/>
  <c r="U43" i="2"/>
  <c r="U44" i="2"/>
  <c r="U48" i="2"/>
  <c r="J53" i="2"/>
  <c r="P54" i="2"/>
  <c r="J59" i="2"/>
  <c r="J79" i="2"/>
  <c r="J80" i="2"/>
  <c r="U84" i="2"/>
  <c r="J88" i="2"/>
  <c r="P91" i="2"/>
  <c r="P94" i="2"/>
  <c r="P101" i="2"/>
  <c r="P111" i="2"/>
  <c r="U118" i="2"/>
  <c r="U127" i="2"/>
  <c r="P136" i="2"/>
  <c r="U137" i="2"/>
  <c r="U138" i="2"/>
  <c r="S214" i="2"/>
  <c r="O231" i="2"/>
  <c r="O285" i="2" s="1"/>
  <c r="I19" i="4" s="1"/>
  <c r="U162" i="2"/>
  <c r="U163" i="2"/>
  <c r="P169" i="2"/>
  <c r="P185" i="2"/>
  <c r="P187" i="2"/>
  <c r="U188" i="2"/>
  <c r="I200" i="2"/>
  <c r="J200" i="2" s="1"/>
  <c r="H206" i="2"/>
  <c r="J206" i="2" s="1"/>
  <c r="U213" i="2"/>
  <c r="U216" i="2"/>
  <c r="U224" i="2"/>
  <c r="U226" i="2"/>
  <c r="P230" i="2"/>
  <c r="P250" i="2"/>
  <c r="J254" i="2"/>
  <c r="J262" i="2"/>
  <c r="P244" i="2"/>
  <c r="P248" i="2"/>
  <c r="J253" i="2"/>
  <c r="J261" i="2"/>
  <c r="K155" i="3"/>
  <c r="L6" i="3"/>
  <c r="L155" i="3" s="1"/>
  <c r="N271" i="2"/>
  <c r="H5" i="4" s="1"/>
  <c r="H272" i="2"/>
  <c r="D6" i="4" s="1"/>
  <c r="H49" i="2"/>
  <c r="J30" i="2"/>
  <c r="H27" i="2"/>
  <c r="J11" i="2"/>
  <c r="O49" i="2"/>
  <c r="O272" i="2" s="1"/>
  <c r="I6" i="4" s="1"/>
  <c r="H71" i="2"/>
  <c r="J52" i="2"/>
  <c r="H273" i="2"/>
  <c r="D7" i="4" s="1"/>
  <c r="S92" i="2"/>
  <c r="S276" i="2" s="1"/>
  <c r="L10" i="4" s="1"/>
  <c r="U88" i="2"/>
  <c r="U89" i="2"/>
  <c r="J95" i="2"/>
  <c r="O107" i="2"/>
  <c r="O279" i="2" s="1"/>
  <c r="I13" i="4" s="1"/>
  <c r="P105" i="2"/>
  <c r="P106" i="2"/>
  <c r="J153" i="2"/>
  <c r="J157" i="2"/>
  <c r="P162" i="2"/>
  <c r="P190" i="2"/>
  <c r="N204" i="2"/>
  <c r="T204" i="2"/>
  <c r="S204" i="2"/>
  <c r="O204" i="2"/>
  <c r="I204" i="2"/>
  <c r="J204" i="2" s="1"/>
  <c r="U215" i="2"/>
  <c r="P264" i="2"/>
  <c r="H280" i="2"/>
  <c r="D14" i="4" s="1"/>
  <c r="H121" i="2"/>
  <c r="J110" i="2"/>
  <c r="I27" i="2"/>
  <c r="P75" i="2"/>
  <c r="P274" i="2" s="1"/>
  <c r="J8" i="4" s="1"/>
  <c r="U114" i="2"/>
  <c r="P120" i="2"/>
  <c r="P197" i="2"/>
  <c r="H271" i="2"/>
  <c r="D5" i="4" s="1"/>
  <c r="P30" i="2"/>
  <c r="I273" i="2"/>
  <c r="E7" i="4" s="1"/>
  <c r="N71" i="2"/>
  <c r="N273" i="2" s="1"/>
  <c r="H7" i="4" s="1"/>
  <c r="N85" i="2"/>
  <c r="N275" i="2" s="1"/>
  <c r="H9" i="4" s="1"/>
  <c r="H85" i="2"/>
  <c r="O121" i="2"/>
  <c r="O280" i="2" s="1"/>
  <c r="I14" i="4" s="1"/>
  <c r="N121" i="2"/>
  <c r="N280" i="2" s="1"/>
  <c r="H14" i="4" s="1"/>
  <c r="S165" i="2"/>
  <c r="S281" i="2" s="1"/>
  <c r="L15" i="4" s="1"/>
  <c r="N193" i="2"/>
  <c r="N283" i="2" s="1"/>
  <c r="H17" i="4" s="1"/>
  <c r="U195" i="2"/>
  <c r="T71" i="2"/>
  <c r="T273" i="2" s="1"/>
  <c r="M7" i="4" s="1"/>
  <c r="U52" i="2"/>
  <c r="P119" i="2"/>
  <c r="U8" i="2"/>
  <c r="I271" i="2"/>
  <c r="E5" i="4" s="1"/>
  <c r="H274" i="2"/>
  <c r="D8" i="4" s="1"/>
  <c r="H75" i="2"/>
  <c r="O85" i="2"/>
  <c r="O275" i="2" s="1"/>
  <c r="I9" i="4" s="1"/>
  <c r="P78" i="2"/>
  <c r="U87" i="2"/>
  <c r="I277" i="2"/>
  <c r="E11" i="4" s="1"/>
  <c r="U101" i="2"/>
  <c r="S121" i="2"/>
  <c r="S280" i="2" s="1"/>
  <c r="L14" i="4" s="1"/>
  <c r="U112" i="2"/>
  <c r="U113" i="2"/>
  <c r="P117" i="2"/>
  <c r="I121" i="2"/>
  <c r="T165" i="2"/>
  <c r="T281" i="2" s="1"/>
  <c r="M15" i="4" s="1"/>
  <c r="P129" i="2"/>
  <c r="J135" i="2"/>
  <c r="U147" i="2"/>
  <c r="U148" i="2"/>
  <c r="J152" i="2"/>
  <c r="J156" i="2"/>
  <c r="I202" i="2"/>
  <c r="T202" i="2"/>
  <c r="H202" i="2"/>
  <c r="S202" i="2"/>
  <c r="O202" i="2"/>
  <c r="N202" i="2"/>
  <c r="J219" i="2"/>
  <c r="H285" i="2"/>
  <c r="D19" i="4" s="1"/>
  <c r="H231" i="2"/>
  <c r="J225" i="2"/>
  <c r="H278" i="2"/>
  <c r="D12" i="4" s="1"/>
  <c r="H103" i="2"/>
  <c r="J100" i="2"/>
  <c r="H275" i="2"/>
  <c r="D9" i="4" s="1"/>
  <c r="U56" i="2"/>
  <c r="U69" i="2"/>
  <c r="P83" i="2"/>
  <c r="U115" i="2"/>
  <c r="I274" i="2"/>
  <c r="E8" i="4" s="1"/>
  <c r="I75" i="2"/>
  <c r="J277" i="2"/>
  <c r="F11" i="4" s="1"/>
  <c r="J98" i="2"/>
  <c r="I282" i="2"/>
  <c r="E16" i="4" s="1"/>
  <c r="U60" i="2"/>
  <c r="I238" i="2"/>
  <c r="S238" i="2"/>
  <c r="U238" i="2" s="1"/>
  <c r="O238" i="2"/>
  <c r="N238" i="2"/>
  <c r="H238" i="2"/>
  <c r="P47" i="2"/>
  <c r="P52" i="2"/>
  <c r="P57" i="2"/>
  <c r="P62" i="2"/>
  <c r="P66" i="2"/>
  <c r="P70" i="2"/>
  <c r="J73" i="2"/>
  <c r="S85" i="2"/>
  <c r="S275" i="2" s="1"/>
  <c r="L9" i="4" s="1"/>
  <c r="U77" i="2"/>
  <c r="U80" i="2"/>
  <c r="H276" i="2"/>
  <c r="D10" i="4" s="1"/>
  <c r="H92" i="2"/>
  <c r="J87" i="2"/>
  <c r="O92" i="2"/>
  <c r="O276" i="2" s="1"/>
  <c r="I10" i="4" s="1"/>
  <c r="U97" i="2"/>
  <c r="U100" i="2"/>
  <c r="U103" i="2" s="1"/>
  <c r="U278" i="2" s="1"/>
  <c r="N12" i="4" s="1"/>
  <c r="T121" i="2"/>
  <c r="T280" i="2" s="1"/>
  <c r="M14" i="4" s="1"/>
  <c r="H165" i="2"/>
  <c r="H281" i="2"/>
  <c r="D15" i="4" s="1"/>
  <c r="J125" i="2"/>
  <c r="J151" i="2"/>
  <c r="J155" i="2"/>
  <c r="N179" i="2"/>
  <c r="N282" i="2" s="1"/>
  <c r="H16" i="4" s="1"/>
  <c r="U198" i="2"/>
  <c r="P225" i="2"/>
  <c r="P224" i="2"/>
  <c r="H193" i="2"/>
  <c r="H283" i="2"/>
  <c r="D17" i="4" s="1"/>
  <c r="J183" i="2"/>
  <c r="U11" i="2"/>
  <c r="U65" i="2"/>
  <c r="P82" i="2"/>
  <c r="P163" i="2"/>
  <c r="I272" i="2"/>
  <c r="E6" i="4" s="1"/>
  <c r="S71" i="2"/>
  <c r="S273" i="2" s="1"/>
  <c r="L7" i="4" s="1"/>
  <c r="I281" i="2"/>
  <c r="E15" i="4" s="1"/>
  <c r="I165" i="2"/>
  <c r="O179" i="2"/>
  <c r="O282" i="2" s="1"/>
  <c r="I16" i="4" s="1"/>
  <c r="P168" i="2"/>
  <c r="T193" i="2"/>
  <c r="T283" i="2" s="1"/>
  <c r="M17" i="4" s="1"/>
  <c r="U182" i="2"/>
  <c r="T203" i="2"/>
  <c r="H203" i="2"/>
  <c r="J203" i="2" s="1"/>
  <c r="S203" i="2"/>
  <c r="O203" i="2"/>
  <c r="N203" i="2"/>
  <c r="P170" i="2"/>
  <c r="P171" i="2"/>
  <c r="P192" i="2"/>
  <c r="O199" i="2"/>
  <c r="I199" i="2"/>
  <c r="I285" i="2"/>
  <c r="E19" i="4" s="1"/>
  <c r="P228" i="2"/>
  <c r="J234" i="2"/>
  <c r="S179" i="2"/>
  <c r="S282" i="2" s="1"/>
  <c r="L16" i="4" s="1"/>
  <c r="I283" i="2"/>
  <c r="E17" i="4" s="1"/>
  <c r="P184" i="2"/>
  <c r="S198" i="2"/>
  <c r="O198" i="2"/>
  <c r="N198" i="2"/>
  <c r="H199" i="2"/>
  <c r="O215" i="2"/>
  <c r="N215" i="2"/>
  <c r="I103" i="2"/>
  <c r="T179" i="2"/>
  <c r="T282" i="2" s="1"/>
  <c r="M16" i="4" s="1"/>
  <c r="U177" i="2"/>
  <c r="H179" i="2"/>
  <c r="J182" i="2"/>
  <c r="J195" i="2"/>
  <c r="N199" i="2"/>
  <c r="T207" i="2"/>
  <c r="U207" i="2" s="1"/>
  <c r="S209" i="2"/>
  <c r="U209" i="2" s="1"/>
  <c r="N213" i="2"/>
  <c r="I213" i="2"/>
  <c r="H213" i="2"/>
  <c r="N216" i="2"/>
  <c r="I216" i="2"/>
  <c r="H216" i="2"/>
  <c r="O221" i="2"/>
  <c r="I221" i="2"/>
  <c r="I275" i="2"/>
  <c r="E9" i="4" s="1"/>
  <c r="H282" i="2"/>
  <c r="D16" i="4" s="1"/>
  <c r="U189" i="2"/>
  <c r="H197" i="2"/>
  <c r="S197" i="2"/>
  <c r="U197" i="2" s="1"/>
  <c r="I198" i="2"/>
  <c r="J198" i="2" s="1"/>
  <c r="T211" i="2"/>
  <c r="U211" i="2" s="1"/>
  <c r="H211" i="2"/>
  <c r="J211" i="2" s="1"/>
  <c r="I215" i="2"/>
  <c r="H221" i="2"/>
  <c r="T231" i="2"/>
  <c r="P234" i="2"/>
  <c r="J250" i="2"/>
  <c r="P251" i="2"/>
  <c r="P263" i="2"/>
  <c r="P100" i="2"/>
  <c r="I279" i="2"/>
  <c r="E13" i="4" s="1"/>
  <c r="I179" i="2"/>
  <c r="O193" i="2"/>
  <c r="O283" i="2" s="1"/>
  <c r="I17" i="4" s="1"/>
  <c r="P182" i="2"/>
  <c r="I193" i="2"/>
  <c r="S199" i="2"/>
  <c r="O209" i="2"/>
  <c r="N209" i="2"/>
  <c r="O213" i="2"/>
  <c r="P213" i="2" s="1"/>
  <c r="O216" i="2"/>
  <c r="U234" i="2"/>
  <c r="H239" i="2"/>
  <c r="J239" i="2" s="1"/>
  <c r="S239" i="2"/>
  <c r="U239" i="2" s="1"/>
  <c r="O239" i="2"/>
  <c r="N239" i="2"/>
  <c r="I92" i="2"/>
  <c r="H277" i="2"/>
  <c r="D11" i="4" s="1"/>
  <c r="U94" i="2"/>
  <c r="U98" i="2" s="1"/>
  <c r="U277" i="2" s="1"/>
  <c r="N11" i="4" s="1"/>
  <c r="J105" i="2"/>
  <c r="H107" i="2"/>
  <c r="J168" i="2"/>
  <c r="J173" i="2"/>
  <c r="P175" i="2"/>
  <c r="J187" i="2"/>
  <c r="T199" i="2"/>
  <c r="S201" i="2"/>
  <c r="O201" i="2"/>
  <c r="N201" i="2"/>
  <c r="T205" i="2"/>
  <c r="H205" i="2"/>
  <c r="J205" i="2" s="1"/>
  <c r="S205" i="2"/>
  <c r="H207" i="2"/>
  <c r="H209" i="2"/>
  <c r="J209" i="2" s="1"/>
  <c r="N210" i="2"/>
  <c r="P210" i="2" s="1"/>
  <c r="I210" i="2"/>
  <c r="T210" i="2"/>
  <c r="U210" i="2" s="1"/>
  <c r="H210" i="2"/>
  <c r="I212" i="2"/>
  <c r="P219" i="2"/>
  <c r="J230" i="2"/>
  <c r="N236" i="2"/>
  <c r="P236" i="2" s="1"/>
  <c r="H236" i="2"/>
  <c r="J236" i="2" s="1"/>
  <c r="S236" i="2"/>
  <c r="U236" i="2" s="1"/>
  <c r="I252" i="2"/>
  <c r="J252" i="2" s="1"/>
  <c r="S252" i="2"/>
  <c r="U252" i="2" s="1"/>
  <c r="O252" i="2"/>
  <c r="N252" i="2"/>
  <c r="T200" i="2"/>
  <c r="O206" i="2"/>
  <c r="P206" i="2" s="1"/>
  <c r="I231" i="2"/>
  <c r="U168" i="2"/>
  <c r="J22" i="6" l="1"/>
  <c r="T285" i="2"/>
  <c r="M19" i="4" s="1"/>
  <c r="P85" i="2"/>
  <c r="P275" i="2" s="1"/>
  <c r="J9" i="4" s="1"/>
  <c r="J238" i="2"/>
  <c r="J207" i="2"/>
  <c r="U214" i="2"/>
  <c r="P98" i="2"/>
  <c r="P277" i="2" s="1"/>
  <c r="J11" i="4" s="1"/>
  <c r="U121" i="2"/>
  <c r="U280" i="2" s="1"/>
  <c r="N14" i="4" s="1"/>
  <c r="P235" i="2"/>
  <c r="U85" i="2"/>
  <c r="U275" i="2" s="1"/>
  <c r="N9" i="4" s="1"/>
  <c r="P214" i="2"/>
  <c r="P27" i="2"/>
  <c r="P218" i="2"/>
  <c r="P238" i="2"/>
  <c r="P92" i="2"/>
  <c r="P276" i="2" s="1"/>
  <c r="J10" i="4" s="1"/>
  <c r="U49" i="2"/>
  <c r="U272" i="2" s="1"/>
  <c r="N6" i="4" s="1"/>
  <c r="J210" i="2"/>
  <c r="U231" i="2"/>
  <c r="U285" i="2" s="1"/>
  <c r="N19" i="4" s="1"/>
  <c r="P103" i="2"/>
  <c r="P278" i="2" s="1"/>
  <c r="J12" i="4" s="1"/>
  <c r="U203" i="2"/>
  <c r="J275" i="2"/>
  <c r="F9" i="4" s="1"/>
  <c r="P121" i="2"/>
  <c r="P280" i="2" s="1"/>
  <c r="J14" i="4" s="1"/>
  <c r="U205" i="2"/>
  <c r="J213" i="2"/>
  <c r="J214" i="2"/>
  <c r="P202" i="2"/>
  <c r="J215" i="2"/>
  <c r="J218" i="2"/>
  <c r="P165" i="2"/>
  <c r="P281" i="2" s="1"/>
  <c r="J15" i="4" s="1"/>
  <c r="U27" i="2"/>
  <c r="U271" i="2" s="1"/>
  <c r="N5" i="4" s="1"/>
  <c r="J27" i="2"/>
  <c r="P252" i="2"/>
  <c r="U179" i="2"/>
  <c r="U282" i="2" s="1"/>
  <c r="N16" i="4" s="1"/>
  <c r="O217" i="2"/>
  <c r="O222" i="2" s="1"/>
  <c r="O284" i="2" s="1"/>
  <c r="J285" i="2"/>
  <c r="F19" i="4" s="1"/>
  <c r="P220" i="2"/>
  <c r="P239" i="2"/>
  <c r="I222" i="2"/>
  <c r="P212" i="2"/>
  <c r="U204" i="2"/>
  <c r="O240" i="2"/>
  <c r="J85" i="2"/>
  <c r="P215" i="2"/>
  <c r="U165" i="2"/>
  <c r="U281" i="2" s="1"/>
  <c r="N15" i="4" s="1"/>
  <c r="J216" i="2"/>
  <c r="N265" i="2"/>
  <c r="N286" i="2" s="1"/>
  <c r="H20" i="4" s="1"/>
  <c r="N231" i="2"/>
  <c r="N285" i="2" s="1"/>
  <c r="H19" i="4" s="1"/>
  <c r="P204" i="2"/>
  <c r="J235" i="2"/>
  <c r="U202" i="2"/>
  <c r="J231" i="2"/>
  <c r="O265" i="2"/>
  <c r="O286" i="2" s="1"/>
  <c r="I20" i="4" s="1"/>
  <c r="I286" i="2"/>
  <c r="E20" i="4" s="1"/>
  <c r="U92" i="2"/>
  <c r="U276" i="2" s="1"/>
  <c r="N10" i="4" s="1"/>
  <c r="P49" i="2"/>
  <c r="P272" i="2" s="1"/>
  <c r="J6" i="4" s="1"/>
  <c r="J280" i="2"/>
  <c r="F14" i="4" s="1"/>
  <c r="J121" i="2"/>
  <c r="N222" i="2"/>
  <c r="P201" i="2"/>
  <c r="J279" i="2"/>
  <c r="F13" i="4" s="1"/>
  <c r="J107" i="2"/>
  <c r="U265" i="2"/>
  <c r="P209" i="2"/>
  <c r="J283" i="2"/>
  <c r="F17" i="4" s="1"/>
  <c r="J193" i="2"/>
  <c r="U193" i="2"/>
  <c r="U283" i="2" s="1"/>
  <c r="N17" i="4" s="1"/>
  <c r="J274" i="2"/>
  <c r="F8" i="4" s="1"/>
  <c r="J75" i="2"/>
  <c r="P271" i="2"/>
  <c r="J5" i="4" s="1"/>
  <c r="S265" i="2"/>
  <c r="H240" i="2"/>
  <c r="J240" i="2" s="1"/>
  <c r="U71" i="2"/>
  <c r="U273" i="2" s="1"/>
  <c r="N7" i="4" s="1"/>
  <c r="J273" i="2"/>
  <c r="F7" i="4" s="1"/>
  <c r="J71" i="2"/>
  <c r="U199" i="2"/>
  <c r="J221" i="2"/>
  <c r="H217" i="2"/>
  <c r="J217" i="2" s="1"/>
  <c r="J197" i="2"/>
  <c r="P221" i="2"/>
  <c r="J199" i="2"/>
  <c r="P199" i="2"/>
  <c r="P179" i="2"/>
  <c r="P282" i="2" s="1"/>
  <c r="J16" i="4" s="1"/>
  <c r="J276" i="2"/>
  <c r="F10" i="4" s="1"/>
  <c r="J92" i="2"/>
  <c r="P107" i="2"/>
  <c r="P279" i="2" s="1"/>
  <c r="J13" i="4" s="1"/>
  <c r="J271" i="2"/>
  <c r="F5" i="4" s="1"/>
  <c r="U200" i="2"/>
  <c r="T217" i="2"/>
  <c r="H286" i="2"/>
  <c r="D20" i="4" s="1"/>
  <c r="P231" i="2"/>
  <c r="P285" i="2" s="1"/>
  <c r="J19" i="4" s="1"/>
  <c r="J165" i="2"/>
  <c r="J281" i="2"/>
  <c r="F15" i="4" s="1"/>
  <c r="J278" i="2"/>
  <c r="F12" i="4" s="1"/>
  <c r="J103" i="2"/>
  <c r="P216" i="2"/>
  <c r="I284" i="2"/>
  <c r="P198" i="2"/>
  <c r="J265" i="2"/>
  <c r="P203" i="2"/>
  <c r="U201" i="2"/>
  <c r="J282" i="2"/>
  <c r="F16" i="4" s="1"/>
  <c r="J179" i="2"/>
  <c r="P193" i="2"/>
  <c r="P283" i="2" s="1"/>
  <c r="J17" i="4" s="1"/>
  <c r="I265" i="2"/>
  <c r="I267" i="2" s="1"/>
  <c r="H265" i="2"/>
  <c r="P71" i="2"/>
  <c r="P273" i="2" s="1"/>
  <c r="J7" i="4" s="1"/>
  <c r="J202" i="2"/>
  <c r="J272" i="2"/>
  <c r="F6" i="4" s="1"/>
  <c r="J49" i="2"/>
  <c r="U286" i="2" l="1"/>
  <c r="N20" i="4" s="1"/>
  <c r="S286" i="2"/>
  <c r="L20" i="4" s="1"/>
  <c r="P217" i="2"/>
  <c r="P222" i="2" s="1"/>
  <c r="N284" i="2"/>
  <c r="N267" i="2"/>
  <c r="P240" i="2"/>
  <c r="P265" i="2" s="1"/>
  <c r="P286" i="2" s="1"/>
  <c r="J20" i="4" s="1"/>
  <c r="I287" i="2"/>
  <c r="E21" i="4" s="1"/>
  <c r="E18" i="4"/>
  <c r="J286" i="2"/>
  <c r="F20" i="4" s="1"/>
  <c r="O267" i="2"/>
  <c r="J284" i="2"/>
  <c r="F18" i="4" s="1"/>
  <c r="O287" i="2"/>
  <c r="I18" i="4"/>
  <c r="H222" i="2"/>
  <c r="H267" i="2" s="1"/>
  <c r="U217" i="2"/>
  <c r="S222" i="2"/>
  <c r="S284" i="2" s="1"/>
  <c r="H284" i="2"/>
  <c r="J222" i="2"/>
  <c r="J267" i="2" s="1"/>
  <c r="U219" i="2"/>
  <c r="U218" i="2"/>
  <c r="P284" i="2" l="1"/>
  <c r="P267" i="2"/>
  <c r="S267" i="2"/>
  <c r="J287" i="2"/>
  <c r="F21" i="4" s="1"/>
  <c r="H18" i="4"/>
  <c r="N287" i="2"/>
  <c r="H21" i="4" s="1"/>
  <c r="S287" i="2"/>
  <c r="L21" i="4" s="1"/>
  <c r="L18" i="4"/>
  <c r="P287" i="2"/>
  <c r="J18" i="4"/>
  <c r="O289" i="2"/>
  <c r="I21" i="4"/>
  <c r="H287" i="2"/>
  <c r="D18" i="4"/>
  <c r="P289" i="2" l="1"/>
  <c r="J21" i="4"/>
  <c r="N289" i="2"/>
  <c r="D21" i="4"/>
  <c r="U220" i="2"/>
  <c r="U221" i="2"/>
  <c r="T222" i="2" l="1"/>
  <c r="U222" i="2"/>
  <c r="T284" i="2" l="1"/>
  <c r="T267" i="2"/>
  <c r="U284" i="2"/>
  <c r="U267" i="2"/>
  <c r="N18" i="4"/>
  <c r="U287" i="2"/>
  <c r="N21" i="4" s="1"/>
  <c r="T287" i="2"/>
  <c r="M21" i="4" s="1"/>
  <c r="M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Okoye, Ivan I SPDC-UPO/G/UPS</author>
  </authors>
  <commentList>
    <comment ref="I121" authorId="0" shapeId="0" xr:uid="{3388B3C9-0D45-489E-BF97-B9F9EB701759}">
      <text>
        <r>
          <rPr>
            <b/>
            <sz val="9"/>
            <color indexed="81"/>
            <rFont val="Tahoma"/>
            <family val="2"/>
          </rPr>
          <t>Okoye, Ivan I SPDC-UPO/G/UPS:</t>
        </r>
        <r>
          <rPr>
            <sz val="9"/>
            <color indexed="81"/>
            <rFont val="Tahoma"/>
            <family val="2"/>
          </rPr>
          <t xml:space="preserve">
16 days per month * 6
 months * 20</t>
        </r>
      </text>
    </comment>
    <comment ref="I122" authorId="0" shapeId="0" xr:uid="{88354ED0-9A92-40A1-A97B-2311BB371D7A}">
      <text>
        <r>
          <rPr>
            <b/>
            <sz val="9"/>
            <color indexed="81"/>
            <rFont val="Tahoma"/>
            <family val="2"/>
          </rPr>
          <t>Okoye, Ivan I SPDC-UPO/G/UPS:</t>
        </r>
        <r>
          <rPr>
            <sz val="9"/>
            <color indexed="81"/>
            <rFont val="Tahoma"/>
            <family val="2"/>
          </rPr>
          <t xml:space="preserve">
30 days per month * 6 months * 15</t>
        </r>
      </text>
    </comment>
    <comment ref="I123" authorId="0" shapeId="0" xr:uid="{8180C708-02F4-4F77-8964-AC0CCF4E493E}">
      <text>
        <r>
          <rPr>
            <b/>
            <sz val="9"/>
            <color indexed="81"/>
            <rFont val="Tahoma"/>
            <family val="2"/>
          </rPr>
          <t>Okoye, Ivan I SPDC-UPO/G/UPS:</t>
        </r>
        <r>
          <rPr>
            <sz val="9"/>
            <color indexed="81"/>
            <rFont val="Tahoma"/>
            <family val="2"/>
          </rPr>
          <t xml:space="preserve">
30 days per month * 6 months * 13</t>
        </r>
      </text>
    </comment>
    <comment ref="I124" authorId="0" shapeId="0" xr:uid="{057AF8AA-3BD8-4802-BDE3-3CBB518E1CC2}">
      <text>
        <r>
          <rPr>
            <b/>
            <sz val="9"/>
            <color indexed="81"/>
            <rFont val="Tahoma"/>
            <family val="2"/>
          </rPr>
          <t>Okoye, Ivan I SPDC-UPO/G/UPS:</t>
        </r>
        <r>
          <rPr>
            <sz val="9"/>
            <color indexed="81"/>
            <rFont val="Tahoma"/>
            <family val="2"/>
          </rPr>
          <t xml:space="preserve">
30 days per month * 6 months * 8</t>
        </r>
      </text>
    </comment>
    <comment ref="I125" authorId="0" shapeId="0" xr:uid="{5488B66E-349E-417F-A303-1F228153B82D}">
      <text>
        <r>
          <rPr>
            <b/>
            <sz val="9"/>
            <color indexed="81"/>
            <rFont val="Tahoma"/>
            <family val="2"/>
          </rPr>
          <t>Okoye, Ivan I SPDC-UPO/G/UPS:</t>
        </r>
        <r>
          <rPr>
            <sz val="9"/>
            <color indexed="81"/>
            <rFont val="Tahoma"/>
            <family val="2"/>
          </rPr>
          <t xml:space="preserve">
30 days per month * 6 months * 1</t>
        </r>
      </text>
    </comment>
    <comment ref="I136" authorId="0" shapeId="0" xr:uid="{607240FA-EA7C-4EF5-9C00-6B322FA3DE9E}">
      <text>
        <r>
          <rPr>
            <b/>
            <sz val="9"/>
            <color indexed="81"/>
            <rFont val="Tahoma"/>
            <family val="2"/>
          </rPr>
          <t>Okoye, Ivan I SPDC-UPO/G/UPS:</t>
        </r>
        <r>
          <rPr>
            <sz val="9"/>
            <color indexed="81"/>
            <rFont val="Tahoma"/>
            <family val="2"/>
          </rPr>
          <t xml:space="preserve">
9 vendors * 3
 trainings each</t>
        </r>
      </text>
    </comment>
    <comment ref="I139" authorId="0" shapeId="0" xr:uid="{856038C3-939E-4581-9F4B-A608834B4D2A}">
      <text>
        <r>
          <rPr>
            <b/>
            <sz val="9"/>
            <color indexed="81"/>
            <rFont val="Tahoma"/>
            <family val="2"/>
          </rPr>
          <t>Okoye, Ivan I SPDC-UPO/G/UPS:</t>
        </r>
        <r>
          <rPr>
            <sz val="9"/>
            <color indexed="81"/>
            <rFont val="Tahoma"/>
            <family val="2"/>
          </rPr>
          <t xml:space="preserve">
9 vendors * 10 trainings each</t>
        </r>
      </text>
    </comment>
  </commentList>
</comments>
</file>

<file path=xl/sharedStrings.xml><?xml version="1.0" encoding="utf-8"?>
<sst xmlns="http://schemas.openxmlformats.org/spreadsheetml/2006/main" count="2046" uniqueCount="703">
  <si>
    <t>COMMERCIAL EVALUATION TEMPLATE</t>
  </si>
  <si>
    <t>Call – Off Contract for Provision of Consultancy Support for Oil Spill/Remediation Services</t>
  </si>
  <si>
    <t>EXCHANGE RATE</t>
  </si>
  <si>
    <t>TENDER NUMBER: CW380053</t>
  </si>
  <si>
    <t>DURATION: 2 YEARS + 1 YEAR OPTION</t>
  </si>
  <si>
    <t>COMPANY ESTIMATE</t>
  </si>
  <si>
    <t>S/N</t>
  </si>
  <si>
    <t>UNIT OF MEASURE</t>
  </si>
  <si>
    <t>Quantity</t>
  </si>
  <si>
    <t>Unit Rate Naira</t>
  </si>
  <si>
    <t>Unit Rate Dollar</t>
  </si>
  <si>
    <t>Total Naira</t>
  </si>
  <si>
    <t>Total $</t>
  </si>
  <si>
    <t>Total F$</t>
  </si>
  <si>
    <t>SECTION A</t>
  </si>
  <si>
    <t>SITE VISIT AND SOIL SAMPLING - ASSESSMENT</t>
  </si>
  <si>
    <t>A1</t>
  </si>
  <si>
    <t>LAND</t>
  </si>
  <si>
    <t>A1.1</t>
  </si>
  <si>
    <t>Site Visit and geo-environmental Risk Assessment of oil spill impacted area in LAND locations to include as a minimum  (2.0m depth) soil lateral and vertical  delineation, soil, surface water, and biosampling using approved containers and dispatch to laboratory. Including all required desk top plan, field visit report, provision of logistics for 2 SPDC reps and two regulators, security escort as required, photography and inclusive of all material and equipment, accommodation, FTO, PPE, mini site office or tent, profits and overhead on SPDC spill site not exceeding 1Ha in area and within 50km radius. Location on land within SPDC operational areas.</t>
  </si>
  <si>
    <t>Per Site</t>
  </si>
  <si>
    <t>A1.2</t>
  </si>
  <si>
    <t>As item A1 but not exceeding 1Ha and outside 50km radius</t>
  </si>
  <si>
    <t>Per site</t>
  </si>
  <si>
    <t>A1.3</t>
  </si>
  <si>
    <t>As item A1 but between 1Ha and 5Ha</t>
  </si>
  <si>
    <t>A1.4</t>
  </si>
  <si>
    <t>As item A1 but between 5Ha and 10Ha</t>
  </si>
  <si>
    <t>A1.5</t>
  </si>
  <si>
    <t>As item A1 but between 10Ha and 20Ha</t>
  </si>
  <si>
    <t>A1.6</t>
  </si>
  <si>
    <t>As item A1 but between 20Ha and 30Ha</t>
  </si>
  <si>
    <t>A1.7</t>
  </si>
  <si>
    <t>As item A1 but between 30Ha and 40Ha</t>
  </si>
  <si>
    <t>A1.8</t>
  </si>
  <si>
    <t>As item A1 but between 40Ha and 50Ha</t>
  </si>
  <si>
    <t>A1.9</t>
  </si>
  <si>
    <t>As item A1 but from 50Ha and above</t>
  </si>
  <si>
    <t>A2</t>
  </si>
  <si>
    <t>SWAMP</t>
  </si>
  <si>
    <t>A2.1</t>
  </si>
  <si>
    <t>Site Visit and geo-environmental Risk Assessment of oil spill impacted area in SWAMP and seasonal swamp locations to include as a minimum  (2.0m depth) soil lateral and vertical  delineation, soil and biosampling using approved containers and dispatch to laboratory. Including all required desk top plan, field visit report, provision of logistics for 2 SPDC reps and two regulators, security escort as required, photography and inclusive of all material and equipment, accommodation, FTO, PPE, mini site office or tent, profits and overhead on SPDC spill site not exceeding 1Ha in area and within 50km radius. Location on land within SPDC operational areas.</t>
  </si>
  <si>
    <t>A2.2</t>
  </si>
  <si>
    <t>A2.3</t>
  </si>
  <si>
    <t>A2.4</t>
  </si>
  <si>
    <t>A2.5</t>
  </si>
  <si>
    <t>A2.6</t>
  </si>
  <si>
    <t>A2.7</t>
  </si>
  <si>
    <t>A2.8</t>
  </si>
  <si>
    <t>A2.9</t>
  </si>
  <si>
    <t>SECTION A SUBTOTAL</t>
  </si>
  <si>
    <t>SECTION B</t>
  </si>
  <si>
    <t>SITE VISIT AND SOIL SAMPLING - QA/QC AND VERIFICATION</t>
  </si>
  <si>
    <t>B1</t>
  </si>
  <si>
    <t>B1.1</t>
  </si>
  <si>
    <t>Site Visit and Soil Sampling in LAND Locations for QA/QC and verification to include as a minimum (2.0m depth) soil lateral and vertical delineation and sampling using approved containers and dispatch to laboratory. Including all required desk top plan, field visit report, provision of logistics for 2 SPDC reps, security escort as required, photography and inclusive of all material and equipment, accommodation, FTO, PPE, mini site office or tent, profits and overhead on a SPDC spill site not exceeding 1Ha in area and within 50km radius. Location on land within SPDC operational areas.</t>
  </si>
  <si>
    <t>B1.2</t>
  </si>
  <si>
    <t>B1.3</t>
  </si>
  <si>
    <t>B1.4</t>
  </si>
  <si>
    <t>B1.5</t>
  </si>
  <si>
    <t>B1.6</t>
  </si>
  <si>
    <t>B1.7</t>
  </si>
  <si>
    <t>B1.8</t>
  </si>
  <si>
    <t>B1.9</t>
  </si>
  <si>
    <t>B2</t>
  </si>
  <si>
    <t>B2.1</t>
  </si>
  <si>
    <t>Site Visit and Soil Sampling in SWAMP AND SEASONAL SWAMP Locations for QA/QC and verification to include as a minimum (2.0m depth) soil lateral and vertical delineation and sampling using approved containers and dispatch to laboratory. Including all required desk top plan, field visit report, provision of logistics for 2 SPDC reps, security escort as required, photography and inclusive of all material and equipment, accommodation, FTO, PPE, mini site office or tent, profits and overhead on a SPDC spill site not exceeding 1Ha in area and within 50km radius. Location in Swamp with SPDC operations areas.</t>
  </si>
  <si>
    <t>B2.2</t>
  </si>
  <si>
    <t>per site</t>
  </si>
  <si>
    <t>B2.3</t>
  </si>
  <si>
    <t>B2.4</t>
  </si>
  <si>
    <t>B2.5</t>
  </si>
  <si>
    <t>B2.6</t>
  </si>
  <si>
    <t>B2.7</t>
  </si>
  <si>
    <t>B2.8</t>
  </si>
  <si>
    <t>B2.9</t>
  </si>
  <si>
    <t>SECTION B SUBTOTAL</t>
  </si>
  <si>
    <t>SECTION C</t>
  </si>
  <si>
    <t>SITE VISIT AND SOIL SAMPLING - CERTIFICATION WITH REGULATORS</t>
  </si>
  <si>
    <t>C1</t>
  </si>
  <si>
    <t>C1.1</t>
  </si>
  <si>
    <t>Site Visit and Soil Sampling for remediation certification in LAND location to include as a minimum (2.0m depth) soil lateral and vertical delineation and sampling using approved containers and dispatch to laboratory. Including all required desk top plan, field visit report, provision of logistics for 2 SPDC reps and 3 regulators, security escort as required, photography and inclusive of all material and equipment, accommodation, FTO, PPE, site office, profits and overhead on a SPDC spill site not exceeding 1Ha in area and within 50km radius. Location on land within SPDC operational areas.</t>
  </si>
  <si>
    <t>C1.2</t>
  </si>
  <si>
    <t>C1.3</t>
  </si>
  <si>
    <t>C1.4</t>
  </si>
  <si>
    <t>C1.5</t>
  </si>
  <si>
    <t>C1.6</t>
  </si>
  <si>
    <t>C1.7</t>
  </si>
  <si>
    <t>C1.8</t>
  </si>
  <si>
    <t>C1.9</t>
  </si>
  <si>
    <t>C2</t>
  </si>
  <si>
    <t>C2.1</t>
  </si>
  <si>
    <t>Site Visit and Soil Sampling for remediation certification in SWAMP AND SEASONAL SWAMP location to include as a minimum (2.0m depth) soil lateral and vertical delineation and sampling using approved containers and dispatch to laboratory. Including all required desk top plan, field visit report, provision of logistics for 2 SPDC reps and 3 regulators, security escort as required, photography and inclusive of all material and equipment, accommodation, FTO, PPE, site office, profits and overhead on a SPDC spill site not exceeding 1Ha in area and within 50km radius. Location on land within SPDC operational areas.</t>
  </si>
  <si>
    <t>C2.2</t>
  </si>
  <si>
    <t>C2.3</t>
  </si>
  <si>
    <t>C2.4</t>
  </si>
  <si>
    <t>C2.5</t>
  </si>
  <si>
    <t>C2.6</t>
  </si>
  <si>
    <t>C2.7</t>
  </si>
  <si>
    <t>C2.8</t>
  </si>
  <si>
    <t>C2.9</t>
  </si>
  <si>
    <t>SECTION C SUBTOTAL</t>
  </si>
  <si>
    <t>Section D</t>
  </si>
  <si>
    <t>Risk Assessment &amp; Report Writing</t>
  </si>
  <si>
    <t>D1</t>
  </si>
  <si>
    <t xml:space="preserve">Prepare report for Phase 1 Geo-environmental Risk Assessment to include as a minimum detailed Vertical and lateral soil and groundwater delineation, site drawing and map, conceptual site model, analysis of soil laboratory results, risk assessment in  accordance with SPDC Procedure (in e-copy format). Report to be approved by vendor's subject matter expert, submitted within 21 to 30 calendars days  after PO is issued. </t>
  </si>
  <si>
    <t>D2</t>
  </si>
  <si>
    <t>Prepare report for  Phase 2 Geo-environmental Risk Assessment to include as a minimum detailed Vertical and lateral soil and groundwater delineation, site drawing and map, CSM, groundwater risk assessment, groundwater Modelling using appropriate software to model fate and transport of contaminant for detailed remediation design purposes. Determination of risk to human health from soil and ground water contamination using software modelling packages and RBCA Toolkit and determination of risk to controlled surface water in  accordance with SPDC Procedure (in e-copy format). Report to be approved by vendor's subject matter expert, submitted within 30 to 40  calendar days after PO is issued.</t>
  </si>
  <si>
    <t>SECTION D SUBTOTAL</t>
  </si>
  <si>
    <t>Section E</t>
  </si>
  <si>
    <t>Borehole Drilling</t>
  </si>
  <si>
    <t>E1</t>
  </si>
  <si>
    <t>Mobilisation &amp; demobilisation of all drilling equipment and personnel to site in land  area within radius of 100km of Shell IA PHC/Warri, inc of all FTO and overhead and profit.</t>
  </si>
  <si>
    <t>E2</t>
  </si>
  <si>
    <t>Mobilisation &amp; demobilisation of all drilling equipment and personnel, planning, design, materials, fto, etc. to site in SWAMP or seasonal swamp area within radius of 100km of Shell IA PHC/Warri, inc of all overhead and profit.</t>
  </si>
  <si>
    <t>E3</t>
  </si>
  <si>
    <t>Mobilisation and demobilisation of Motorised mechanical rig for drilling of biosparging well.</t>
  </si>
  <si>
    <t>E4</t>
  </si>
  <si>
    <t>Provision of drilling service using Motorised mechanical drilling rig (biosparging well)</t>
  </si>
  <si>
    <t>per well</t>
  </si>
  <si>
    <t>E5</t>
  </si>
  <si>
    <t>Set up and drilling of borehole minimum 150mm diameter to depths up to 10m below ground level, determine GPS cordinates of borehole location and ground level inclusive of all profit and overhead.</t>
  </si>
  <si>
    <t>per borehole</t>
  </si>
  <si>
    <t>E5.1</t>
  </si>
  <si>
    <t>As item F5 but depth of 10m to 20m bgl</t>
  </si>
  <si>
    <t>E5.2</t>
  </si>
  <si>
    <t>As item F5 but depth of 20m to 40m bgl</t>
  </si>
  <si>
    <t>E5.3</t>
  </si>
  <si>
    <t>As item F5 but depth above 40m bgl</t>
  </si>
  <si>
    <t>SECTION E SUBTOTAL</t>
  </si>
  <si>
    <t>SECTION F</t>
  </si>
  <si>
    <t>INSTALLATION OF PORTABLE WATER BOREHOLE AND FACILITIES</t>
  </si>
  <si>
    <t>F1</t>
  </si>
  <si>
    <t>Drilling and installation of  70-80m deep 6inch Bore Hole, using appropriate rotary rig; supply and install  suitable 12bar PVC casing pipe and 14 bar PVC screen, gravel packing of annular space with appropriate  concreate aggregade,  cement grouting and installation of  concreate   base  with galvanised cap  and other well completion activities such as  well development/flushing to remove fines and improve aquifer yield;</t>
  </si>
  <si>
    <t>F2</t>
  </si>
  <si>
    <t>Provide and  install  suitable  high quality  Solar  sumo pump with starter/switch  and  adequate riser pipes; marine rope etc. etc.</t>
  </si>
  <si>
    <t>F3</t>
  </si>
  <si>
    <t>Provide  and  install  suitable  high quality 1.5hp SAER Sumo pump  with starter/switch  and  adequate riser pipes; marine rope etc. etc.</t>
  </si>
  <si>
    <t>F4</t>
  </si>
  <si>
    <t>Supply &amp; install six panelled SOLAR energy source, special earthing connections, control board, relays, etc to power submersible pump (1.5HP DC), including all cable connections, floating switch gear, programming etc. inclusive of all labour, HSE/PPE + profit.</t>
  </si>
  <si>
    <t>F5</t>
  </si>
  <si>
    <t>Fabrication and installation of 20ft stainless steel tank stand; provide and install two 3000lits GP Tank, Provide suitable PVC Pipes for reticulation within 50m from the location; provide and install not less than 4 fetching points with taps; prepare  concreate base with tiles at the fetching point.</t>
  </si>
  <si>
    <t>SECTION F SUBTOTAL</t>
  </si>
  <si>
    <t>Section G</t>
  </si>
  <si>
    <t>Sampling from Boreholes and Monitoring Wells</t>
  </si>
  <si>
    <t>G1</t>
  </si>
  <si>
    <t>Small disturbed soil sample (0.5Kg)</t>
  </si>
  <si>
    <t>G2</t>
  </si>
  <si>
    <t>Bulk disturbed soil sample (2.5Kg)</t>
  </si>
  <si>
    <t>G3</t>
  </si>
  <si>
    <t>Undisturbed open tube soil sample (100mm diamter)</t>
  </si>
  <si>
    <t>G4</t>
  </si>
  <si>
    <t>Collection of groundwater sample from monitoring well including water level measurement and purging 3 well volumes prior to sampling; sample labelling, suitable sample containers, trained sampler, transport to lab, proper chain of custody documentation and sample preservation -</t>
  </si>
  <si>
    <t>SECTION G SUBTOTAL</t>
  </si>
  <si>
    <t>Section H</t>
  </si>
  <si>
    <t>In situ testing</t>
  </si>
  <si>
    <t>H1</t>
  </si>
  <si>
    <t>Set up and dismantle variable head permeability test in borehole</t>
  </si>
  <si>
    <t>Per borehole</t>
  </si>
  <si>
    <t>H2</t>
  </si>
  <si>
    <t>Permeability Testing using Grain size analysis; per sample</t>
  </si>
  <si>
    <t>H3</t>
  </si>
  <si>
    <t>Onsite testing and report for groundwater physical parameters to include disolve oxygen (DO), Oxidation-Reduction Potential (ORP), PH, Redox, Temperature, etc using Water Quality Multi Parameter Meter with Field replaceable ISO 7027 compliant turbidity sensor (e.g. HI 9829 Water Quality Multi Parameter Meter) or equivalent.</t>
  </si>
  <si>
    <t>SECTION H SUBTOTAL</t>
  </si>
  <si>
    <t>Section I</t>
  </si>
  <si>
    <t>Monitoring Well Install and Development</t>
  </si>
  <si>
    <t>I1</t>
  </si>
  <si>
    <t>Install Groundwater Monitoring Well in accordance with Contract Specification. Minimum diameter 50mm, with graded filter pack over screen section, 1.0m thick bentonite seal. Cement/bentonite grout backfill. Screen section to be 3.0m in length (unless otherwise instructed). To a total depth of up to 10m below ground level (bgl) including borehole loging,  development of borehole for optimum acquifer performance and installation of protective steel cover (strong padlock) in concrete surround raised at least 0.5m above ground level.</t>
  </si>
  <si>
    <t>I2</t>
  </si>
  <si>
    <t>As Item F1 but total depth 10m to 20m bgl.</t>
  </si>
  <si>
    <t>SECTION I SUBTOTAL</t>
  </si>
  <si>
    <t>Section J</t>
  </si>
  <si>
    <t>Soil Classification Testing</t>
  </si>
  <si>
    <t>JI</t>
  </si>
  <si>
    <t xml:space="preserve">Classification Soil Testing </t>
  </si>
  <si>
    <t>J1.1</t>
  </si>
  <si>
    <t>Moisture content</t>
  </si>
  <si>
    <t>per sample</t>
  </si>
  <si>
    <t>J1.2</t>
  </si>
  <si>
    <t>Liquid limit, plastic limit and plasticity index</t>
  </si>
  <si>
    <t>J1.3</t>
  </si>
  <si>
    <t>Particle size distribution</t>
  </si>
  <si>
    <t>J1.4</t>
  </si>
  <si>
    <t>Sedimentation Test</t>
  </si>
  <si>
    <t>J2</t>
  </si>
  <si>
    <t>Chemical and electrochemical Soil</t>
  </si>
  <si>
    <t>J2.1</t>
  </si>
  <si>
    <t>Organic matter content</t>
  </si>
  <si>
    <t>J2.2</t>
  </si>
  <si>
    <t>Mass loss on ignition</t>
  </si>
  <si>
    <t>J2.3</t>
  </si>
  <si>
    <t>pH value</t>
  </si>
  <si>
    <t>J3</t>
  </si>
  <si>
    <t>Chemical and electrochemical Water</t>
  </si>
  <si>
    <t>J3.1</t>
  </si>
  <si>
    <t>Sulphate</t>
  </si>
  <si>
    <t>J3.2</t>
  </si>
  <si>
    <t>SECTION J SUBTOTAL</t>
  </si>
  <si>
    <t>Section K</t>
  </si>
  <si>
    <t xml:space="preserve">Chemical Testing </t>
  </si>
  <si>
    <t>K1</t>
  </si>
  <si>
    <t>Soil samples – metals</t>
  </si>
  <si>
    <t>K1.1</t>
  </si>
  <si>
    <t>Heavy Metals (Arsenic , Barium, Cadmium,</t>
  </si>
  <si>
    <t>Chromium,Cobalt, Copper Mercury, Lead, Nickel, Zinc)</t>
  </si>
  <si>
    <t>K2</t>
  </si>
  <si>
    <t>Soil samples – Volatile Compounds (BTEX)</t>
  </si>
  <si>
    <t>K2.1</t>
  </si>
  <si>
    <t>Benzene, Ethyl Benzene, Phenol, Toluene, Xylenes by PT-GC-MS Method USEPA 8260</t>
  </si>
  <si>
    <t>K3</t>
  </si>
  <si>
    <t>Soil samples – Polyaromatic Hydrocarbons (PAHs)</t>
  </si>
  <si>
    <t>K3.1</t>
  </si>
  <si>
    <t>Napthalene, Anthracene, Phenanthrene, Fluoranthracene, Chrysene, Benzo (a) pyrene, Benzo (ghi) pryrelene, Benzo(k) fluoranthene,Indeno (1,2,3 -cd) pryrene, Benzo (a) anthracene by GC-MS Method USEPA 8270</t>
  </si>
  <si>
    <t>K4</t>
  </si>
  <si>
    <t>Soil Samples - Mineral Oil/TPH</t>
  </si>
  <si>
    <t>K4.1</t>
  </si>
  <si>
    <t>Speciated Total Petroleum Hydrocarbons (TPHWGC) GC Method</t>
  </si>
  <si>
    <t>K4.2</t>
  </si>
  <si>
    <t>Mineral Oil - Total TPH - GC FID Method USEPA 8015</t>
  </si>
  <si>
    <t>K4.3</t>
  </si>
  <si>
    <t>Mobile TPH analysis for soil Samples using REM-SCAN</t>
  </si>
  <si>
    <t>K5</t>
  </si>
  <si>
    <t>Samples - Biological Tests</t>
  </si>
  <si>
    <t>K5.1</t>
  </si>
  <si>
    <t>Heterotrophic Bacteria count</t>
  </si>
  <si>
    <t>K5.2</t>
  </si>
  <si>
    <t>Hydrocarbon Bio degraders</t>
  </si>
  <si>
    <t>K5.3</t>
  </si>
  <si>
    <t>Heterotrophic Fungi Count</t>
  </si>
  <si>
    <t>K5.4</t>
  </si>
  <si>
    <t>Hydrocarbon Degrading Fungi</t>
  </si>
  <si>
    <t>K5.5</t>
  </si>
  <si>
    <t>Benthos, Phytoplanktons, Zooplanktons - provide sampling details, standard and dimension.</t>
  </si>
  <si>
    <t>LOT</t>
  </si>
  <si>
    <t>K6</t>
  </si>
  <si>
    <t>Water samples – metals</t>
  </si>
  <si>
    <t>K6.1</t>
  </si>
  <si>
    <t>Heavy Metals (Arsenic , Barium, Cadmium,Chromium,Cobalt, Copper Mercury, Lead, Nickel, Zinc)</t>
  </si>
  <si>
    <t>K7</t>
  </si>
  <si>
    <t>Water samples – Volatile Compounds (BTEX)</t>
  </si>
  <si>
    <t>K7.1</t>
  </si>
  <si>
    <t>K8</t>
  </si>
  <si>
    <t>Water samples – Polyaromatic Hydrocarbons (PAHs)</t>
  </si>
  <si>
    <t>K8.1</t>
  </si>
  <si>
    <t>K9</t>
  </si>
  <si>
    <t>Water Samples - Mineral Oil/TPH</t>
  </si>
  <si>
    <t>K9.1</t>
  </si>
  <si>
    <t>Speciated Total Petroleum Hydrocarbons (TPHWGC) by GC-MS</t>
  </si>
  <si>
    <t>K9.2</t>
  </si>
  <si>
    <t>K10</t>
  </si>
  <si>
    <t>Water Samples - Other</t>
  </si>
  <si>
    <t>K10.1</t>
  </si>
  <si>
    <t>Electrical Conductivity</t>
  </si>
  <si>
    <t>K10.2</t>
  </si>
  <si>
    <t>Fe+3</t>
  </si>
  <si>
    <t>K10.3</t>
  </si>
  <si>
    <t>Chloride</t>
  </si>
  <si>
    <t>K10.4</t>
  </si>
  <si>
    <t>Nitrate</t>
  </si>
  <si>
    <t>K10.5</t>
  </si>
  <si>
    <t>Phosphate</t>
  </si>
  <si>
    <t>K10.6</t>
  </si>
  <si>
    <t>Dissolved Manganese</t>
  </si>
  <si>
    <t>K10.7</t>
  </si>
  <si>
    <t>Total Organic Carbon</t>
  </si>
  <si>
    <t>K10.8</t>
  </si>
  <si>
    <t xml:space="preserve">Dissolved Methane </t>
  </si>
  <si>
    <t>K10.9</t>
  </si>
  <si>
    <t>Bicarbonate ions</t>
  </si>
  <si>
    <t>K11</t>
  </si>
  <si>
    <t>Shipment of Samples</t>
  </si>
  <si>
    <t>K11.1</t>
  </si>
  <si>
    <t>Shipment of samples to Accredited Laboratories within Africa for comparative QA/QC analysis. Cost to include all packing and transport logistics costs (not testing).</t>
  </si>
  <si>
    <t>K11.2</t>
  </si>
  <si>
    <t>Shipment of samples  to Accredited Laboratories within UK for comparative QA/QC analysis. Cost to include all packing and transport logistics costs (not testing).</t>
  </si>
  <si>
    <t>K11.3</t>
  </si>
  <si>
    <t>Shipment of samples to Accredited Laboratories within Europe for comparative QA/QC analysis. Cost to include all packing and transport logistics costs (not testing).</t>
  </si>
  <si>
    <t>K11.4</t>
  </si>
  <si>
    <t>Shipment of samples to Accredited Laboratories within America for comparative QA/QC analysis. Cost to include all packing and transport logistics costs (not testing).</t>
  </si>
  <si>
    <t>K11.5</t>
  </si>
  <si>
    <t>Shipment of samples to Accredited Laboratories within Asia for comparative QA/QC analysis. Cost to include all packing and transport logistics costs (not testing).</t>
  </si>
  <si>
    <t>SECTION K SUBTOTAL</t>
  </si>
  <si>
    <t>Section L</t>
  </si>
  <si>
    <t>Non-Intrusive Geophysical Testing</t>
  </si>
  <si>
    <t>L1</t>
  </si>
  <si>
    <t>Fieldwork</t>
  </si>
  <si>
    <t>L1.1</t>
  </si>
  <si>
    <t>Mobilisation of all equipment, personnel, staff including transport and accommodation, FTO, PPEs, site office, including all overheads and logistics to site located with 100km of Port Harourt and/or Warri</t>
  </si>
  <si>
    <t>L1.2</t>
  </si>
  <si>
    <t>Investigation of Soil and Groundwater cotamination using 2D Vertical Electrical Resistivity. Including site preparation and setting out of survey lines. To depth of 30m.</t>
  </si>
  <si>
    <t>L1.3</t>
  </si>
  <si>
    <t xml:space="preserve"> Electrical Resistivity -Dipole- Dipole imaging to depth of 20 m. Including site preparation and setting out of survey lines.</t>
  </si>
  <si>
    <t>L1.4</t>
  </si>
  <si>
    <t>Ground Penetrating Radar profiling and production of 2D and 3D radar maps. Including site preparation and setting out of survey lines.</t>
  </si>
  <si>
    <t>L1.5</t>
  </si>
  <si>
    <t>Borehole Logging -Natural Gamma Ray log -NGAM (per meter) of existing monitoring well and /or investigation borehole, minimum 50mm diamater hole.</t>
  </si>
  <si>
    <t>L1.6</t>
  </si>
  <si>
    <t>Borehole Logging - Electrical log -ELOG (per meter) of existing monitoring well and /or investigation borehole, minimum 50mm diamater hole.</t>
  </si>
  <si>
    <t>L2</t>
  </si>
  <si>
    <t>Data Processing, Interpretation/Computer Modeling</t>
  </si>
  <si>
    <t>L2.1</t>
  </si>
  <si>
    <t xml:space="preserve">Computer processing and 2-D inversion of resistivity data for 2D and 3D imaging of the subsurface     </t>
  </si>
  <si>
    <t>L2.2</t>
  </si>
  <si>
    <t>Geophysical 3D Evaluation and modeling of shallow subsurface of the study area. Integration of the data towards understanding of the emplacement of the possible oil pollution plum. Volumetric estimation of volume of soils and water contaminated</t>
  </si>
  <si>
    <t>L3</t>
  </si>
  <si>
    <t>Report Writing and Production</t>
  </si>
  <si>
    <t>L3.1</t>
  </si>
  <si>
    <t xml:space="preserve">Preparation of diagrams, report writing and production.  1 e-copy and 1 paper copy per site.                                               </t>
  </si>
  <si>
    <t>SECTION L SUBTOTAL</t>
  </si>
  <si>
    <t>Section M</t>
  </si>
  <si>
    <t>Remediation Design, Supervision and Reporting</t>
  </si>
  <si>
    <t>M1</t>
  </si>
  <si>
    <t>Design</t>
  </si>
  <si>
    <t>M1.1</t>
  </si>
  <si>
    <t>Prepare soil remediation technology selection, scoping and design report including Contractor bill of quantities and execution schedule using  Primevera or equivalent planning software based on site assessment reports and laboratory analysis. Inclusive of all profit and overhead. Review of tier 1 and tier 2 geo-environmental assessment report, scope, sheduling, verification plan and  all relevant groundwater analysis. Approved RAP (to be approved by vendors Subject matter expert). Approved RAP to be issued within 32 calendar days after PO is issued.</t>
  </si>
  <si>
    <t>M1.2</t>
  </si>
  <si>
    <t>Prepare groundwater remediation technology selection, scoping and design report including Contractor bill of quantities and execution schedule using  Primevera or equivalent planning software based on site assessment reports and laboratory analysis. Inclusive of all profit and overhead. Review of tier 1 and tier 2 geo-environmental assessment report, scope, sheduling, verification plan and  all relevant groundwater analysis. Approved RAP (to be approved by vendors Subject matter expert). Approved RAP to be issued within 32 calendar days after PO is issued.</t>
  </si>
  <si>
    <t>M2</t>
  </si>
  <si>
    <t>As Built Drawings</t>
  </si>
  <si>
    <t>M2.1</t>
  </si>
  <si>
    <t>Prepare as built survey drawing of remediation site as required for record keeping purposes, including key site features, remediation area and depth, sampling &amp; well locations, all georeferenced to SPDC datum. For site not exceeding 1Ha. Inclusive of all overhead and profit.</t>
  </si>
  <si>
    <t>M2.2</t>
  </si>
  <si>
    <t>M2.3</t>
  </si>
  <si>
    <t>M2.4</t>
  </si>
  <si>
    <t>M2.5</t>
  </si>
  <si>
    <t>M2.6</t>
  </si>
  <si>
    <t>M2.7</t>
  </si>
  <si>
    <t>M2.8</t>
  </si>
  <si>
    <t>SECTION M SUBTOTAL</t>
  </si>
  <si>
    <t>Section N</t>
  </si>
  <si>
    <t>Project Management</t>
  </si>
  <si>
    <t>N1</t>
  </si>
  <si>
    <t>Provision of overall project management services for portfolio of assigned sites. Project management to cover all activities in call off contract between assessment up to and including remediation reporting, inclusive of management and co-ordination of activities, monthly site reporting, Client liaison, Contractor Management including verification of Contractor invoices and budget reporting and control. Inclusive of all logistics, overhead and profit.</t>
  </si>
  <si>
    <t>N2</t>
  </si>
  <si>
    <t>Manpower Support - SPDC Based</t>
  </si>
  <si>
    <t>N2.1</t>
  </si>
  <si>
    <t xml:space="preserve">Re-imbursable for Provision of Professional/Licence Surveyor (Supervisor Level) 6 years+ experience.  </t>
  </si>
  <si>
    <t>Monthly</t>
  </si>
  <si>
    <t>N2.2</t>
  </si>
  <si>
    <t xml:space="preserve">Re-imbursable for Provision of Professional/licenced Surveyor. 4years+ experience.  </t>
  </si>
  <si>
    <t>N2.3</t>
  </si>
  <si>
    <t xml:space="preserve">Re-imbursable for Provision of  Principal Business Support Accountant / Contract Management Support 8 years+ experience. </t>
  </si>
  <si>
    <t>N2.4</t>
  </si>
  <si>
    <t xml:space="preserve">Re-imbursable for Provision of  Senior Business Support Accountant / Contract Management Support 6 years+ experience.  </t>
  </si>
  <si>
    <t>N2.5</t>
  </si>
  <si>
    <t xml:space="preserve">Re-imbursable for Provision of Business Support Accountant / Contract Management Support 4years+ experience.  </t>
  </si>
  <si>
    <t>N2.6</t>
  </si>
  <si>
    <t xml:space="preserve">Re-imbursable for Provision of Principal Planner with PMP certification and 8yrs+ experience in Project Management and Planning. </t>
  </si>
  <si>
    <t>N2.7</t>
  </si>
  <si>
    <t xml:space="preserve">Re-imbursable for Provision of Senior Planner 6yrs+ experience in Project Management and Planning. </t>
  </si>
  <si>
    <t>N2.8</t>
  </si>
  <si>
    <t xml:space="preserve">Re-imbursable for Provision of Planner with 4yrs+ experience in Project Management and Planning. </t>
  </si>
  <si>
    <t>N2.9</t>
  </si>
  <si>
    <t xml:space="preserve">Re-imbursable for Provision of Senior Equipment Maintenance Technician  4years+ experience. </t>
  </si>
  <si>
    <t>N2.10</t>
  </si>
  <si>
    <t xml:space="preserve">Re-imbursable for Provision of Equipment Maintenance Technician 1 year+ experience. </t>
  </si>
  <si>
    <t>N2.11</t>
  </si>
  <si>
    <t xml:space="preserve">Re-imbursable for Provision of Data and Document Coordinator 10yrs+ experience in Data &amp; Document Management.  </t>
  </si>
  <si>
    <t>N2.12</t>
  </si>
  <si>
    <t xml:space="preserve">Re-imbursable for Provision of Data and Document Principal Supervisor, 8yrs+ experience in Data &amp; Document Management.  </t>
  </si>
  <si>
    <t>N2.13</t>
  </si>
  <si>
    <t xml:space="preserve">Re-imbursable for Provision of Data and Document Senior Supervisor, 6yrs+ experience in Data &amp; Document Management. </t>
  </si>
  <si>
    <t>N2.14</t>
  </si>
  <si>
    <t xml:space="preserve">Re-imbursable for Provision of Data and Document Management Supervisor, 4yrs+ experience.   </t>
  </si>
  <si>
    <t>N2.15</t>
  </si>
  <si>
    <t>Re-imbursable for Provision of Oil Spill Response and Remediation Coordinator, 10yrs+ experience in oil spill, soil and groundwater management and/or EIA, Post graduate degree in relevant engineering/scientific discipline.</t>
  </si>
  <si>
    <t>N2.16</t>
  </si>
  <si>
    <t xml:space="preserve">Re-imbursable for Provision of Principal Oil spill response and remediation Supervisor, 8yrs+ experience in oil spill, soil and groundwater management and/or EIA, Post graduate degree in relevant engineering/scientific discipline. </t>
  </si>
  <si>
    <t>N2.17</t>
  </si>
  <si>
    <t xml:space="preserve">Re-imbursable for Provision of Senior Oil spill response and remediation Field Supervisor, 4yrs+ experience in soil and groundwater management and/or EIA, with relevant Honours degree in engineering/scientific discipline. </t>
  </si>
  <si>
    <t>N2.18</t>
  </si>
  <si>
    <t xml:space="preserve">Re-imbursable for Provision of Supervisor, oil spill response and remediation graduate engineer/scientist with 4yrs+ experience in soil and groundwater management and/or EIA, with relevant Honours degree in engineering/scientific discipline. </t>
  </si>
  <si>
    <t>N2.19</t>
  </si>
  <si>
    <t xml:space="preserve">Re-imbursable of Provision of Senior Responder, oil spill response and remediation graduate engineer/scientist with 4yrs+ experience in soil and groundwater management and/or EIA, with relevant Honours degree in engineering/scientific discipline. </t>
  </si>
  <si>
    <t>N2.20</t>
  </si>
  <si>
    <t xml:space="preserve">Re-imbursable of Provision of Responder, oil spill response and remediation graduate engineer/scientist with 1yrs+ experience in soil and groundwater management and/or EIA, with relevant Honours degree in engineering/scientific discipline. </t>
  </si>
  <si>
    <t>N2.21</t>
  </si>
  <si>
    <t>Mark-up for Provision of Personnel Services. Cost to include statutory provisions as pension, HMO GLA, NSITF, ITF, WHT+NCD, Coc, and Profit.</t>
  </si>
  <si>
    <t>%</t>
  </si>
  <si>
    <t>N2.22</t>
  </si>
  <si>
    <t>Fatigue allowance for Difficult terrain (remote location with daily trekking above 2km) maximum of 14 days out of station. N2,500 PER DAY</t>
  </si>
  <si>
    <t>day</t>
  </si>
  <si>
    <t>N2.24</t>
  </si>
  <si>
    <t>Fatique allowance for Normal terrain (remote locations with upto 2km daily trek). Maximum duration of 14 days with N1,500 PER DAY</t>
  </si>
  <si>
    <t>N2.25</t>
  </si>
  <si>
    <t xml:space="preserve">Mark-up for Fatigue allowance </t>
  </si>
  <si>
    <t>15%</t>
  </si>
  <si>
    <t>N2.26</t>
  </si>
  <si>
    <t>Provision of office space (2mX2m), ergonomic table/seats, network connectivity and access control.</t>
  </si>
  <si>
    <t>SECTION N SUBTOTAL</t>
  </si>
  <si>
    <t>Section O</t>
  </si>
  <si>
    <t>O1</t>
  </si>
  <si>
    <t>Reimbursable for Provision of Training for Oil Spill Response and Remediation including HSE, project management etc.</t>
  </si>
  <si>
    <t>Lot</t>
  </si>
  <si>
    <t>O2</t>
  </si>
  <si>
    <t>Markup for or Provision of Training for Oil Spill Response and Remediation including HSE, project management etc.</t>
  </si>
  <si>
    <t>O3</t>
  </si>
  <si>
    <t>Ground Water Remediation Training including field exposure to an actual site location including logistics and overhead.</t>
  </si>
  <si>
    <t>O4</t>
  </si>
  <si>
    <t>NEBOSH IGCE training and certification in Nigeria including lunch, training materials and overhead.</t>
  </si>
  <si>
    <t>O5</t>
  </si>
  <si>
    <t>Helicopter Underwater Training Escape (HUET)</t>
  </si>
  <si>
    <t>O6</t>
  </si>
  <si>
    <t>Non-Intrusive Geophysical Training or equivalent technology  to include lunch and training materials and overhead.</t>
  </si>
  <si>
    <t>O7</t>
  </si>
  <si>
    <t>Projects Management Professional class room training and certification including cost materials, lunch and overhead.</t>
  </si>
  <si>
    <t>SECTION O SUBTOTAL</t>
  </si>
  <si>
    <t>Section P</t>
  </si>
  <si>
    <t>P1</t>
  </si>
  <si>
    <t>MANPOWER SUPPORT - CONTRACTOR BASED</t>
  </si>
  <si>
    <t>P1.1</t>
  </si>
  <si>
    <t>Provide Technical Site Supervisor  for Oil Spill Response, Geo-environmental Assessment or Soil and Groundwater Remediation using  PTW competent Environmental Scientist 10yrs+ experience with degree in relevant engineering/scientific discipline and project managment experience as advantage.  Cost shall include  phone, email communication and PPEs.</t>
  </si>
  <si>
    <t>Day</t>
  </si>
  <si>
    <t>P1.2</t>
  </si>
  <si>
    <t>Provide Technical Site Supervisor  for Oil Spill Response, Geo-environmental Assessment or Soil and Groundwater Remediation using  PTW competent Environmental Scientist 8yrs+ experience with degree in relevant engineering/scientific discipline and project managment experience as advantage.   Cost shall include  phone, email communication and PPEs.</t>
  </si>
  <si>
    <t>P1.3</t>
  </si>
  <si>
    <t>Provide Technical Site Supervisor  for Oil Spill Response, Geo-environmental Assessment or Soil and Groundwater Remediation using  PTW competent Environmental Scientist 6yrs+ experience with degree in relevant engineering/scientific discipline and project managment experience as advantage.   Cost shall include  phone, email communication and PPEs.</t>
  </si>
  <si>
    <t>P1.4</t>
  </si>
  <si>
    <t>Provide Technical Site Supervisor  for Oil Spill Response, Geo-environmental Assessment or Soil and Groundwater Remediation using  PTW competent Environmental Scientist 4yrs+ experience with degree in relevant engineering/scientific discipline and project managment experience as advantage.   Cost shall include  phone, email communication and PPEs.</t>
  </si>
  <si>
    <t>P1.5</t>
  </si>
  <si>
    <t>Provide Technical Site Supervisor  for Oil Spill Response, Geo-environmental Assessment or Soil and Groundwater Remediation using  PTW competent Environmental Scientist 2yrs+ experience with degree in relevant engineering/scientific discipline and project managment experience as advantage.   Cost shall include  phone, email communication and PPEs.</t>
  </si>
  <si>
    <t>P1.6</t>
  </si>
  <si>
    <t xml:space="preserve">Provision of Professional/licenced Surveyor 6 years+ experience.  Cost shall include  phone and email communication, PPE, personnel cost including medical, pension and all overheads. </t>
  </si>
  <si>
    <t>P1.7</t>
  </si>
  <si>
    <t>Mark-up for Provision of Personnel Support Services (day rates). Cost to include statutory provisions as pension, HMO GLA, NSITF, ITF, WHT+NCD, Coc, and Profit.</t>
  </si>
  <si>
    <t>32%</t>
  </si>
  <si>
    <t>P2</t>
  </si>
  <si>
    <t>P2.1</t>
  </si>
  <si>
    <t>Provision of labour support for DIY activities</t>
  </si>
  <si>
    <t>P2.2</t>
  </si>
  <si>
    <t>Drilling of Auger hole and sample collection (retention samples only)</t>
  </si>
  <si>
    <t>Per hole</t>
  </si>
  <si>
    <t>P2.3</t>
  </si>
  <si>
    <t>Provision of Full board accomodation in SPDC approved hotels</t>
  </si>
  <si>
    <t>P2.4</t>
  </si>
  <si>
    <t>Provision of premobbed diesel driven 4X4 truck (e.g. Hilux pick-up) and driver for transportation of personnel (per day)</t>
  </si>
  <si>
    <t>P2.5</t>
  </si>
  <si>
    <t>Provision of premobbed Mini bus (minimum of 10 pax) and driver for transportation of personnel to locations (per day)</t>
  </si>
  <si>
    <t>P2.6</t>
  </si>
  <si>
    <t>Provision of premobbed diesel powered crew boat (personnel carrier for 8 persons) for movement of personnel to locations East and West</t>
  </si>
  <si>
    <t>P2.7</t>
  </si>
  <si>
    <t>Provision of intrinsically safe Geo reference device with camera function (e.g Getac)</t>
  </si>
  <si>
    <t>P2.8</t>
  </si>
  <si>
    <t>Re-imbursable rate for provision of IT Equipment, consumables and work tools based on approved cost</t>
  </si>
  <si>
    <t>No.</t>
  </si>
  <si>
    <t>P2.9</t>
  </si>
  <si>
    <t>Mark up rate for provision of IT Equipment, consumables and work tools based on approved cost</t>
  </si>
  <si>
    <t>P2.10</t>
  </si>
  <si>
    <t>Officers allowance (one person)</t>
  </si>
  <si>
    <t>P2.11</t>
  </si>
  <si>
    <t>Rank and file (min of 4 person) per trip</t>
  </si>
  <si>
    <t>P2.12</t>
  </si>
  <si>
    <t>Catering (lunch/dinner)</t>
  </si>
  <si>
    <t xml:space="preserve">Meal </t>
  </si>
  <si>
    <t>P2.13</t>
  </si>
  <si>
    <t>Patrol boat (intensive escort)</t>
  </si>
  <si>
    <t>P2.14</t>
  </si>
  <si>
    <t>Vehicle (brand new and fitted with back cabin, siren/amber light and VHF base station (All inclusive-vehicle, fuel, etc)</t>
  </si>
  <si>
    <t>P2.15</t>
  </si>
  <si>
    <t>GSA vehicle 4x4 vehicle (all-inclusive of fuel, driver, etc)</t>
  </si>
  <si>
    <t>P2.16</t>
  </si>
  <si>
    <t>Escort MPV (for a pair - all-inclusive rate)</t>
  </si>
  <si>
    <t>P2.17</t>
  </si>
  <si>
    <t xml:space="preserve">Provision of 25L Insulated cooler box for Samples </t>
  </si>
  <si>
    <t>P2.18</t>
  </si>
  <si>
    <t>Provision of lab coats of various sizes for SPDC</t>
  </si>
  <si>
    <t>Each</t>
  </si>
  <si>
    <t>P2.19</t>
  </si>
  <si>
    <t>Provision of 50ml soil sample amber bottles for sampling  by SPDC (100 pack)</t>
  </si>
  <si>
    <t>P2.20</t>
  </si>
  <si>
    <t>Provision of 250ml soil sample amber bottles for sampling  by SPDC (50 pack)</t>
  </si>
  <si>
    <t>P2.21</t>
  </si>
  <si>
    <t>Provision of latex handgloves for SPDC (10 packs)</t>
  </si>
  <si>
    <t>P2.22</t>
  </si>
  <si>
    <t>Provision of Basic Site Office Facility for SPDC directly-supervised sit/DIY (1 canopy/tent, 2 tables, 10 plastic chairs)</t>
  </si>
  <si>
    <t>P2.23</t>
  </si>
  <si>
    <t>SECTION P SUBTOTAL</t>
  </si>
  <si>
    <t xml:space="preserve">TOTAL  VALUE </t>
  </si>
  <si>
    <t>SUMMARY</t>
  </si>
  <si>
    <t>RISK ASSESSMENT &amp; REPORT WRITING</t>
  </si>
  <si>
    <t>BOREHOLE DRILLING</t>
  </si>
  <si>
    <t>SAMPLING FROM BOREHOLES AND MONITORING WELLS</t>
  </si>
  <si>
    <t>IN SITU TESTING</t>
  </si>
  <si>
    <t>MONITORING WELL INSTALL AND DEVELOPMENT</t>
  </si>
  <si>
    <t>SOIL CLASSIFICATION TESTING</t>
  </si>
  <si>
    <t xml:space="preserve">CHEMICAL TESTING </t>
  </si>
  <si>
    <t>NON-INTRUSIVE GEOPHYSICAL TESTING</t>
  </si>
  <si>
    <t>REMEDIATION DESIGN, SUPERVISION AND REPORTING</t>
  </si>
  <si>
    <t>PROJECT MANAGEMENT</t>
  </si>
  <si>
    <t>APPROVALS</t>
  </si>
  <si>
    <t>FOR NAPIMS</t>
  </si>
  <si>
    <t>FOR SPDC</t>
  </si>
  <si>
    <t>NAME:</t>
  </si>
  <si>
    <t>SIGNATURE:</t>
  </si>
  <si>
    <t>DATE:</t>
  </si>
  <si>
    <t>Provision of 1 room 20ft Caravan Site Office with 1 toilet facilty; 1 airconditioner, 6 chairs and 1 refridgerator</t>
  </si>
  <si>
    <t xml:space="preserve">CONSULTANCY SUPPORT FOR OIL SPILL RESPONSE AND REMEDIATION - PART C </t>
  </si>
  <si>
    <t>Item</t>
  </si>
  <si>
    <t>Description</t>
  </si>
  <si>
    <t>Unit of Measure</t>
  </si>
  <si>
    <t>Unit (US$)</t>
  </si>
  <si>
    <t>Unit (Naira)</t>
  </si>
  <si>
    <t>Qty</t>
  </si>
  <si>
    <t>USD</t>
  </si>
  <si>
    <t>Naira</t>
  </si>
  <si>
    <t>FUSD</t>
  </si>
  <si>
    <t>Site Visit and Soil Sampling as defined in the Procedure, to include as a minimum: shallow (2.0m depth) soil lateral and vertical delineation sampling using approved containers and dispatch to laboratory. Including all required surveying and photography and inclusive of all transport, profits and overhead on a SPDC spill site not exceeding (10000m2) 1Ha in area. Location on land or swamp within 100km radius of Shell IA PHC/Warri.</t>
  </si>
  <si>
    <t>A3</t>
  </si>
  <si>
    <t>As item A1 but between 5Ha and 50Ha</t>
  </si>
  <si>
    <t>Section B</t>
  </si>
  <si>
    <t>Prepare report for Detailed Vertical and Delineation including Groundwater Investigation including Tier 1 Groundwater Risk Assessment, in accordance with Procedure (1 e-copy and 3 paper copies). Inclusive of all overhead and profit. Impacted Site Area not exceeding 10 Ha (100,000m2)</t>
  </si>
  <si>
    <t>Prepare report for Tier 2 Groundwater Risk Assessment, in accordance with Specification (1 e-copy and 3 papercopies). Inclusive of all overhead and profit. Impacted Site Area not exceeding 10 Ha (100,000m2)</t>
  </si>
  <si>
    <t>B3</t>
  </si>
  <si>
    <t>Determination of risk to human health from soil and ground water contamination using software modelling packages CLEA UK (Version 1.06 beta) and RBCA Toolkit. Impacted Site Area not exceeding 10 Ha (100,000m2)</t>
  </si>
  <si>
    <t>B4</t>
  </si>
  <si>
    <t xml:space="preserve">Determination of risk to controlled surface waters from soil and ground water contamination using RTM assessment methodology and RAM software. Impacted Site Area not exceeding 10 Ha (100,000m2) </t>
  </si>
  <si>
    <t>B5</t>
  </si>
  <si>
    <t>Groundwater Modelling using VISTAS to model fate and transport of contaminant for detailed remediation design purposes. Impacted Site Area not exceeding 10 Ha (100,000m2)</t>
  </si>
  <si>
    <t>Section C</t>
  </si>
  <si>
    <t>Mobilisation &amp; demobilisation of all drilling equipment and personnel to site in land or swamp area within radius of 100km of Shell IA PHC/Warri, inc of all overhead and profit.</t>
  </si>
  <si>
    <t>Set up and drilling of borehole minimum 150mm diameter to depth upto 10m below ground level.Inclusive of all profit and overhead.</t>
  </si>
  <si>
    <t>C3</t>
  </si>
  <si>
    <t>As item C2 but depth of 10m to 20m bgl</t>
  </si>
  <si>
    <t>C4</t>
  </si>
  <si>
    <t>As item C3 but depth of 20m to 40m bgl</t>
  </si>
  <si>
    <t>C5</t>
  </si>
  <si>
    <t>Determine GPS Co-ordinates of borehole location and measure by surveying accurate ground level to +/-0.01m.</t>
  </si>
  <si>
    <t>D</t>
  </si>
  <si>
    <t>D3</t>
  </si>
  <si>
    <t>D4</t>
  </si>
  <si>
    <t>Collection groundwater sample from monitoring well including water level measurement and purging 3 well volumes prior to sampling</t>
  </si>
  <si>
    <t>Carry out permeability test in borehole</t>
  </si>
  <si>
    <t>Section F</t>
  </si>
  <si>
    <t>Install Groundwater Monitoring Well in accordance with Contract Specification. Minimum diameter 50mm, with graded filter pack over screen section, 1.0m thick bentonite seal. Cement/bentonite grout backfill. Screen section to be 3.0m in length (unless otherwise instructed). To a total depth of up to 10m below ground level (bgl).</t>
  </si>
  <si>
    <t>Development of borehole, involving back-washing and surging to remove fines from screen slots for optimum aquifer performance using suitable air compressor.</t>
  </si>
  <si>
    <t>Install lockable protective steel cover (strong padlock) in concrete surround (raised 0.5m above ground level)</t>
  </si>
  <si>
    <t>Classification Soil Testing</t>
  </si>
  <si>
    <t>G1.1</t>
  </si>
  <si>
    <t>G1.2</t>
  </si>
  <si>
    <t>G1.3</t>
  </si>
  <si>
    <t>G1.4</t>
  </si>
  <si>
    <t>G2.1</t>
  </si>
  <si>
    <t>G2.2</t>
  </si>
  <si>
    <t>G2.3</t>
  </si>
  <si>
    <t>G3.1</t>
  </si>
  <si>
    <t>G3.2</t>
  </si>
  <si>
    <t>H</t>
  </si>
  <si>
    <t>Chemical Testing</t>
  </si>
  <si>
    <t>H1.1</t>
  </si>
  <si>
    <t>Heavy Metals (Arsenic , Barium, Cadmium, Chromium,Cobalt, Copper Mercury, Lead, Nickel, Zinc)</t>
  </si>
  <si>
    <t>H2.1</t>
  </si>
  <si>
    <t>H3.1</t>
  </si>
  <si>
    <t>H4</t>
  </si>
  <si>
    <t>H4.1</t>
  </si>
  <si>
    <t>H4.2</t>
  </si>
  <si>
    <t>H5</t>
  </si>
  <si>
    <t>H5.1</t>
  </si>
  <si>
    <t>H5.2</t>
  </si>
  <si>
    <t>H5.3</t>
  </si>
  <si>
    <t>H5.4</t>
  </si>
  <si>
    <t>H6</t>
  </si>
  <si>
    <t>H6.1</t>
  </si>
  <si>
    <t>H7</t>
  </si>
  <si>
    <t>H7.1</t>
  </si>
  <si>
    <t>H8</t>
  </si>
  <si>
    <t>H8.1</t>
  </si>
  <si>
    <t>H9</t>
  </si>
  <si>
    <t>H9.1</t>
  </si>
  <si>
    <t>H9.2</t>
  </si>
  <si>
    <t>H10</t>
  </si>
  <si>
    <t>H10.1</t>
  </si>
  <si>
    <t>H10.2</t>
  </si>
  <si>
    <t>H10.3</t>
  </si>
  <si>
    <t>H10.4</t>
  </si>
  <si>
    <t>H10.5</t>
  </si>
  <si>
    <t>H11</t>
  </si>
  <si>
    <t>Shipment</t>
  </si>
  <si>
    <t>H11.1</t>
  </si>
  <si>
    <t>Overseas Shipment of samples to UK/EU Accreditted Laboratory for comparative QA/QC analysis. Cost to include all packing and transport logistics costs (not testing).</t>
  </si>
  <si>
    <t>I1.1</t>
  </si>
  <si>
    <t>Mobilisation of all equipment, personnel, staff including PPE, including all overheads and logistics to site located with 100km of Port HarCourt and/or Warri</t>
  </si>
  <si>
    <t>I1.2</t>
  </si>
  <si>
    <t>2D Vertical Electrical Sounding - VES using Wenner and Schlumberger arrays. Including site preparation and setting out of survey lines. To depth of 30m.</t>
  </si>
  <si>
    <t>M</t>
  </si>
  <si>
    <t>I1.3</t>
  </si>
  <si>
    <t>Electrical Resistivity -Dipole- Dipole imaging to depth of 20 m. Including site preparation and setting out of survey lines.</t>
  </si>
  <si>
    <t>I1.4</t>
  </si>
  <si>
    <t>I1.5</t>
  </si>
  <si>
    <t>I1.6</t>
  </si>
  <si>
    <t>I1.7</t>
  </si>
  <si>
    <t>I1.8</t>
  </si>
  <si>
    <t>I1.9</t>
  </si>
  <si>
    <t xml:space="preserve">Preparation of diagrams, report writing and production.  3 copies per site.                                                     </t>
  </si>
  <si>
    <t>J</t>
  </si>
  <si>
    <t>Remediation/Clean up Design, Supervision and Reporting</t>
  </si>
  <si>
    <t>J1</t>
  </si>
  <si>
    <t>Prepare soil and groundwater remediation technology selection, scoping and design report including Contractor bill of quantities for site not exceeding 1Ha in size, based on site assessment reports and laboratory analysis. Inclusive of all profit and overhead.</t>
  </si>
  <si>
    <t>As item I1.1 between 1Ha and 5Ha</t>
  </si>
  <si>
    <t>As item I1.1 between 5Ha and 50Ha</t>
  </si>
  <si>
    <t>Supervision</t>
  </si>
  <si>
    <t>Provide technical supervision and QA/QC services of the soil and groundwater remediation scope of work, to include regular site visits/inspections, verification of work done and keeping of site records, for site not exceeding 1Ha in size. Inclusive of all logistics, accommodation, profit and overheads.</t>
  </si>
  <si>
    <t>As item I2.1between 1Ha and 5Ha</t>
  </si>
  <si>
    <t>As item I2.1 between 5Ha and 50Ha</t>
  </si>
  <si>
    <t>Prepare as built survey drawing of remediation site post certification for record keeping purposes, including key site features, remediation area and depth, sampling &amp; well locations, all georeferenced to SPDC datum. For site not exceeding 1Ha. Inclusive if all overhead and profit.</t>
  </si>
  <si>
    <t>As item I3.1between 1Ha and 5Ha</t>
  </si>
  <si>
    <t>J3.3</t>
  </si>
  <si>
    <t>As item I3.1 between 5Ha and 50Ha</t>
  </si>
  <si>
    <t>J4</t>
  </si>
  <si>
    <t>Remediation Certification and Reporting</t>
  </si>
  <si>
    <t>J4.1</t>
  </si>
  <si>
    <t>Prepare soil and groundwater Remediation close out report including the arrangement and management of certification process with SPDC and Regulatory Bodies. Close out Report provide record of work done by Contractor, close out laboratory test results, as built drawings, summary of risk assessments, Regulator certificates and photographs. Inclusive of all logistics, overhead and profit. (1 ecopy 3 paper copies).</t>
  </si>
  <si>
    <t>K</t>
  </si>
  <si>
    <t>Technical and Project Manpower Support</t>
  </si>
  <si>
    <t>Technical Director/Principal Technical Specialist 25yrs+ experience in soil and groundwater management and/or EIA within and outside Nigeria, Post graduate degree in relevant engineering/scientific discipline.</t>
  </si>
  <si>
    <t>K2.2</t>
  </si>
  <si>
    <t>Principal Environmental Consultant, 15yrs+ experience in soil and groundwater management and/or EIA, Post graduate degree in relevant engineering/scientific discipline.</t>
  </si>
  <si>
    <t>K2.3</t>
  </si>
  <si>
    <t>Senior Environmental Consultant, 10yrs+ experience in soil and groundwater management and/or EIA, Post graduate degree in relevant engineering/scientific discipline.</t>
  </si>
  <si>
    <t>K2.4</t>
  </si>
  <si>
    <t>Senior Remediation Field Supervisor, 5yrs+ experience in soil and groundwater management and/or EIA, with relevant Honours degree in engineering/scientific discipline.</t>
  </si>
  <si>
    <t>K2.5</t>
  </si>
  <si>
    <t>Graduate engineer/scientist with 2yrs+ experience in soil and groundwater management and/or EIA, with relevant Honours degree in engineering/scientific discipline.</t>
  </si>
  <si>
    <t>L</t>
  </si>
  <si>
    <t>Post Certification Env. Impact Assessment</t>
  </si>
  <si>
    <t>Execute field EIA survey of remediated oil spill site to cover social, public health, bio-diversity, waste and general environmental impacts. Including all required surveying and bio-sampling and photography and inclusive of all transport, profits and overhead on a SPDC spill site not exceeding (10000m2) 1Ha in area. Location on land or swamp within 100km radius of Shell IA PHC/Warri.</t>
  </si>
  <si>
    <t>As item L1.1 but between 1Ha and 5Ha</t>
  </si>
  <si>
    <t>As item L1.1 but between 5Ha and 50Ha</t>
  </si>
  <si>
    <t>Post Certification Env. Impact Assessment Report Preparation including all profits and overhead on a SPDC spill site not exceeding (10000m2) 1Ha in area.</t>
  </si>
  <si>
    <t>As item L1.4 but between 1Ha and 5Ha</t>
  </si>
  <si>
    <t>As item L1.4 but between 5Ha and 50Ha</t>
  </si>
  <si>
    <t>HCD Training</t>
  </si>
  <si>
    <t xml:space="preserve">Groundwater Assessment &amp; Remediation Training </t>
  </si>
  <si>
    <t>HR</t>
  </si>
  <si>
    <t>N</t>
  </si>
  <si>
    <t>Research and Development</t>
  </si>
  <si>
    <t>Human Capital Development</t>
  </si>
  <si>
    <t>Variation Scope</t>
  </si>
  <si>
    <t>Provision of community labour support</t>
  </si>
  <si>
    <t>M3</t>
  </si>
  <si>
    <t>Provision of premobbed Mini bus and driver for transportation of personnel to locations (per day)</t>
  </si>
  <si>
    <t>M4</t>
  </si>
  <si>
    <t>Provision of premobbed crew boat (personnel carrier) for movement of personnel to locations East and West</t>
  </si>
  <si>
    <t>M5</t>
  </si>
  <si>
    <t>Provision of Geo reference device with camera function (e.g Getac)</t>
  </si>
  <si>
    <t>LoT</t>
  </si>
  <si>
    <t>M6</t>
  </si>
  <si>
    <t>                          -  </t>
  </si>
  <si>
    <t>M7</t>
  </si>
  <si>
    <t>M8</t>
  </si>
  <si>
    <t>M9</t>
  </si>
  <si>
    <t>M10</t>
  </si>
  <si>
    <t>Catering (lunch)</t>
  </si>
  <si>
    <t>M11</t>
  </si>
  <si>
    <t>M12</t>
  </si>
  <si>
    <t>M13</t>
  </si>
  <si>
    <t>M14</t>
  </si>
  <si>
    <t>TOTAL VALUE FOR 9 CONTRACTS</t>
  </si>
  <si>
    <t>Competency Development &amp; Training</t>
  </si>
  <si>
    <t>COMPETENCY DEVELOPMENT &amp; TRAINING</t>
  </si>
  <si>
    <t>New scope; company estimate based GMOU rates for borehole installation</t>
  </si>
  <si>
    <t>New scope; benchmarked with existing OSR contract</t>
  </si>
  <si>
    <t>New scope; benchmarked against actual costs of trainings conducted</t>
  </si>
  <si>
    <t>Provision for new scope; benchmarked with OSRR Consultancy Contract (NG01018544) +  (NG01023560 - major project contract)</t>
  </si>
  <si>
    <t>Benchmarked with ORP contract 4610050556 with rate of .33$+NGN900.00</t>
  </si>
  <si>
    <t>Benchmarked with hotel rates at Tropicana and Ayalla</t>
  </si>
  <si>
    <t>Benchmarked with costs on Jumia and Konga</t>
  </si>
  <si>
    <t>Provision for fatigue allowance based on outcome of MFE conducted by GM HSE</t>
  </si>
  <si>
    <t>Market Survey</t>
  </si>
  <si>
    <t>Market survey, cost of REMSCAN, and logistics, value added.</t>
  </si>
  <si>
    <t>Market Survey, cost of rig and mob/demob,  rate used for Ibaa groundwater remediation (novel project).</t>
  </si>
  <si>
    <t>Benchmarked with IPCCC contract.</t>
  </si>
  <si>
    <t>Benchmarked with OSRR Consultancy Contract (NG01018544) for logistics, accommodation, field sampling, etc.</t>
  </si>
  <si>
    <t xml:space="preserve">Benchmarked with OSRR Consultancy Contract (NG01018544) for logistics and cost of services. </t>
  </si>
  <si>
    <t>High Level Scope Description</t>
  </si>
  <si>
    <t>Site Visit And Soil Sampling - Assessment</t>
  </si>
  <si>
    <t>Site Visit And Soil Sampling - Qa/Qc And Verification</t>
  </si>
  <si>
    <t>Site Visit And Soil Sampling - Certification With Regulators</t>
  </si>
  <si>
    <t>Installation Of Portable Water Borehole And Facilities</t>
  </si>
  <si>
    <t>Sampling From Boreholes And Monitoring Wells</t>
  </si>
  <si>
    <t>In Situ Testing</t>
  </si>
  <si>
    <t>Monitoring Well Install And Development</t>
  </si>
  <si>
    <t>Remediation Design, Supervision And Reporting</t>
  </si>
  <si>
    <t>Others</t>
  </si>
  <si>
    <t>ADHOC TECHNICAL EXPERTISE CALL-OFF</t>
  </si>
  <si>
    <t>Adhoc Technical Expertise Call-Off</t>
  </si>
  <si>
    <t>Total (NGN)</t>
  </si>
  <si>
    <t>Total (USD)</t>
  </si>
  <si>
    <t>Total (F$)</t>
  </si>
  <si>
    <t>TOTAL</t>
  </si>
  <si>
    <t>NEW CONTRACT RATES</t>
  </si>
  <si>
    <t>OLD CONTRACT RATES</t>
  </si>
  <si>
    <t xml:space="preserve"> NEW CONTRACT RATES</t>
  </si>
  <si>
    <t>Summation of items with higher rates compared to old Contract</t>
  </si>
  <si>
    <t>Summation of items with lower rates compared to the old Contract</t>
  </si>
  <si>
    <t>POTENTIAL SAVINGS</t>
  </si>
  <si>
    <t>NAIRA412.20 PER 1 US DOLLAR</t>
  </si>
  <si>
    <t>.95mln</t>
  </si>
  <si>
    <t>days</t>
  </si>
  <si>
    <t>Total F$ @412.2</t>
  </si>
  <si>
    <t>Total (F$)  @412.2</t>
  </si>
  <si>
    <t>HIGH LEVEL SCOPE DESCRIPTION</t>
  </si>
  <si>
    <t>Potential Savings F$</t>
  </si>
  <si>
    <t>Exchange rate: $1 = NGN 412.2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</si>
</sst>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_);_(* \(#,##0\);_(* &quot;-&quot;??_);_(@_)"/>
    <numFmt numFmtId="166" formatCode="_(* #,##0.0000_);_(* \(#,##0.0000\);_(*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8"/>
      <color theme="1"/>
      <name val="Cambria"/>
      <family val="1"/>
    </font>
    <font>
      <b/>
      <sz val="8"/>
      <name val="Calibri"/>
      <family val="2"/>
      <scheme val="minor"/>
    </font>
    <font>
      <b/>
      <sz val="8"/>
      <name val="Cambria"/>
      <family val="1"/>
    </font>
    <font>
      <b/>
      <sz val="9"/>
      <name val="Calibri"/>
      <family val="2"/>
      <scheme val="minor"/>
    </font>
    <font>
      <b/>
      <sz val="9"/>
      <name val="Calibri"/>
      <family val="2"/>
    </font>
    <font>
      <sz val="9"/>
      <color theme="1"/>
      <name val="Cambria"/>
      <family val="1"/>
    </font>
    <font>
      <b/>
      <sz val="8"/>
      <color rgb="FFFF0000"/>
      <name val="Calibri"/>
      <family val="2"/>
      <scheme val="minor"/>
    </font>
    <font>
      <b/>
      <sz val="8"/>
      <color theme="1"/>
      <name val="Cambria"/>
      <family val="1"/>
    </font>
    <font>
      <b/>
      <sz val="8"/>
      <color rgb="FFFF0000"/>
      <name val="Cambria"/>
      <family val="1"/>
    </font>
    <font>
      <sz val="8"/>
      <color theme="1"/>
      <name val="Calibri"/>
      <family val="2"/>
      <scheme val="minor"/>
    </font>
    <font>
      <sz val="8"/>
      <name val="Calibri"/>
      <family val="2"/>
      <scheme val="minor"/>
    </font>
    <font>
      <sz val="8"/>
      <color rgb="FFFF0000"/>
      <name val="Calibri"/>
      <family val="2"/>
      <scheme val="minor"/>
    </font>
    <font>
      <b/>
      <sz val="8"/>
      <color rgb="FF000000"/>
      <name val="Calibri"/>
      <family val="2"/>
      <scheme val="minor"/>
    </font>
    <font>
      <strike/>
      <sz val="8"/>
      <color theme="1"/>
      <name val="Calibri"/>
      <family val="2"/>
      <scheme val="minor"/>
    </font>
    <font>
      <sz val="10"/>
      <name val="Arial"/>
      <family val="2"/>
    </font>
    <font>
      <sz val="8"/>
      <color rgb="FF000000"/>
      <name val="Calibri"/>
      <family val="2"/>
      <scheme val="minor"/>
    </font>
    <font>
      <sz val="8"/>
      <color rgb="FF000000"/>
      <name val="Cambria"/>
      <family val="1"/>
    </font>
    <font>
      <b/>
      <sz val="9"/>
      <color theme="1"/>
      <name val="Calibri"/>
      <family val="2"/>
      <scheme val="minor"/>
    </font>
    <font>
      <i/>
      <sz val="8"/>
      <color theme="1"/>
      <name val="Calibri"/>
      <family val="2"/>
      <scheme val="minor"/>
    </font>
    <font>
      <b/>
      <sz val="10"/>
      <name val="Calibri"/>
      <family val="2"/>
    </font>
    <font>
      <b/>
      <sz val="10"/>
      <color theme="1"/>
      <name val="Cambria"/>
      <family val="1"/>
    </font>
    <font>
      <sz val="8"/>
      <color rgb="FFFF0000"/>
      <name val="Cambria"/>
      <family val="1"/>
    </font>
    <font>
      <b/>
      <sz val="12"/>
      <color theme="1"/>
      <name val="Calibri"/>
      <family val="2"/>
      <scheme val="minor"/>
    </font>
    <font>
      <sz val="10"/>
      <color rgb="FF000000"/>
      <name val="Calibri"/>
      <family val="2"/>
    </font>
    <font>
      <b/>
      <sz val="10"/>
      <color rgb="FF000000"/>
      <name val="Calibri"/>
      <family val="2"/>
    </font>
    <font>
      <b/>
      <sz val="9"/>
      <color indexed="81"/>
      <name val="Tahoma"/>
      <family val="2"/>
    </font>
    <font>
      <sz val="9"/>
      <color indexed="81"/>
      <name val="Tahoma"/>
      <family val="2"/>
    </font>
    <font>
      <b/>
      <sz val="11"/>
      <color rgb="FF0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D9D9D9"/>
        <bgColor indexed="64"/>
      </patternFill>
    </fill>
    <fill>
      <patternFill patternType="solid">
        <fgColor theme="8"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tint="0.39997558519241921"/>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bottom/>
      <diagonal/>
    </border>
    <border>
      <left style="thin">
        <color indexed="64"/>
      </left>
      <right/>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8" fillId="0" borderId="0"/>
    <xf numFmtId="43" fontId="1" fillId="0" borderId="0" applyFont="0" applyFill="0" applyBorder="0" applyAlignment="0" applyProtection="0"/>
    <xf numFmtId="164" fontId="1" fillId="0" borderId="0" applyFont="0" applyFill="0" applyBorder="0" applyAlignment="0" applyProtection="0"/>
  </cellStyleXfs>
  <cellXfs count="525">
    <xf numFmtId="0" fontId="0" fillId="0" borderId="0" xfId="0"/>
    <xf numFmtId="0" fontId="4" fillId="0" borderId="0" xfId="0" applyFont="1" applyAlignment="1">
      <alignment vertical="center"/>
    </xf>
    <xf numFmtId="0" fontId="5" fillId="2" borderId="2" xfId="0" applyFont="1" applyFill="1" applyBorder="1" applyAlignment="1">
      <alignment horizontal="center" vertical="center"/>
    </xf>
    <xf numFmtId="165" fontId="5" fillId="2" borderId="2" xfId="1" applyNumberFormat="1" applyFont="1" applyFill="1" applyBorder="1" applyAlignment="1">
      <alignment horizontal="center" vertical="center"/>
    </xf>
    <xf numFmtId="2" fontId="5" fillId="2" borderId="2" xfId="0" applyNumberFormat="1" applyFont="1" applyFill="1" applyBorder="1" applyAlignment="1">
      <alignment vertical="center"/>
    </xf>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0" fontId="6" fillId="3" borderId="0" xfId="0" applyFont="1" applyFill="1" applyAlignment="1">
      <alignment vertical="center"/>
    </xf>
    <xf numFmtId="165" fontId="5" fillId="2" borderId="5" xfId="1" applyNumberFormat="1" applyFont="1" applyFill="1" applyBorder="1" applyAlignment="1">
      <alignment horizontal="center" vertical="center"/>
    </xf>
    <xf numFmtId="2" fontId="5" fillId="2" borderId="5" xfId="0" applyNumberFormat="1" applyFont="1" applyFill="1" applyBorder="1" applyAlignment="1">
      <alignment vertical="center"/>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7" fillId="0" borderId="0" xfId="0" applyFont="1" applyAlignment="1">
      <alignment horizontal="left" vertical="center"/>
    </xf>
    <xf numFmtId="165" fontId="7" fillId="0" borderId="0" xfId="1" applyNumberFormat="1" applyFont="1" applyFill="1" applyAlignment="1">
      <alignment horizontal="center" vertical="center"/>
    </xf>
    <xf numFmtId="0" fontId="9" fillId="0" borderId="0" xfId="0" applyFont="1" applyAlignment="1">
      <alignment vertical="center"/>
    </xf>
    <xf numFmtId="0" fontId="5" fillId="5" borderId="10" xfId="0" applyFont="1" applyFill="1" applyBorder="1" applyAlignment="1">
      <alignment horizontal="left" vertical="center" wrapText="1"/>
    </xf>
    <xf numFmtId="0" fontId="5" fillId="5" borderId="11" xfId="0" applyFont="1" applyFill="1" applyBorder="1" applyAlignment="1">
      <alignment horizontal="left" vertical="center" wrapText="1"/>
    </xf>
    <xf numFmtId="0" fontId="5" fillId="5" borderId="11" xfId="0" applyFont="1" applyFill="1" applyBorder="1" applyAlignment="1">
      <alignment horizontal="center" vertical="center" wrapText="1"/>
    </xf>
    <xf numFmtId="165" fontId="3" fillId="5" borderId="12" xfId="1" applyNumberFormat="1" applyFont="1" applyFill="1" applyBorder="1" applyAlignment="1">
      <alignment horizontal="center" vertical="center" wrapText="1"/>
    </xf>
    <xf numFmtId="43" fontId="3" fillId="4" borderId="10" xfId="1" applyFont="1" applyFill="1" applyBorder="1" applyAlignment="1">
      <alignment horizontal="center" vertical="center" wrapText="1"/>
    </xf>
    <xf numFmtId="43" fontId="3" fillId="4" borderId="11" xfId="1" applyFont="1" applyFill="1" applyBorder="1" applyAlignment="1">
      <alignment horizontal="center" vertical="center" wrapText="1"/>
    </xf>
    <xf numFmtId="43" fontId="11" fillId="7" borderId="10" xfId="1" applyFont="1" applyFill="1" applyBorder="1" applyAlignment="1">
      <alignment horizontal="center" vertical="center" wrapText="1"/>
    </xf>
    <xf numFmtId="43" fontId="11" fillId="7" borderId="11" xfId="1" applyFont="1" applyFill="1" applyBorder="1" applyAlignment="1">
      <alignment horizontal="center" vertical="center" wrapText="1"/>
    </xf>
    <xf numFmtId="0" fontId="4" fillId="0" borderId="0" xfId="0" applyFont="1" applyAlignment="1">
      <alignment vertical="center" wrapText="1"/>
    </xf>
    <xf numFmtId="0" fontId="5" fillId="7" borderId="15" xfId="0" applyFont="1" applyFill="1" applyBorder="1" applyAlignment="1">
      <alignment horizontal="center" vertical="center"/>
    </xf>
    <xf numFmtId="165" fontId="13" fillId="0" borderId="16" xfId="1" applyNumberFormat="1" applyFont="1" applyFill="1" applyBorder="1" applyAlignment="1">
      <alignment horizontal="center" vertical="center"/>
    </xf>
    <xf numFmtId="43" fontId="4" fillId="7" borderId="14" xfId="1" applyFont="1" applyFill="1" applyBorder="1" applyAlignment="1">
      <alignment vertical="center"/>
    </xf>
    <xf numFmtId="43" fontId="4" fillId="7" borderId="15" xfId="1" applyFont="1" applyFill="1" applyBorder="1" applyAlignment="1">
      <alignment vertical="center"/>
    </xf>
    <xf numFmtId="0" fontId="5" fillId="7" borderId="20" xfId="0" applyFont="1" applyFill="1" applyBorder="1" applyAlignment="1">
      <alignment horizontal="center" vertical="center"/>
    </xf>
    <xf numFmtId="165" fontId="13" fillId="0" borderId="21" xfId="1" applyNumberFormat="1" applyFont="1" applyFill="1" applyBorder="1" applyAlignment="1">
      <alignment horizontal="center" vertical="center"/>
    </xf>
    <xf numFmtId="43" fontId="13" fillId="4" borderId="10" xfId="1" applyFont="1" applyFill="1" applyBorder="1" applyAlignment="1">
      <alignment vertical="center"/>
    </xf>
    <xf numFmtId="43" fontId="13" fillId="4" borderId="11" xfId="1" applyFont="1" applyFill="1" applyBorder="1" applyAlignment="1">
      <alignment vertical="center"/>
    </xf>
    <xf numFmtId="43" fontId="4" fillId="7" borderId="10" xfId="1" applyFont="1" applyFill="1" applyBorder="1" applyAlignment="1">
      <alignment vertical="center"/>
    </xf>
    <xf numFmtId="43" fontId="4" fillId="7" borderId="11" xfId="1" applyFont="1" applyFill="1" applyBorder="1" applyAlignment="1">
      <alignment vertical="center"/>
    </xf>
    <xf numFmtId="0" fontId="13" fillId="7" borderId="24" xfId="0" applyFont="1" applyFill="1" applyBorder="1" applyAlignment="1">
      <alignment horizontal="left" vertical="center"/>
    </xf>
    <xf numFmtId="0" fontId="14" fillId="0" borderId="25" xfId="0" applyFont="1" applyBorder="1" applyAlignment="1">
      <alignment horizontal="justify" vertical="center" wrapText="1"/>
    </xf>
    <xf numFmtId="0" fontId="13" fillId="7" borderId="25" xfId="0" applyFont="1" applyFill="1" applyBorder="1" applyAlignment="1">
      <alignment horizontal="center" vertical="center"/>
    </xf>
    <xf numFmtId="165" fontId="3" fillId="0" borderId="26" xfId="1" applyNumberFormat="1" applyFont="1" applyFill="1" applyBorder="1" applyAlignment="1">
      <alignment horizontal="center" vertical="center"/>
    </xf>
    <xf numFmtId="43" fontId="13" fillId="4" borderId="24" xfId="1" applyFont="1" applyFill="1" applyBorder="1" applyAlignment="1">
      <alignment vertical="center"/>
    </xf>
    <xf numFmtId="43" fontId="13" fillId="4" borderId="25" xfId="1" applyFont="1" applyFill="1" applyBorder="1" applyAlignment="1">
      <alignment vertical="center"/>
    </xf>
    <xf numFmtId="43" fontId="4" fillId="7" borderId="24" xfId="1" applyFont="1" applyFill="1" applyBorder="1" applyAlignment="1">
      <alignment vertical="center"/>
    </xf>
    <xf numFmtId="43" fontId="4" fillId="7" borderId="25" xfId="1" applyFont="1" applyFill="1" applyBorder="1" applyAlignment="1">
      <alignment vertical="center"/>
    </xf>
    <xf numFmtId="0" fontId="13" fillId="0" borderId="28" xfId="0" applyFont="1" applyBorder="1" applyAlignment="1">
      <alignment horizontal="justify" vertical="center" wrapText="1"/>
    </xf>
    <xf numFmtId="0" fontId="13" fillId="7" borderId="28" xfId="0" applyFont="1" applyFill="1" applyBorder="1" applyAlignment="1">
      <alignment horizontal="center" vertical="center"/>
    </xf>
    <xf numFmtId="165" fontId="3" fillId="0" borderId="29" xfId="1" applyNumberFormat="1" applyFont="1" applyFill="1" applyBorder="1" applyAlignment="1">
      <alignment horizontal="center" vertical="center"/>
    </xf>
    <xf numFmtId="43" fontId="13" fillId="4" borderId="30" xfId="1" applyFont="1" applyFill="1" applyBorder="1" applyAlignment="1">
      <alignment vertical="center"/>
    </xf>
    <xf numFmtId="43" fontId="13" fillId="4" borderId="28" xfId="1" applyFont="1" applyFill="1" applyBorder="1" applyAlignment="1">
      <alignment vertical="center"/>
    </xf>
    <xf numFmtId="43" fontId="4" fillId="7" borderId="30" xfId="1" applyFont="1" applyFill="1" applyBorder="1" applyAlignment="1">
      <alignment vertical="center"/>
    </xf>
    <xf numFmtId="43" fontId="4" fillId="7" borderId="28" xfId="1" applyFont="1" applyFill="1" applyBorder="1" applyAlignment="1">
      <alignment vertical="center"/>
    </xf>
    <xf numFmtId="0" fontId="13" fillId="0" borderId="28" xfId="0" applyFont="1" applyBorder="1" applyAlignment="1">
      <alignment horizontal="justify" vertical="center"/>
    </xf>
    <xf numFmtId="0" fontId="3" fillId="0" borderId="28" xfId="0" applyFont="1" applyBorder="1" applyAlignment="1">
      <alignment horizontal="justify" vertical="center"/>
    </xf>
    <xf numFmtId="0" fontId="13" fillId="0" borderId="30" xfId="0" applyFont="1" applyBorder="1" applyAlignment="1">
      <alignment horizontal="left" vertical="center"/>
    </xf>
    <xf numFmtId="0" fontId="14" fillId="0" borderId="28" xfId="0" applyFont="1" applyBorder="1" applyAlignment="1">
      <alignment horizontal="justify" vertical="center" wrapText="1"/>
    </xf>
    <xf numFmtId="0" fontId="13" fillId="0" borderId="28" xfId="0" applyFont="1" applyBorder="1" applyAlignment="1">
      <alignment horizontal="center" vertical="center"/>
    </xf>
    <xf numFmtId="0" fontId="13" fillId="0" borderId="32" xfId="0" applyFont="1" applyBorder="1" applyAlignment="1">
      <alignment horizontal="left" vertical="center"/>
    </xf>
    <xf numFmtId="0" fontId="13" fillId="0" borderId="33" xfId="0" applyFont="1" applyBorder="1" applyAlignment="1">
      <alignment horizontal="justify" vertical="center"/>
    </xf>
    <xf numFmtId="0" fontId="13" fillId="7" borderId="33" xfId="0" applyFont="1" applyFill="1" applyBorder="1" applyAlignment="1">
      <alignment horizontal="center" vertical="center"/>
    </xf>
    <xf numFmtId="165" fontId="3" fillId="0" borderId="34" xfId="1" applyNumberFormat="1" applyFont="1" applyFill="1" applyBorder="1" applyAlignment="1">
      <alignment horizontal="center" vertical="center"/>
    </xf>
    <xf numFmtId="43" fontId="13" fillId="4" borderId="33" xfId="1" applyFont="1" applyFill="1" applyBorder="1" applyAlignment="1">
      <alignment vertical="center"/>
    </xf>
    <xf numFmtId="43" fontId="4" fillId="7" borderId="32" xfId="1" applyFont="1" applyFill="1" applyBorder="1" applyAlignment="1">
      <alignment vertical="center"/>
    </xf>
    <xf numFmtId="43" fontId="4" fillId="7" borderId="33" xfId="1" applyFont="1" applyFill="1" applyBorder="1" applyAlignment="1">
      <alignment vertical="center"/>
    </xf>
    <xf numFmtId="43" fontId="13" fillId="0" borderId="14" xfId="1" applyFont="1" applyFill="1" applyBorder="1" applyAlignment="1">
      <alignment vertical="center"/>
    </xf>
    <xf numFmtId="43" fontId="13" fillId="0" borderId="15" xfId="1" applyFont="1" applyFill="1" applyBorder="1" applyAlignment="1">
      <alignment vertical="center"/>
    </xf>
    <xf numFmtId="43" fontId="3" fillId="0" borderId="15" xfId="1" applyFont="1" applyFill="1" applyBorder="1" applyAlignment="1">
      <alignment vertical="center"/>
    </xf>
    <xf numFmtId="43" fontId="3" fillId="0" borderId="17" xfId="1" applyFont="1" applyFill="1" applyBorder="1" applyAlignment="1">
      <alignment vertical="center"/>
    </xf>
    <xf numFmtId="43" fontId="3" fillId="0" borderId="14" xfId="1" applyFont="1" applyFill="1" applyBorder="1" applyAlignment="1">
      <alignment vertical="center"/>
    </xf>
    <xf numFmtId="43" fontId="3" fillId="0" borderId="18" xfId="1" applyFont="1" applyFill="1" applyBorder="1" applyAlignment="1">
      <alignment vertical="center"/>
    </xf>
    <xf numFmtId="43" fontId="3" fillId="0" borderId="16" xfId="1" applyFont="1" applyFill="1" applyBorder="1" applyAlignment="1">
      <alignment vertical="center"/>
    </xf>
    <xf numFmtId="0" fontId="3" fillId="0" borderId="35" xfId="0" applyFont="1" applyBorder="1" applyAlignment="1">
      <alignment horizontal="left" vertical="center"/>
    </xf>
    <xf numFmtId="0" fontId="13" fillId="0" borderId="36" xfId="0" applyFont="1" applyBorder="1" applyAlignment="1">
      <alignment horizontal="center" vertical="center"/>
    </xf>
    <xf numFmtId="165" fontId="3" fillId="0" borderId="37" xfId="1" applyNumberFormat="1" applyFont="1" applyFill="1" applyBorder="1" applyAlignment="1">
      <alignment horizontal="center" vertical="center"/>
    </xf>
    <xf numFmtId="43" fontId="13" fillId="0" borderId="36" xfId="1" applyFont="1" applyFill="1" applyBorder="1" applyAlignment="1">
      <alignment vertical="center"/>
    </xf>
    <xf numFmtId="43" fontId="13" fillId="0" borderId="38" xfId="1" applyFont="1" applyFill="1" applyBorder="1" applyAlignment="1">
      <alignment vertical="center"/>
    </xf>
    <xf numFmtId="43" fontId="4" fillId="7" borderId="35" xfId="1" applyFont="1" applyFill="1" applyBorder="1" applyAlignment="1">
      <alignment vertical="center"/>
    </xf>
    <xf numFmtId="43" fontId="4" fillId="7" borderId="36" xfId="1" applyFont="1" applyFill="1" applyBorder="1" applyAlignment="1">
      <alignment vertical="center"/>
    </xf>
    <xf numFmtId="43" fontId="4" fillId="0" borderId="36" xfId="1" applyFont="1" applyFill="1" applyBorder="1" applyAlignment="1">
      <alignment vertical="center"/>
    </xf>
    <xf numFmtId="43" fontId="13" fillId="0" borderId="30" xfId="1" applyFont="1" applyFill="1" applyBorder="1" applyAlignment="1">
      <alignment vertical="center"/>
    </xf>
    <xf numFmtId="43" fontId="13" fillId="0" borderId="28" xfId="1" applyFont="1" applyFill="1" applyBorder="1" applyAlignment="1">
      <alignment vertical="center"/>
    </xf>
    <xf numFmtId="43" fontId="13" fillId="0" borderId="31" xfId="1" applyFont="1" applyFill="1" applyBorder="1" applyAlignment="1">
      <alignment vertical="center"/>
    </xf>
    <xf numFmtId="43" fontId="4" fillId="0" borderId="28" xfId="1" applyFont="1" applyFill="1" applyBorder="1" applyAlignment="1">
      <alignment vertical="center"/>
    </xf>
    <xf numFmtId="0" fontId="13" fillId="7" borderId="30" xfId="0" applyFont="1" applyFill="1" applyBorder="1" applyAlignment="1">
      <alignment horizontal="left" vertical="center"/>
    </xf>
    <xf numFmtId="0" fontId="13" fillId="7" borderId="28" xfId="0" applyFont="1" applyFill="1" applyBorder="1" applyAlignment="1">
      <alignment horizontal="justify" vertical="center"/>
    </xf>
    <xf numFmtId="0" fontId="13" fillId="8" borderId="28" xfId="0" applyFont="1" applyFill="1" applyBorder="1" applyAlignment="1">
      <alignment horizontal="justify" vertical="center"/>
    </xf>
    <xf numFmtId="0" fontId="13" fillId="0" borderId="33" xfId="0" applyFont="1" applyBorder="1" applyAlignment="1">
      <alignment horizontal="center" vertical="center"/>
    </xf>
    <xf numFmtId="0" fontId="15" fillId="0" borderId="36" xfId="0" applyFont="1" applyBorder="1" applyAlignment="1">
      <alignment horizontal="center" vertical="center"/>
    </xf>
    <xf numFmtId="43" fontId="13" fillId="0" borderId="24" xfId="1" applyFont="1" applyFill="1" applyBorder="1" applyAlignment="1">
      <alignment vertical="center"/>
    </xf>
    <xf numFmtId="43" fontId="13" fillId="0" borderId="25" xfId="1" applyFont="1" applyFill="1" applyBorder="1" applyAlignment="1">
      <alignment vertical="center"/>
    </xf>
    <xf numFmtId="43" fontId="13" fillId="0" borderId="27" xfId="1" applyFont="1" applyFill="1" applyBorder="1" applyAlignment="1">
      <alignment vertical="center"/>
    </xf>
    <xf numFmtId="43" fontId="4" fillId="0" borderId="25" xfId="1" applyFont="1" applyFill="1" applyBorder="1" applyAlignment="1">
      <alignment vertical="center"/>
    </xf>
    <xf numFmtId="0" fontId="3" fillId="0" borderId="30" xfId="0" applyFont="1" applyBorder="1" applyAlignment="1">
      <alignment horizontal="left" vertical="center"/>
    </xf>
    <xf numFmtId="0" fontId="15" fillId="0" borderId="28" xfId="0" applyFont="1" applyBorder="1" applyAlignment="1">
      <alignment horizontal="center" vertical="center"/>
    </xf>
    <xf numFmtId="0" fontId="13" fillId="0" borderId="24" xfId="0" applyFont="1" applyBorder="1" applyAlignment="1">
      <alignment horizontal="left" vertical="center"/>
    </xf>
    <xf numFmtId="0" fontId="13" fillId="0" borderId="25" xfId="0" applyFont="1" applyBorder="1" applyAlignment="1">
      <alignment horizontal="center" vertical="center"/>
    </xf>
    <xf numFmtId="0" fontId="3" fillId="0" borderId="24" xfId="0" applyFont="1" applyBorder="1" applyAlignment="1">
      <alignment horizontal="left" vertical="center"/>
    </xf>
    <xf numFmtId="0" fontId="3" fillId="3" borderId="35" xfId="0" applyFont="1" applyFill="1" applyBorder="1" applyAlignment="1">
      <alignment horizontal="left" vertical="center"/>
    </xf>
    <xf numFmtId="0" fontId="3" fillId="3" borderId="36" xfId="0" applyFont="1" applyFill="1" applyBorder="1" applyAlignment="1">
      <alignment horizontal="justify" vertical="center"/>
    </xf>
    <xf numFmtId="0" fontId="3" fillId="0" borderId="24" xfId="0" applyFont="1" applyBorder="1" applyAlignment="1">
      <alignment horizontal="left" vertical="center" wrapText="1"/>
    </xf>
    <xf numFmtId="0" fontId="3" fillId="0" borderId="25" xfId="0" applyFont="1" applyBorder="1" applyAlignment="1">
      <alignment horizontal="center" vertical="center" wrapText="1"/>
    </xf>
    <xf numFmtId="0" fontId="13" fillId="0" borderId="39" xfId="0" applyFont="1" applyBorder="1" applyAlignment="1">
      <alignment horizontal="left" vertical="center"/>
    </xf>
    <xf numFmtId="0" fontId="14" fillId="0" borderId="40" xfId="0" applyFont="1" applyBorder="1" applyAlignment="1">
      <alignment horizontal="justify" vertical="center" wrapText="1"/>
    </xf>
    <xf numFmtId="0" fontId="13" fillId="0" borderId="40" xfId="0" applyFont="1" applyBorder="1" applyAlignment="1">
      <alignment horizontal="center" vertical="center"/>
    </xf>
    <xf numFmtId="165" fontId="3" fillId="0" borderId="41" xfId="1" applyNumberFormat="1" applyFont="1" applyFill="1" applyBorder="1" applyAlignment="1">
      <alignment horizontal="center" vertical="center"/>
    </xf>
    <xf numFmtId="43" fontId="13" fillId="4" borderId="40" xfId="1" applyFont="1" applyFill="1" applyBorder="1" applyAlignment="1">
      <alignment vertical="center"/>
    </xf>
    <xf numFmtId="43" fontId="4" fillId="7" borderId="39" xfId="1" applyFont="1" applyFill="1" applyBorder="1" applyAlignment="1">
      <alignment vertical="center"/>
    </xf>
    <xf numFmtId="43" fontId="4" fillId="0" borderId="40" xfId="1" applyFont="1" applyFill="1" applyBorder="1" applyAlignment="1">
      <alignment vertical="center"/>
    </xf>
    <xf numFmtId="43" fontId="4" fillId="7" borderId="40" xfId="1" applyFont="1" applyFill="1" applyBorder="1" applyAlignment="1">
      <alignment vertical="center"/>
    </xf>
    <xf numFmtId="165" fontId="16" fillId="0" borderId="29" xfId="1" applyNumberFormat="1" applyFont="1" applyFill="1" applyBorder="1" applyAlignment="1">
      <alignment horizontal="center" vertical="center"/>
    </xf>
    <xf numFmtId="165" fontId="16" fillId="0" borderId="34" xfId="1" applyNumberFormat="1" applyFont="1" applyFill="1" applyBorder="1" applyAlignment="1">
      <alignment horizontal="center" vertical="center"/>
    </xf>
    <xf numFmtId="0" fontId="17" fillId="0" borderId="36" xfId="0" applyFont="1" applyBorder="1" applyAlignment="1">
      <alignment horizontal="center" vertical="center"/>
    </xf>
    <xf numFmtId="0" fontId="14" fillId="0" borderId="25" xfId="0" applyFont="1" applyBorder="1" applyAlignment="1">
      <alignment vertical="center" wrapText="1"/>
    </xf>
    <xf numFmtId="0" fontId="14" fillId="0" borderId="28" xfId="0" applyFont="1" applyBorder="1" applyAlignment="1">
      <alignment vertical="center" wrapText="1"/>
    </xf>
    <xf numFmtId="0" fontId="14" fillId="0" borderId="28" xfId="3" applyFont="1" applyBorder="1" applyAlignment="1">
      <alignment vertical="center" wrapText="1"/>
    </xf>
    <xf numFmtId="0" fontId="14" fillId="0" borderId="40" xfId="0" applyFont="1" applyBorder="1" applyAlignment="1">
      <alignment vertical="center" wrapText="1"/>
    </xf>
    <xf numFmtId="0" fontId="13" fillId="0" borderId="25" xfId="0" applyFont="1" applyBorder="1" applyAlignment="1">
      <alignment horizontal="justify" vertical="center" wrapText="1"/>
    </xf>
    <xf numFmtId="0" fontId="14" fillId="0" borderId="33" xfId="0" applyFont="1" applyBorder="1" applyAlignment="1">
      <alignment horizontal="justify" vertical="center"/>
    </xf>
    <xf numFmtId="0" fontId="14" fillId="0" borderId="33" xfId="0" applyFont="1" applyBorder="1" applyAlignment="1">
      <alignment horizontal="justify" vertical="center" wrapText="1"/>
    </xf>
    <xf numFmtId="0" fontId="13" fillId="0" borderId="40" xfId="0" applyFont="1" applyBorder="1" applyAlignment="1">
      <alignment horizontal="justify" vertical="center" wrapText="1"/>
    </xf>
    <xf numFmtId="0" fontId="3" fillId="9" borderId="25" xfId="0" applyFont="1" applyFill="1" applyBorder="1" applyAlignment="1">
      <alignment horizontal="justify" vertical="center" wrapText="1"/>
    </xf>
    <xf numFmtId="0" fontId="13" fillId="9" borderId="25" xfId="0" applyFont="1" applyFill="1" applyBorder="1" applyAlignment="1">
      <alignment horizontal="center" vertical="center"/>
    </xf>
    <xf numFmtId="0" fontId="3" fillId="9" borderId="28" xfId="0" applyFont="1" applyFill="1" applyBorder="1" applyAlignment="1">
      <alignment horizontal="justify" vertical="center" wrapText="1"/>
    </xf>
    <xf numFmtId="0" fontId="13" fillId="9" borderId="28" xfId="0" applyFont="1" applyFill="1" applyBorder="1" applyAlignment="1">
      <alignment horizontal="center" vertical="center"/>
    </xf>
    <xf numFmtId="0" fontId="13" fillId="0" borderId="20" xfId="0" applyFont="1" applyBorder="1" applyAlignment="1">
      <alignment horizontal="center" vertical="center"/>
    </xf>
    <xf numFmtId="165" fontId="3" fillId="0" borderId="21" xfId="1" applyNumberFormat="1" applyFont="1" applyFill="1" applyBorder="1" applyAlignment="1">
      <alignment horizontal="center" vertical="center"/>
    </xf>
    <xf numFmtId="0" fontId="13" fillId="9" borderId="28" xfId="0" applyFont="1" applyFill="1" applyBorder="1" applyAlignment="1">
      <alignment horizontal="justify" vertical="center" wrapText="1"/>
    </xf>
    <xf numFmtId="0" fontId="13" fillId="0" borderId="0" xfId="0" applyFont="1" applyAlignment="1">
      <alignment horizontal="center" vertical="center"/>
    </xf>
    <xf numFmtId="0" fontId="13" fillId="0" borderId="33" xfId="0" applyFont="1" applyBorder="1" applyAlignment="1">
      <alignment horizontal="justify" vertical="center" wrapText="1"/>
    </xf>
    <xf numFmtId="0" fontId="13" fillId="0" borderId="24" xfId="0" applyFont="1" applyBorder="1" applyAlignment="1">
      <alignment horizontal="left" vertical="center" wrapText="1"/>
    </xf>
    <xf numFmtId="0" fontId="13" fillId="9" borderId="25" xfId="0" applyFont="1" applyFill="1" applyBorder="1" applyAlignment="1">
      <alignment horizontal="justify" vertical="center"/>
    </xf>
    <xf numFmtId="0" fontId="13" fillId="0" borderId="30" xfId="0" applyFont="1" applyBorder="1" applyAlignment="1">
      <alignment horizontal="left" vertical="center" wrapText="1"/>
    </xf>
    <xf numFmtId="0" fontId="13" fillId="0" borderId="32" xfId="0" applyFont="1" applyBorder="1" applyAlignment="1">
      <alignment horizontal="left" vertical="center" wrapText="1"/>
    </xf>
    <xf numFmtId="43" fontId="13" fillId="4" borderId="44" xfId="1" applyFont="1" applyFill="1" applyBorder="1" applyAlignment="1">
      <alignment vertical="center"/>
    </xf>
    <xf numFmtId="165" fontId="19" fillId="0" borderId="26" xfId="1" applyNumberFormat="1" applyFont="1" applyFill="1" applyBorder="1" applyAlignment="1">
      <alignment horizontal="center" vertical="center"/>
    </xf>
    <xf numFmtId="0" fontId="3" fillId="0" borderId="30" xfId="0" applyFont="1" applyBorder="1" applyAlignment="1">
      <alignment horizontal="left" vertical="center" wrapText="1"/>
    </xf>
    <xf numFmtId="165" fontId="19" fillId="0" borderId="29" xfId="1" applyNumberFormat="1" applyFont="1" applyFill="1" applyBorder="1" applyAlignment="1">
      <alignment horizontal="center" vertical="center"/>
    </xf>
    <xf numFmtId="0" fontId="14" fillId="0" borderId="28" xfId="0" applyFont="1" applyBorder="1" applyAlignment="1">
      <alignment horizontal="left" vertical="center" wrapText="1"/>
    </xf>
    <xf numFmtId="9" fontId="19" fillId="0" borderId="29" xfId="2" quotePrefix="1" applyFont="1" applyFill="1" applyBorder="1" applyAlignment="1">
      <alignment horizontal="right" vertical="center"/>
    </xf>
    <xf numFmtId="165" fontId="19" fillId="0" borderId="29" xfId="1" applyNumberFormat="1" applyFont="1" applyFill="1" applyBorder="1" applyAlignment="1">
      <alignment horizontal="right" vertical="center"/>
    </xf>
    <xf numFmtId="43" fontId="4" fillId="0" borderId="30" xfId="1" applyFont="1" applyFill="1" applyBorder="1" applyAlignment="1">
      <alignment vertical="center"/>
    </xf>
    <xf numFmtId="165" fontId="19" fillId="0" borderId="34" xfId="1" applyNumberFormat="1" applyFont="1" applyFill="1" applyBorder="1" applyAlignment="1">
      <alignment horizontal="center" vertical="center"/>
    </xf>
    <xf numFmtId="165" fontId="19" fillId="2" borderId="17" xfId="1" applyNumberFormat="1" applyFont="1" applyFill="1" applyBorder="1" applyAlignment="1">
      <alignment horizontal="center" vertical="center"/>
    </xf>
    <xf numFmtId="165" fontId="19" fillId="0" borderId="29" xfId="1" quotePrefix="1" applyNumberFormat="1" applyFont="1" applyFill="1" applyBorder="1" applyAlignment="1">
      <alignment horizontal="right" vertical="center"/>
    </xf>
    <xf numFmtId="43" fontId="4" fillId="7" borderId="46" xfId="1" applyFont="1" applyFill="1" applyBorder="1" applyAlignment="1">
      <alignment vertical="center"/>
    </xf>
    <xf numFmtId="165" fontId="13" fillId="0" borderId="29" xfId="1" applyNumberFormat="1" applyFont="1" applyFill="1" applyBorder="1" applyAlignment="1">
      <alignment horizontal="center" vertical="center"/>
    </xf>
    <xf numFmtId="165" fontId="13" fillId="0" borderId="34" xfId="1" applyNumberFormat="1" applyFont="1" applyFill="1" applyBorder="1" applyAlignment="1">
      <alignment horizontal="center" vertical="center"/>
    </xf>
    <xf numFmtId="0" fontId="13" fillId="9" borderId="25" xfId="0" applyFont="1" applyFill="1" applyBorder="1" applyAlignment="1">
      <alignment horizontal="justify" vertical="center" wrapText="1"/>
    </xf>
    <xf numFmtId="165" fontId="13" fillId="0" borderId="26" xfId="1" applyNumberFormat="1" applyFont="1" applyBorder="1" applyAlignment="1">
      <alignment horizontal="center" vertical="center"/>
    </xf>
    <xf numFmtId="165" fontId="19" fillId="0" borderId="29" xfId="1" quotePrefix="1" applyNumberFormat="1" applyFont="1" applyFill="1" applyBorder="1" applyAlignment="1">
      <alignment horizontal="center" vertical="center"/>
    </xf>
    <xf numFmtId="0" fontId="19" fillId="0" borderId="28" xfId="0" applyFont="1" applyBorder="1" applyAlignment="1">
      <alignment horizontal="center" vertical="center" wrapText="1"/>
    </xf>
    <xf numFmtId="0" fontId="19" fillId="0" borderId="28" xfId="0" applyFont="1" applyBorder="1" applyAlignment="1">
      <alignment horizontal="justify" vertical="center" wrapText="1"/>
    </xf>
    <xf numFmtId="43" fontId="19" fillId="4" borderId="28" xfId="1" applyFont="1" applyFill="1" applyBorder="1" applyAlignment="1">
      <alignment vertical="center"/>
    </xf>
    <xf numFmtId="43" fontId="20" fillId="7" borderId="30" xfId="1" applyFont="1" applyFill="1" applyBorder="1" applyAlignment="1">
      <alignment vertical="center"/>
    </xf>
    <xf numFmtId="43" fontId="20" fillId="7" borderId="28" xfId="1" applyFont="1" applyFill="1" applyBorder="1" applyAlignment="1">
      <alignment vertical="center"/>
    </xf>
    <xf numFmtId="9" fontId="19" fillId="0" borderId="28" xfId="0" applyNumberFormat="1" applyFont="1" applyBorder="1" applyAlignment="1">
      <alignment horizontal="center" vertical="center" wrapText="1"/>
    </xf>
    <xf numFmtId="0" fontId="14" fillId="0" borderId="20" xfId="0" applyFont="1" applyBorder="1" applyAlignment="1">
      <alignment horizontal="justify" vertical="center" wrapText="1"/>
    </xf>
    <xf numFmtId="0" fontId="19" fillId="0" borderId="33" xfId="0" applyFont="1" applyBorder="1" applyAlignment="1">
      <alignment horizontal="center" vertical="center" wrapText="1"/>
    </xf>
    <xf numFmtId="43" fontId="4" fillId="7" borderId="43" xfId="1" applyFont="1" applyFill="1" applyBorder="1" applyAlignment="1">
      <alignment vertical="center"/>
    </xf>
    <xf numFmtId="43" fontId="4" fillId="7" borderId="44" xfId="1" applyFont="1" applyFill="1" applyBorder="1" applyAlignment="1">
      <alignment vertical="center"/>
    </xf>
    <xf numFmtId="0" fontId="19" fillId="2" borderId="15" xfId="0" applyFont="1" applyFill="1" applyBorder="1" applyAlignment="1">
      <alignment horizontal="center" vertical="center" wrapText="1"/>
    </xf>
    <xf numFmtId="43" fontId="3" fillId="0" borderId="7" xfId="1" applyFont="1" applyFill="1" applyBorder="1" applyAlignment="1">
      <alignment vertical="center"/>
    </xf>
    <xf numFmtId="43" fontId="3" fillId="0" borderId="8" xfId="1" applyFont="1" applyFill="1" applyBorder="1" applyAlignment="1">
      <alignment vertical="center"/>
    </xf>
    <xf numFmtId="43" fontId="3" fillId="0" borderId="9" xfId="1" applyFont="1" applyFill="1" applyBorder="1" applyAlignment="1">
      <alignment vertical="center"/>
    </xf>
    <xf numFmtId="0" fontId="13" fillId="0" borderId="10" xfId="0" applyFont="1" applyBorder="1" applyAlignment="1">
      <alignment horizontal="left" vertical="center" wrapText="1"/>
    </xf>
    <xf numFmtId="0" fontId="14" fillId="0" borderId="11" xfId="0" applyFont="1" applyBorder="1" applyAlignment="1">
      <alignment horizontal="justify" vertical="center" wrapText="1"/>
    </xf>
    <xf numFmtId="0" fontId="19" fillId="0" borderId="11" xfId="0" applyFont="1" applyBorder="1" applyAlignment="1">
      <alignment horizontal="center" vertical="center" wrapText="1"/>
    </xf>
    <xf numFmtId="165" fontId="19" fillId="0" borderId="11" xfId="1" applyNumberFormat="1" applyFont="1" applyFill="1" applyBorder="1" applyAlignment="1">
      <alignment horizontal="center" vertical="center"/>
    </xf>
    <xf numFmtId="43" fontId="13" fillId="0" borderId="12" xfId="1" applyFont="1" applyFill="1" applyBorder="1" applyAlignment="1">
      <alignment vertical="center"/>
    </xf>
    <xf numFmtId="43" fontId="13" fillId="0" borderId="2" xfId="1" applyFont="1" applyFill="1" applyBorder="1" applyAlignment="1">
      <alignment vertical="center"/>
    </xf>
    <xf numFmtId="43" fontId="13" fillId="0" borderId="3" xfId="1" applyFont="1" applyFill="1" applyBorder="1" applyAlignment="1">
      <alignment vertical="center"/>
    </xf>
    <xf numFmtId="43" fontId="13" fillId="0" borderId="37" xfId="1" applyFont="1" applyFill="1" applyBorder="1" applyAlignment="1">
      <alignment vertical="center"/>
    </xf>
    <xf numFmtId="43" fontId="13" fillId="0" borderId="47" xfId="1" applyFont="1" applyFill="1" applyBorder="1" applyAlignment="1">
      <alignment vertical="center"/>
    </xf>
    <xf numFmtId="43" fontId="13" fillId="0" borderId="48" xfId="1" applyFont="1" applyFill="1" applyBorder="1" applyAlignment="1">
      <alignment vertical="center"/>
    </xf>
    <xf numFmtId="0" fontId="13" fillId="0" borderId="14" xfId="0" applyFont="1" applyBorder="1" applyAlignment="1">
      <alignment horizontal="left" vertical="center"/>
    </xf>
    <xf numFmtId="0" fontId="3" fillId="0" borderId="8" xfId="0" applyFont="1" applyBorder="1" applyAlignment="1">
      <alignment vertical="center"/>
    </xf>
    <xf numFmtId="0" fontId="13" fillId="0" borderId="15" xfId="0" applyFont="1" applyBorder="1" applyAlignment="1">
      <alignment horizontal="center" vertical="center"/>
    </xf>
    <xf numFmtId="165" fontId="13" fillId="0" borderId="16" xfId="1" applyNumberFormat="1" applyFont="1" applyBorder="1" applyAlignment="1">
      <alignment horizontal="center" vertical="center"/>
    </xf>
    <xf numFmtId="43" fontId="21" fillId="0" borderId="7" xfId="1" applyFont="1" applyBorder="1" applyAlignment="1">
      <alignment vertical="center"/>
    </xf>
    <xf numFmtId="43" fontId="21" fillId="0" borderId="8" xfId="1" applyFont="1" applyBorder="1" applyAlignment="1">
      <alignment vertical="center"/>
    </xf>
    <xf numFmtId="43" fontId="21" fillId="0" borderId="9" xfId="1" applyFont="1" applyBorder="1" applyAlignment="1">
      <alignment vertical="center"/>
    </xf>
    <xf numFmtId="0" fontId="13" fillId="0" borderId="0" xfId="0" applyFont="1" applyAlignment="1">
      <alignment horizontal="left" vertical="center"/>
    </xf>
    <xf numFmtId="0" fontId="13" fillId="0" borderId="0" xfId="0" applyFont="1" applyAlignment="1">
      <alignment vertical="center"/>
    </xf>
    <xf numFmtId="165" fontId="13" fillId="0" borderId="0" xfId="1" applyNumberFormat="1" applyFont="1" applyBorder="1" applyAlignment="1">
      <alignment horizontal="center" vertical="center"/>
    </xf>
    <xf numFmtId="43" fontId="13" fillId="0" borderId="0" xfId="1" applyFont="1" applyBorder="1" applyAlignment="1">
      <alignment vertical="center"/>
    </xf>
    <xf numFmtId="43" fontId="22" fillId="0" borderId="0" xfId="1" applyFont="1" applyBorder="1" applyAlignment="1">
      <alignment vertical="center"/>
    </xf>
    <xf numFmtId="43" fontId="4" fillId="0" borderId="0" xfId="1" applyFont="1" applyBorder="1" applyAlignment="1">
      <alignment vertical="center"/>
    </xf>
    <xf numFmtId="43" fontId="11" fillId="0" borderId="0" xfId="1" applyFont="1" applyBorder="1" applyAlignment="1">
      <alignment vertical="center"/>
    </xf>
    <xf numFmtId="165" fontId="13" fillId="0" borderId="0" xfId="1" applyNumberFormat="1" applyFont="1" applyAlignment="1">
      <alignment horizontal="center" vertical="center"/>
    </xf>
    <xf numFmtId="43" fontId="13" fillId="0" borderId="0" xfId="1" applyFont="1" applyAlignment="1">
      <alignment vertical="center"/>
    </xf>
    <xf numFmtId="43" fontId="22" fillId="0" borderId="0" xfId="1" applyFont="1" applyAlignment="1">
      <alignment vertical="center"/>
    </xf>
    <xf numFmtId="43" fontId="13" fillId="0" borderId="50" xfId="1" applyFont="1" applyBorder="1" applyAlignment="1">
      <alignment vertical="center"/>
    </xf>
    <xf numFmtId="43" fontId="13" fillId="0" borderId="36" xfId="1" applyFont="1" applyBorder="1" applyAlignment="1">
      <alignment vertical="center"/>
    </xf>
    <xf numFmtId="43" fontId="13" fillId="0" borderId="37" xfId="1" applyFont="1" applyBorder="1" applyAlignment="1">
      <alignment vertical="center"/>
    </xf>
    <xf numFmtId="0" fontId="4" fillId="0" borderId="1" xfId="0" applyFont="1" applyBorder="1" applyAlignment="1">
      <alignment vertical="center"/>
    </xf>
    <xf numFmtId="0" fontId="4" fillId="0" borderId="2" xfId="0" applyFont="1" applyBorder="1" applyAlignment="1">
      <alignment vertical="center"/>
    </xf>
    <xf numFmtId="0" fontId="4" fillId="0" borderId="36" xfId="0" applyFont="1" applyBorder="1" applyAlignment="1">
      <alignment vertical="center"/>
    </xf>
    <xf numFmtId="0" fontId="4" fillId="0" borderId="38" xfId="0" applyFont="1" applyBorder="1" applyAlignment="1">
      <alignment vertical="center"/>
    </xf>
    <xf numFmtId="0" fontId="5" fillId="0" borderId="30" xfId="0" applyFont="1" applyBorder="1" applyAlignment="1">
      <alignment horizontal="left" vertical="center"/>
    </xf>
    <xf numFmtId="0" fontId="14" fillId="0" borderId="29" xfId="0" applyFont="1" applyBorder="1" applyAlignment="1">
      <alignment horizontal="left" vertical="center" wrapText="1"/>
    </xf>
    <xf numFmtId="43" fontId="13" fillId="0" borderId="46" xfId="1" applyFont="1" applyBorder="1" applyAlignment="1">
      <alignment vertical="center"/>
    </xf>
    <xf numFmtId="43" fontId="13" fillId="0" borderId="28" xfId="1" applyFont="1" applyBorder="1" applyAlignment="1">
      <alignment vertical="center"/>
    </xf>
    <xf numFmtId="43" fontId="13" fillId="0" borderId="29" xfId="1" applyFont="1" applyBorder="1" applyAlignment="1">
      <alignment vertical="center"/>
    </xf>
    <xf numFmtId="0" fontId="4" fillId="0" borderId="53" xfId="0" applyFont="1" applyBorder="1" applyAlignment="1">
      <alignment vertical="center"/>
    </xf>
    <xf numFmtId="43" fontId="13" fillId="0" borderId="31" xfId="1" applyFont="1" applyBorder="1" applyAlignment="1">
      <alignment vertical="center"/>
    </xf>
    <xf numFmtId="0" fontId="13" fillId="0" borderId="29" xfId="0" applyFont="1" applyBorder="1" applyAlignment="1">
      <alignment horizontal="justify" vertical="center" wrapText="1"/>
    </xf>
    <xf numFmtId="0" fontId="3" fillId="0" borderId="39" xfId="0" applyFont="1" applyBorder="1" applyAlignment="1">
      <alignment horizontal="left" vertical="center"/>
    </xf>
    <xf numFmtId="0" fontId="13" fillId="0" borderId="41" xfId="0" applyFont="1" applyBorder="1" applyAlignment="1">
      <alignment horizontal="justify" vertical="center" wrapText="1"/>
    </xf>
    <xf numFmtId="43" fontId="13" fillId="0" borderId="56" xfId="1" applyFont="1" applyBorder="1" applyAlignment="1">
      <alignment vertical="center"/>
    </xf>
    <xf numFmtId="43" fontId="13" fillId="0" borderId="40" xfId="1" applyFont="1" applyBorder="1" applyAlignment="1">
      <alignment vertical="center"/>
    </xf>
    <xf numFmtId="43" fontId="13" fillId="0" borderId="41" xfId="1"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43" fontId="13" fillId="0" borderId="42" xfId="1" applyFont="1" applyBorder="1" applyAlignment="1">
      <alignment vertical="center"/>
    </xf>
    <xf numFmtId="43" fontId="3" fillId="0" borderId="43" xfId="1" applyFont="1" applyBorder="1" applyAlignment="1">
      <alignment vertical="center"/>
    </xf>
    <xf numFmtId="43" fontId="3" fillId="0" borderId="44" xfId="1" applyFont="1" applyBorder="1" applyAlignment="1">
      <alignment vertical="center"/>
    </xf>
    <xf numFmtId="43" fontId="3" fillId="0" borderId="45" xfId="1" applyFont="1" applyBorder="1" applyAlignment="1">
      <alignment vertical="center"/>
    </xf>
    <xf numFmtId="43" fontId="3" fillId="0" borderId="4" xfId="1" applyFont="1" applyBorder="1" applyAlignment="1">
      <alignment vertical="center"/>
    </xf>
    <xf numFmtId="43" fontId="3" fillId="0" borderId="5" xfId="1" applyFont="1" applyBorder="1" applyAlignment="1">
      <alignment vertical="center"/>
    </xf>
    <xf numFmtId="43" fontId="3" fillId="0" borderId="6" xfId="1" applyFont="1" applyBorder="1" applyAlignment="1">
      <alignment vertical="center"/>
    </xf>
    <xf numFmtId="43" fontId="13" fillId="0" borderId="1" xfId="1" applyFont="1" applyBorder="1" applyAlignment="1">
      <alignment vertical="center"/>
    </xf>
    <xf numFmtId="43" fontId="13" fillId="0" borderId="2" xfId="1" applyFont="1" applyBorder="1" applyAlignment="1">
      <alignment vertical="center"/>
    </xf>
    <xf numFmtId="43" fontId="13" fillId="0" borderId="3" xfId="1" applyFont="1" applyBorder="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165" fontId="3" fillId="0" borderId="0" xfId="1" applyNumberFormat="1" applyFont="1" applyAlignment="1">
      <alignment horizontal="center" vertical="center"/>
    </xf>
    <xf numFmtId="43" fontId="3" fillId="0" borderId="0" xfId="1" applyFont="1" applyAlignment="1">
      <alignment vertical="center"/>
    </xf>
    <xf numFmtId="0" fontId="11" fillId="0" borderId="0" xfId="0" applyFont="1" applyAlignment="1">
      <alignment vertical="center"/>
    </xf>
    <xf numFmtId="9" fontId="3" fillId="3" borderId="53" xfId="2" applyFont="1" applyFill="1" applyBorder="1" applyAlignment="1">
      <alignment vertical="center"/>
    </xf>
    <xf numFmtId="9" fontId="3" fillId="3" borderId="0" xfId="2" applyFont="1" applyFill="1" applyBorder="1" applyAlignment="1">
      <alignment vertical="center"/>
    </xf>
    <xf numFmtId="9" fontId="3" fillId="3" borderId="57" xfId="2" applyFont="1" applyFill="1" applyBorder="1" applyAlignment="1">
      <alignment vertical="center"/>
    </xf>
    <xf numFmtId="43" fontId="13" fillId="0" borderId="4" xfId="1" applyFont="1" applyBorder="1" applyAlignment="1">
      <alignment vertical="center"/>
    </xf>
    <xf numFmtId="43" fontId="13" fillId="0" borderId="5" xfId="1" applyFont="1" applyBorder="1" applyAlignment="1">
      <alignment vertical="center"/>
    </xf>
    <xf numFmtId="43" fontId="13" fillId="0" borderId="6" xfId="1" applyFont="1" applyBorder="1" applyAlignment="1">
      <alignment vertical="center"/>
    </xf>
    <xf numFmtId="0" fontId="3" fillId="0" borderId="30" xfId="0" applyFont="1" applyBorder="1" applyAlignment="1">
      <alignment vertical="center"/>
    </xf>
    <xf numFmtId="0" fontId="13" fillId="0" borderId="28" xfId="0" applyFont="1" applyBorder="1" applyAlignment="1">
      <alignment vertical="center"/>
    </xf>
    <xf numFmtId="0" fontId="13" fillId="0" borderId="30" xfId="0" applyFont="1" applyBorder="1" applyAlignment="1">
      <alignment vertical="center"/>
    </xf>
    <xf numFmtId="0" fontId="13" fillId="0" borderId="39" xfId="0" applyFont="1" applyBorder="1" applyAlignment="1">
      <alignment vertical="center"/>
    </xf>
    <xf numFmtId="0" fontId="13" fillId="0" borderId="40" xfId="0" applyFont="1" applyBorder="1" applyAlignment="1">
      <alignment vertical="center"/>
    </xf>
    <xf numFmtId="0" fontId="4" fillId="0" borderId="0" xfId="0" applyFont="1" applyAlignment="1">
      <alignment horizontal="left" vertical="center"/>
    </xf>
    <xf numFmtId="0" fontId="4" fillId="0" borderId="0" xfId="0" applyFont="1" applyAlignment="1">
      <alignment horizontal="center" vertical="center"/>
    </xf>
    <xf numFmtId="165" fontId="4" fillId="0" borderId="0" xfId="1" applyNumberFormat="1" applyFont="1" applyBorder="1" applyAlignment="1">
      <alignment horizontal="center" vertical="center"/>
    </xf>
    <xf numFmtId="43" fontId="4" fillId="0" borderId="0" xfId="1" applyFont="1" applyAlignment="1">
      <alignment vertical="center"/>
    </xf>
    <xf numFmtId="165" fontId="4" fillId="0" borderId="0" xfId="1" applyNumberFormat="1" applyFont="1" applyAlignment="1">
      <alignment horizontal="center" vertical="center"/>
    </xf>
    <xf numFmtId="0" fontId="8" fillId="0" borderId="7" xfId="0" applyFont="1" applyBorder="1" applyAlignment="1">
      <alignment horizontal="center" vertical="center"/>
    </xf>
    <xf numFmtId="0" fontId="7" fillId="4" borderId="4" xfId="0" applyFont="1" applyFill="1" applyBorder="1" applyAlignment="1">
      <alignment vertical="center"/>
    </xf>
    <xf numFmtId="0" fontId="7" fillId="4" borderId="5" xfId="0" applyFont="1" applyFill="1" applyBorder="1" applyAlignment="1">
      <alignment vertical="center"/>
    </xf>
    <xf numFmtId="0" fontId="7" fillId="4" borderId="6" xfId="0" applyFont="1" applyFill="1" applyBorder="1" applyAlignment="1">
      <alignment vertical="center"/>
    </xf>
    <xf numFmtId="43" fontId="3" fillId="4" borderId="11" xfId="1" applyFont="1" applyFill="1" applyBorder="1" applyAlignment="1">
      <alignment vertical="center" wrapText="1"/>
    </xf>
    <xf numFmtId="43" fontId="10" fillId="4" borderId="13" xfId="1" applyFont="1" applyFill="1" applyBorder="1" applyAlignment="1">
      <alignment horizontal="center" vertical="center" wrapText="1"/>
    </xf>
    <xf numFmtId="43" fontId="11" fillId="10" borderId="11" xfId="1" applyFont="1" applyFill="1" applyBorder="1" applyAlignment="1">
      <alignment vertical="center" wrapText="1"/>
    </xf>
    <xf numFmtId="43" fontId="11" fillId="10" borderId="11" xfId="1" applyFont="1" applyFill="1" applyBorder="1" applyAlignment="1">
      <alignment horizontal="center" vertical="center" wrapText="1"/>
    </xf>
    <xf numFmtId="43" fontId="12" fillId="10" borderId="13" xfId="1" applyFont="1" applyFill="1" applyBorder="1" applyAlignment="1">
      <alignment horizontal="center" vertical="center" wrapText="1"/>
    </xf>
    <xf numFmtId="43" fontId="11" fillId="7" borderId="19" xfId="1" applyFont="1" applyFill="1" applyBorder="1" applyAlignment="1">
      <alignment horizontal="center" vertical="center" wrapText="1"/>
    </xf>
    <xf numFmtId="43" fontId="11" fillId="7" borderId="20" xfId="1" applyFont="1" applyFill="1" applyBorder="1" applyAlignment="1">
      <alignment horizontal="center" vertical="center" wrapText="1"/>
    </xf>
    <xf numFmtId="43" fontId="11" fillId="8" borderId="20" xfId="1" applyFont="1" applyFill="1" applyBorder="1" applyAlignment="1">
      <alignment vertical="center" wrapText="1"/>
    </xf>
    <xf numFmtId="43" fontId="11" fillId="8" borderId="20" xfId="1" applyFont="1" applyFill="1" applyBorder="1" applyAlignment="1">
      <alignment horizontal="center" vertical="center" wrapText="1"/>
    </xf>
    <xf numFmtId="43" fontId="13" fillId="0" borderId="17" xfId="1" applyFont="1" applyFill="1" applyBorder="1" applyAlignment="1">
      <alignment vertical="center"/>
    </xf>
    <xf numFmtId="43" fontId="4" fillId="0" borderId="15" xfId="1" applyFont="1" applyFill="1" applyBorder="1" applyAlignment="1">
      <alignment vertical="center"/>
    </xf>
    <xf numFmtId="43" fontId="4" fillId="0" borderId="16" xfId="1" applyFont="1" applyFill="1" applyBorder="1" applyAlignment="1">
      <alignment vertical="center"/>
    </xf>
    <xf numFmtId="43" fontId="4" fillId="0" borderId="33" xfId="1" applyFont="1" applyFill="1" applyBorder="1" applyAlignment="1">
      <alignment vertical="center"/>
    </xf>
    <xf numFmtId="43" fontId="13" fillId="4" borderId="22" xfId="1" applyFont="1" applyFill="1" applyBorder="1" applyAlignment="1">
      <alignment vertical="center"/>
    </xf>
    <xf numFmtId="43" fontId="13" fillId="4" borderId="20" xfId="1" applyFont="1" applyFill="1" applyBorder="1" applyAlignment="1">
      <alignment vertical="center"/>
    </xf>
    <xf numFmtId="43" fontId="13" fillId="4" borderId="23" xfId="1" applyFont="1" applyFill="1" applyBorder="1" applyAlignment="1">
      <alignment vertical="center"/>
    </xf>
    <xf numFmtId="43" fontId="4" fillId="10" borderId="22" xfId="1" applyFont="1" applyFill="1" applyBorder="1" applyAlignment="1">
      <alignment vertical="center"/>
    </xf>
    <xf numFmtId="43" fontId="4" fillId="10" borderId="20" xfId="1" applyFont="1" applyFill="1" applyBorder="1" applyAlignment="1">
      <alignment vertical="center"/>
    </xf>
    <xf numFmtId="43" fontId="4" fillId="10" borderId="21" xfId="1" applyFont="1" applyFill="1" applyBorder="1" applyAlignment="1">
      <alignment vertical="center"/>
    </xf>
    <xf numFmtId="43" fontId="4" fillId="0" borderId="35" xfId="1" applyFont="1" applyFill="1" applyBorder="1" applyAlignment="1">
      <alignment vertical="center"/>
    </xf>
    <xf numFmtId="43" fontId="4" fillId="8" borderId="36" xfId="1" applyFont="1" applyFill="1" applyBorder="1" applyAlignment="1">
      <alignment vertical="center"/>
    </xf>
    <xf numFmtId="43" fontId="13" fillId="2" borderId="24" xfId="1" applyFont="1" applyFill="1" applyBorder="1" applyAlignment="1">
      <alignment vertical="center"/>
    </xf>
    <xf numFmtId="43" fontId="13" fillId="2" borderId="25" xfId="1" applyFont="1" applyFill="1" applyBorder="1" applyAlignment="1">
      <alignment vertical="center"/>
    </xf>
    <xf numFmtId="43" fontId="13" fillId="4" borderId="27" xfId="1" applyFont="1" applyFill="1" applyBorder="1" applyAlignment="1">
      <alignment vertical="center"/>
    </xf>
    <xf numFmtId="43" fontId="4" fillId="10" borderId="25" xfId="1" applyFont="1" applyFill="1" applyBorder="1" applyAlignment="1">
      <alignment vertical="center"/>
    </xf>
    <xf numFmtId="43" fontId="4" fillId="10" borderId="26" xfId="1" applyFont="1" applyFill="1" applyBorder="1" applyAlignment="1">
      <alignment vertical="center"/>
    </xf>
    <xf numFmtId="43" fontId="4" fillId="8" borderId="28" xfId="1" applyFont="1" applyFill="1" applyBorder="1" applyAlignment="1">
      <alignment vertical="center"/>
    </xf>
    <xf numFmtId="43" fontId="13" fillId="2" borderId="30" xfId="1" applyFont="1" applyFill="1" applyBorder="1" applyAlignment="1">
      <alignment vertical="center"/>
    </xf>
    <xf numFmtId="43" fontId="13" fillId="2" borderId="28" xfId="1" applyFont="1" applyFill="1" applyBorder="1" applyAlignment="1">
      <alignment vertical="center"/>
    </xf>
    <xf numFmtId="43" fontId="4" fillId="0" borderId="24" xfId="1" applyFont="1" applyFill="1" applyBorder="1" applyAlignment="1">
      <alignment vertical="center"/>
    </xf>
    <xf numFmtId="43" fontId="4" fillId="8" borderId="25" xfId="1" applyFont="1" applyFill="1" applyBorder="1" applyAlignment="1">
      <alignment vertical="center"/>
    </xf>
    <xf numFmtId="43" fontId="4" fillId="0" borderId="29" xfId="1" applyFont="1" applyFill="1" applyBorder="1" applyAlignment="1">
      <alignment vertical="center"/>
    </xf>
    <xf numFmtId="43" fontId="13" fillId="2" borderId="32" xfId="1" applyFont="1" applyFill="1" applyBorder="1" applyAlignment="1">
      <alignment vertical="center"/>
    </xf>
    <xf numFmtId="43" fontId="13" fillId="2" borderId="33" xfId="1" applyFont="1" applyFill="1" applyBorder="1" applyAlignment="1">
      <alignment vertical="center"/>
    </xf>
    <xf numFmtId="43" fontId="4" fillId="0" borderId="39" xfId="1" applyFont="1" applyFill="1" applyBorder="1" applyAlignment="1">
      <alignment vertical="center"/>
    </xf>
    <xf numFmtId="43" fontId="4" fillId="8" borderId="40" xfId="1" applyFont="1" applyFill="1" applyBorder="1" applyAlignment="1">
      <alignment vertical="center"/>
    </xf>
    <xf numFmtId="43" fontId="4" fillId="0" borderId="14" xfId="1" applyFont="1" applyFill="1" applyBorder="1" applyAlignment="1">
      <alignment vertical="center"/>
    </xf>
    <xf numFmtId="43" fontId="13" fillId="2" borderId="35" xfId="1" applyFont="1" applyFill="1" applyBorder="1" applyAlignment="1">
      <alignment vertical="center"/>
    </xf>
    <xf numFmtId="43" fontId="13" fillId="2" borderId="36" xfId="1" applyFont="1" applyFill="1" applyBorder="1" applyAlignment="1">
      <alignment vertical="center"/>
    </xf>
    <xf numFmtId="43" fontId="4" fillId="0" borderId="37" xfId="1" applyFont="1" applyFill="1" applyBorder="1" applyAlignment="1">
      <alignment vertical="center"/>
    </xf>
    <xf numFmtId="165" fontId="3" fillId="0" borderId="17" xfId="1" applyNumberFormat="1" applyFont="1" applyFill="1" applyBorder="1" applyAlignment="1">
      <alignment horizontal="center" vertical="center"/>
    </xf>
    <xf numFmtId="43" fontId="4" fillId="0" borderId="26" xfId="1" applyFont="1" applyFill="1" applyBorder="1" applyAlignment="1">
      <alignment vertical="center"/>
    </xf>
    <xf numFmtId="165" fontId="3" fillId="0" borderId="16" xfId="1" applyNumberFormat="1" applyFont="1" applyFill="1" applyBorder="1" applyAlignment="1">
      <alignment horizontal="center" vertical="center"/>
    </xf>
    <xf numFmtId="43" fontId="13" fillId="2" borderId="39" xfId="1" applyFont="1" applyFill="1" applyBorder="1" applyAlignment="1">
      <alignment vertical="center"/>
    </xf>
    <xf numFmtId="43" fontId="13" fillId="2" borderId="40" xfId="1" applyFont="1" applyFill="1" applyBorder="1" applyAlignment="1">
      <alignment vertical="center"/>
    </xf>
    <xf numFmtId="43" fontId="4" fillId="0" borderId="10" xfId="1" applyFont="1" applyFill="1" applyBorder="1" applyAlignment="1">
      <alignment vertical="center"/>
    </xf>
    <xf numFmtId="43" fontId="4" fillId="0" borderId="11" xfId="1" applyFont="1" applyFill="1" applyBorder="1" applyAlignment="1">
      <alignment vertical="center"/>
    </xf>
    <xf numFmtId="43" fontId="3" fillId="0" borderId="11" xfId="1" applyFont="1" applyFill="1" applyBorder="1" applyAlignment="1">
      <alignment vertical="center"/>
    </xf>
    <xf numFmtId="165" fontId="16" fillId="0" borderId="17" xfId="1" applyNumberFormat="1" applyFont="1" applyFill="1" applyBorder="1" applyAlignment="1">
      <alignment horizontal="center" vertical="center"/>
    </xf>
    <xf numFmtId="43" fontId="4" fillId="0" borderId="43" xfId="1" applyFont="1" applyFill="1" applyBorder="1" applyAlignment="1">
      <alignment vertical="center"/>
    </xf>
    <xf numFmtId="43" fontId="4" fillId="0" borderId="44" xfId="1" applyFont="1" applyFill="1" applyBorder="1" applyAlignment="1">
      <alignment vertical="center"/>
    </xf>
    <xf numFmtId="43" fontId="3" fillId="0" borderId="44" xfId="1" applyFont="1" applyFill="1" applyBorder="1" applyAlignment="1">
      <alignment vertical="center"/>
    </xf>
    <xf numFmtId="43" fontId="25" fillId="0" borderId="36" xfId="1" applyFont="1" applyFill="1" applyBorder="1" applyAlignment="1">
      <alignment vertical="center"/>
    </xf>
    <xf numFmtId="43" fontId="4" fillId="8" borderId="44" xfId="1" applyFont="1" applyFill="1" applyBorder="1" applyAlignment="1">
      <alignment vertical="center"/>
    </xf>
    <xf numFmtId="43" fontId="4" fillId="0" borderId="32" xfId="1" applyFont="1" applyFill="1" applyBorder="1" applyAlignment="1">
      <alignment vertical="center"/>
    </xf>
    <xf numFmtId="43" fontId="4" fillId="8" borderId="33" xfId="1" applyFont="1" applyFill="1" applyBorder="1" applyAlignment="1">
      <alignment vertical="center"/>
    </xf>
    <xf numFmtId="43" fontId="4" fillId="10" borderId="28" xfId="1" applyFont="1" applyFill="1" applyBorder="1" applyAlignment="1">
      <alignment vertical="center"/>
    </xf>
    <xf numFmtId="43" fontId="4" fillId="10" borderId="29" xfId="1" applyFont="1" applyFill="1" applyBorder="1" applyAlignment="1">
      <alignment vertical="center"/>
    </xf>
    <xf numFmtId="43" fontId="13" fillId="2" borderId="43" xfId="1" applyFont="1" applyFill="1" applyBorder="1" applyAlignment="1">
      <alignment vertical="center"/>
    </xf>
    <xf numFmtId="43" fontId="13" fillId="2" borderId="44" xfId="1" applyFont="1" applyFill="1" applyBorder="1" applyAlignment="1">
      <alignment vertical="center"/>
    </xf>
    <xf numFmtId="43" fontId="1" fillId="0" borderId="14" xfId="1" applyFont="1" applyFill="1" applyBorder="1" applyAlignment="1">
      <alignment vertical="center"/>
    </xf>
    <xf numFmtId="43" fontId="1" fillId="0" borderId="15" xfId="1" applyFont="1" applyFill="1" applyBorder="1" applyAlignment="1">
      <alignment vertical="center"/>
    </xf>
    <xf numFmtId="43" fontId="13" fillId="6" borderId="24" xfId="1" applyFont="1" applyFill="1" applyBorder="1" applyAlignment="1">
      <alignment vertical="center"/>
    </xf>
    <xf numFmtId="43" fontId="13" fillId="4" borderId="31" xfId="1" applyFont="1" applyFill="1" applyBorder="1" applyAlignment="1">
      <alignment vertical="center"/>
    </xf>
    <xf numFmtId="0" fontId="3" fillId="0" borderId="28" xfId="0" applyFont="1" applyBorder="1" applyAlignment="1">
      <alignment horizontal="justify" vertical="center" wrapText="1"/>
    </xf>
    <xf numFmtId="43" fontId="13" fillId="6" borderId="30" xfId="1" applyFont="1" applyFill="1" applyBorder="1" applyAlignment="1">
      <alignment vertical="center"/>
    </xf>
    <xf numFmtId="43" fontId="4" fillId="0" borderId="28" xfId="0" applyNumberFormat="1" applyFont="1" applyBorder="1" applyAlignment="1">
      <alignment vertical="center"/>
    </xf>
    <xf numFmtId="43" fontId="13" fillId="6" borderId="30" xfId="4" applyFont="1" applyFill="1" applyBorder="1" applyAlignment="1">
      <alignment horizontal="center" vertical="center"/>
    </xf>
    <xf numFmtId="43" fontId="13" fillId="0" borderId="30" xfId="4" applyFont="1" applyFill="1" applyBorder="1" applyAlignment="1">
      <alignment horizontal="center" vertical="center"/>
    </xf>
    <xf numFmtId="165" fontId="19" fillId="0" borderId="17" xfId="1" applyNumberFormat="1" applyFont="1" applyFill="1" applyBorder="1" applyAlignment="1">
      <alignment horizontal="center" vertical="center"/>
    </xf>
    <xf numFmtId="165" fontId="13" fillId="0" borderId="17" xfId="1" applyNumberFormat="1" applyFont="1" applyFill="1" applyBorder="1" applyAlignment="1">
      <alignment horizontal="center" vertical="center"/>
    </xf>
    <xf numFmtId="43" fontId="19" fillId="2" borderId="30" xfId="1" applyFont="1" applyFill="1" applyBorder="1" applyAlignment="1">
      <alignment vertical="center"/>
    </xf>
    <xf numFmtId="43" fontId="19" fillId="2" borderId="28" xfId="1" applyFont="1" applyFill="1" applyBorder="1" applyAlignment="1">
      <alignment vertical="center"/>
    </xf>
    <xf numFmtId="43" fontId="4" fillId="0" borderId="7" xfId="1" applyFont="1" applyBorder="1" applyAlignment="1">
      <alignment vertical="center"/>
    </xf>
    <xf numFmtId="43" fontId="4" fillId="0" borderId="8" xfId="1" applyFont="1" applyBorder="1" applyAlignment="1">
      <alignment vertical="center"/>
    </xf>
    <xf numFmtId="43" fontId="4" fillId="0" borderId="0" xfId="1" applyFont="1" applyFill="1" applyAlignment="1">
      <alignment vertical="center"/>
    </xf>
    <xf numFmtId="43" fontId="11" fillId="0" borderId="0" xfId="1" applyFont="1" applyAlignment="1">
      <alignment vertical="center"/>
    </xf>
    <xf numFmtId="0" fontId="0" fillId="0" borderId="0" xfId="0" applyAlignment="1">
      <alignment horizontal="center" vertical="center"/>
    </xf>
    <xf numFmtId="0" fontId="26" fillId="0" borderId="28" xfId="0" applyFont="1" applyBorder="1" applyAlignment="1">
      <alignment horizontal="center" vertical="center"/>
    </xf>
    <xf numFmtId="0" fontId="26" fillId="0" borderId="28" xfId="0" applyFont="1" applyBorder="1" applyAlignment="1">
      <alignment horizontal="center" wrapText="1"/>
    </xf>
    <xf numFmtId="0" fontId="26" fillId="0" borderId="28" xfId="0" applyFont="1" applyBorder="1" applyAlignment="1">
      <alignment horizontal="center"/>
    </xf>
    <xf numFmtId="164" fontId="26" fillId="0" borderId="28" xfId="5" applyFont="1" applyBorder="1" applyAlignment="1">
      <alignment horizontal="center"/>
    </xf>
    <xf numFmtId="0" fontId="26" fillId="0" borderId="0" xfId="0" applyFont="1" applyAlignment="1">
      <alignment horizontal="center"/>
    </xf>
    <xf numFmtId="0" fontId="0" fillId="0" borderId="28" xfId="0" applyBorder="1" applyAlignment="1">
      <alignment horizontal="center" vertical="center"/>
    </xf>
    <xf numFmtId="0" fontId="0" fillId="0" borderId="28" xfId="0" applyBorder="1" applyAlignment="1">
      <alignment wrapText="1"/>
    </xf>
    <xf numFmtId="0" fontId="0" fillId="0" borderId="28" xfId="0" applyBorder="1" applyAlignment="1">
      <alignment vertical="center"/>
    </xf>
    <xf numFmtId="164" fontId="1" fillId="0" borderId="28" xfId="5" applyFont="1" applyBorder="1" applyAlignment="1">
      <alignment vertical="center"/>
    </xf>
    <xf numFmtId="0" fontId="2" fillId="0" borderId="28" xfId="0" applyFont="1" applyBorder="1" applyAlignment="1">
      <alignment horizontal="center" vertical="center"/>
    </xf>
    <xf numFmtId="0" fontId="2" fillId="0" borderId="28" xfId="0" applyFont="1" applyBorder="1" applyAlignment="1">
      <alignment wrapText="1"/>
    </xf>
    <xf numFmtId="0" fontId="2" fillId="0" borderId="28" xfId="0" applyFont="1" applyBorder="1" applyAlignment="1">
      <alignment vertical="center"/>
    </xf>
    <xf numFmtId="164" fontId="2" fillId="0" borderId="28" xfId="5" applyFont="1" applyBorder="1" applyAlignment="1">
      <alignment vertical="center"/>
    </xf>
    <xf numFmtId="0" fontId="2" fillId="0" borderId="0" xfId="0" applyFont="1"/>
    <xf numFmtId="164" fontId="0" fillId="0" borderId="0" xfId="0" applyNumberFormat="1"/>
    <xf numFmtId="0" fontId="27" fillId="0" borderId="28" xfId="0" applyFont="1" applyBorder="1" applyAlignment="1">
      <alignment vertical="center" wrapText="1"/>
    </xf>
    <xf numFmtId="0" fontId="27" fillId="0" borderId="28" xfId="0" applyFont="1" applyBorder="1" applyAlignment="1">
      <alignment horizontal="center" vertical="center" wrapText="1"/>
    </xf>
    <xf numFmtId="164" fontId="1" fillId="0" borderId="28" xfId="5" applyFont="1" applyBorder="1"/>
    <xf numFmtId="0" fontId="0" fillId="0" borderId="28" xfId="0" applyBorder="1"/>
    <xf numFmtId="0" fontId="27" fillId="11" borderId="28" xfId="0" applyFont="1" applyFill="1" applyBorder="1" applyAlignment="1">
      <alignment vertical="center" wrapText="1"/>
    </xf>
    <xf numFmtId="0" fontId="27" fillId="11" borderId="28" xfId="0" applyFont="1" applyFill="1" applyBorder="1" applyAlignment="1">
      <alignment horizontal="center" vertical="center" wrapText="1"/>
    </xf>
    <xf numFmtId="43" fontId="0" fillId="0" borderId="0" xfId="0" applyNumberFormat="1"/>
    <xf numFmtId="0" fontId="0" fillId="0" borderId="0" xfId="0" applyAlignment="1">
      <alignment wrapText="1"/>
    </xf>
    <xf numFmtId="0" fontId="28" fillId="0" borderId="28" xfId="0" applyFont="1" applyBorder="1" applyAlignment="1">
      <alignment horizontal="center" vertical="center" wrapText="1"/>
    </xf>
    <xf numFmtId="164" fontId="2" fillId="0" borderId="28" xfId="5" applyFont="1" applyBorder="1"/>
    <xf numFmtId="0" fontId="2" fillId="0" borderId="28" xfId="0" applyFont="1" applyBorder="1"/>
    <xf numFmtId="164" fontId="1" fillId="0" borderId="0" xfId="5" applyFont="1"/>
    <xf numFmtId="166" fontId="1" fillId="0" borderId="0" xfId="5" applyNumberFormat="1" applyFont="1"/>
    <xf numFmtId="0" fontId="0" fillId="0" borderId="29" xfId="0" applyBorder="1"/>
    <xf numFmtId="43" fontId="0" fillId="0" borderId="30" xfId="1" applyFont="1" applyBorder="1"/>
    <xf numFmtId="43" fontId="0" fillId="0" borderId="28" xfId="1" applyFont="1" applyBorder="1"/>
    <xf numFmtId="43" fontId="0" fillId="0" borderId="31" xfId="1" applyFont="1" applyBorder="1"/>
    <xf numFmtId="0" fontId="0" fillId="0" borderId="0" xfId="0" applyAlignment="1">
      <alignment horizontal="center"/>
    </xf>
    <xf numFmtId="9" fontId="0" fillId="0" borderId="0" xfId="2" applyFont="1" applyAlignment="1">
      <alignment horizontal="center"/>
    </xf>
    <xf numFmtId="0" fontId="0" fillId="0" borderId="0" xfId="0" applyAlignment="1">
      <alignment horizontal="center" wrapText="1"/>
    </xf>
    <xf numFmtId="0" fontId="13" fillId="0" borderId="29" xfId="0" applyFont="1" applyFill="1" applyBorder="1" applyAlignment="1">
      <alignment horizontal="justify" vertical="center" wrapText="1"/>
    </xf>
    <xf numFmtId="43" fontId="0" fillId="0" borderId="28" xfId="1" applyFont="1" applyFill="1" applyBorder="1"/>
    <xf numFmtId="0" fontId="4" fillId="12" borderId="0" xfId="0" applyFont="1" applyFill="1" applyAlignment="1">
      <alignment vertical="center"/>
    </xf>
    <xf numFmtId="0" fontId="0" fillId="12" borderId="0" xfId="0" applyFill="1"/>
    <xf numFmtId="43" fontId="4" fillId="0" borderId="30" xfId="2" applyNumberFormat="1" applyFont="1" applyFill="1" applyBorder="1" applyAlignment="1">
      <alignment vertical="center"/>
    </xf>
    <xf numFmtId="0" fontId="2" fillId="0" borderId="0" xfId="0" applyFont="1" applyAlignment="1"/>
    <xf numFmtId="43" fontId="4" fillId="3" borderId="30" xfId="1" applyFont="1" applyFill="1" applyBorder="1" applyAlignment="1">
      <alignment vertical="center"/>
    </xf>
    <xf numFmtId="43" fontId="4" fillId="3" borderId="28" xfId="1" applyFont="1" applyFill="1" applyBorder="1" applyAlignment="1">
      <alignment vertical="center"/>
    </xf>
    <xf numFmtId="43" fontId="4" fillId="3" borderId="39" xfId="1" applyFont="1" applyFill="1" applyBorder="1" applyAlignment="1">
      <alignment vertical="center"/>
    </xf>
    <xf numFmtId="43" fontId="4" fillId="3" borderId="24" xfId="1" applyFont="1" applyFill="1" applyBorder="1" applyAlignment="1">
      <alignment vertical="center"/>
    </xf>
    <xf numFmtId="9" fontId="4" fillId="3" borderId="30" xfId="1" applyNumberFormat="1" applyFont="1" applyFill="1" applyBorder="1" applyAlignment="1">
      <alignment vertical="center"/>
    </xf>
    <xf numFmtId="43" fontId="4" fillId="3" borderId="30" xfId="1" applyFont="1" applyFill="1" applyBorder="1" applyAlignment="1">
      <alignment horizontal="center" vertical="center"/>
    </xf>
    <xf numFmtId="43" fontId="4" fillId="0" borderId="28" xfId="1" applyFont="1" applyFill="1" applyBorder="1" applyAlignment="1">
      <alignment horizontal="center" vertical="center"/>
    </xf>
    <xf numFmtId="43" fontId="4" fillId="3" borderId="43" xfId="1" applyFont="1" applyFill="1" applyBorder="1" applyAlignment="1">
      <alignment vertical="center"/>
    </xf>
    <xf numFmtId="0" fontId="2" fillId="0" borderId="29" xfId="0" applyFont="1" applyBorder="1"/>
    <xf numFmtId="0" fontId="2" fillId="0" borderId="0" xfId="0" applyFont="1" applyAlignment="1">
      <alignment horizontal="center"/>
    </xf>
    <xf numFmtId="0" fontId="0" fillId="0" borderId="0" xfId="0" applyFill="1"/>
    <xf numFmtId="0" fontId="0" fillId="0" borderId="28" xfId="0" applyFill="1" applyBorder="1"/>
    <xf numFmtId="0" fontId="0" fillId="0" borderId="29" xfId="0" applyFill="1" applyBorder="1"/>
    <xf numFmtId="43" fontId="0" fillId="0" borderId="30" xfId="1" applyFont="1" applyFill="1" applyBorder="1"/>
    <xf numFmtId="43" fontId="0" fillId="0" borderId="31" xfId="1" applyFont="1" applyFill="1" applyBorder="1"/>
    <xf numFmtId="9" fontId="0" fillId="0" borderId="0" xfId="2" applyFont="1" applyFill="1" applyAlignment="1">
      <alignment horizontal="center"/>
    </xf>
    <xf numFmtId="0" fontId="0" fillId="0" borderId="0" xfId="0" applyFill="1" applyAlignment="1">
      <alignment horizontal="center"/>
    </xf>
    <xf numFmtId="9" fontId="0" fillId="0" borderId="0" xfId="2" applyFont="1" applyFill="1"/>
    <xf numFmtId="0" fontId="2" fillId="0" borderId="35" xfId="0" applyFont="1" applyBorder="1" applyAlignment="1">
      <alignment horizontal="center"/>
    </xf>
    <xf numFmtId="0" fontId="2" fillId="0" borderId="36" xfId="0" applyFont="1" applyBorder="1" applyAlignment="1">
      <alignment horizontal="center"/>
    </xf>
    <xf numFmtId="0" fontId="2" fillId="0" borderId="38" xfId="0" applyFont="1" applyBorder="1" applyAlignment="1">
      <alignment horizontal="center"/>
    </xf>
    <xf numFmtId="0" fontId="26" fillId="0" borderId="0" xfId="0" applyFont="1" applyFill="1"/>
    <xf numFmtId="0" fontId="26" fillId="0" borderId="28" xfId="0" applyFont="1" applyFill="1" applyBorder="1"/>
    <xf numFmtId="0" fontId="26" fillId="0" borderId="29" xfId="0" applyFont="1" applyFill="1" applyBorder="1"/>
    <xf numFmtId="43" fontId="26" fillId="0" borderId="39" xfId="1" applyFont="1" applyFill="1" applyBorder="1"/>
    <xf numFmtId="43" fontId="26" fillId="0" borderId="40" xfId="1" applyFont="1" applyFill="1" applyBorder="1"/>
    <xf numFmtId="43" fontId="26" fillId="0" borderId="42" xfId="1" applyFont="1" applyFill="1" applyBorder="1"/>
    <xf numFmtId="9" fontId="26" fillId="0" borderId="0" xfId="2" applyFont="1" applyFill="1" applyAlignment="1">
      <alignment horizontal="center"/>
    </xf>
    <xf numFmtId="0" fontId="26" fillId="0" borderId="0" xfId="0" applyFont="1"/>
    <xf numFmtId="43" fontId="12" fillId="8" borderId="21" xfId="1" applyFont="1" applyFill="1" applyBorder="1" applyAlignment="1">
      <alignment horizontal="center" vertical="center" wrapText="1"/>
    </xf>
    <xf numFmtId="43" fontId="4" fillId="0" borderId="34" xfId="1" applyFont="1" applyFill="1" applyBorder="1" applyAlignment="1">
      <alignment vertical="center"/>
    </xf>
    <xf numFmtId="43" fontId="4" fillId="8" borderId="37" xfId="1" applyFont="1" applyFill="1" applyBorder="1" applyAlignment="1">
      <alignment vertical="center"/>
    </xf>
    <xf numFmtId="43" fontId="4" fillId="8" borderId="21" xfId="1" applyFont="1" applyFill="1" applyBorder="1" applyAlignment="1">
      <alignment vertical="center"/>
    </xf>
    <xf numFmtId="43" fontId="4" fillId="8" borderId="29" xfId="1" applyFont="1" applyFill="1" applyBorder="1" applyAlignment="1">
      <alignment vertical="center"/>
    </xf>
    <xf numFmtId="43" fontId="4" fillId="8" borderId="26" xfId="1" applyFont="1" applyFill="1" applyBorder="1" applyAlignment="1">
      <alignment vertical="center"/>
    </xf>
    <xf numFmtId="43" fontId="4" fillId="8" borderId="58" xfId="1" applyFont="1" applyFill="1" applyBorder="1" applyAlignment="1">
      <alignment vertical="center"/>
    </xf>
    <xf numFmtId="43" fontId="4" fillId="0" borderId="21" xfId="1" applyFont="1" applyFill="1" applyBorder="1" applyAlignment="1">
      <alignment vertical="center"/>
    </xf>
    <xf numFmtId="43" fontId="3" fillId="0" borderId="12" xfId="1" applyFont="1" applyFill="1" applyBorder="1" applyAlignment="1">
      <alignment vertical="center"/>
    </xf>
    <xf numFmtId="43" fontId="4" fillId="8" borderId="41" xfId="1" applyFont="1" applyFill="1" applyBorder="1" applyAlignment="1">
      <alignment vertical="center"/>
    </xf>
    <xf numFmtId="43" fontId="3" fillId="0" borderId="58" xfId="1" applyFont="1" applyFill="1" applyBorder="1" applyAlignment="1">
      <alignment vertical="center"/>
    </xf>
    <xf numFmtId="43" fontId="25" fillId="0" borderId="12" xfId="1" applyFont="1" applyFill="1" applyBorder="1" applyAlignment="1">
      <alignment vertical="center"/>
    </xf>
    <xf numFmtId="43" fontId="4" fillId="8" borderId="34" xfId="1" applyFont="1" applyFill="1" applyBorder="1" applyAlignment="1">
      <alignment vertical="center"/>
    </xf>
    <xf numFmtId="43" fontId="4" fillId="0" borderId="12" xfId="1" applyFont="1" applyFill="1" applyBorder="1" applyAlignment="1">
      <alignment vertical="center"/>
    </xf>
    <xf numFmtId="0" fontId="4" fillId="0" borderId="28" xfId="0" applyFont="1" applyBorder="1" applyAlignment="1">
      <alignment vertical="center" wrapText="1"/>
    </xf>
    <xf numFmtId="0" fontId="4" fillId="0" borderId="28" xfId="0" applyFont="1" applyBorder="1" applyAlignment="1">
      <alignment vertical="center"/>
    </xf>
    <xf numFmtId="0" fontId="4" fillId="0" borderId="28" xfId="0" applyFont="1" applyBorder="1" applyAlignment="1">
      <alignment horizontal="left" vertical="center" wrapText="1"/>
    </xf>
    <xf numFmtId="43" fontId="4" fillId="0" borderId="28" xfId="0" applyNumberFormat="1" applyFont="1" applyBorder="1" applyAlignment="1">
      <alignment vertical="center" wrapText="1"/>
    </xf>
    <xf numFmtId="0" fontId="5" fillId="13" borderId="14" xfId="0" applyFont="1" applyFill="1" applyBorder="1" applyAlignment="1">
      <alignment horizontal="left" vertical="center"/>
    </xf>
    <xf numFmtId="0" fontId="5" fillId="13" borderId="15" xfId="0" applyFont="1" applyFill="1" applyBorder="1" applyAlignment="1">
      <alignment horizontal="left" vertical="center"/>
    </xf>
    <xf numFmtId="0" fontId="5" fillId="13" borderId="19" xfId="0" applyFont="1" applyFill="1" applyBorder="1" applyAlignment="1">
      <alignment horizontal="left" vertical="center"/>
    </xf>
    <xf numFmtId="0" fontId="5" fillId="13" borderId="20" xfId="0" applyFont="1" applyFill="1" applyBorder="1" applyAlignment="1">
      <alignment horizontal="left" vertical="center"/>
    </xf>
    <xf numFmtId="0" fontId="5" fillId="13" borderId="36" xfId="0" applyFont="1" applyFill="1" applyBorder="1" applyAlignment="1">
      <alignment horizontal="left" vertical="center"/>
    </xf>
    <xf numFmtId="0" fontId="5" fillId="13" borderId="28" xfId="0" applyFont="1" applyFill="1" applyBorder="1" applyAlignment="1">
      <alignment horizontal="left" vertical="center"/>
    </xf>
    <xf numFmtId="0" fontId="3" fillId="13" borderId="35" xfId="0" applyFont="1" applyFill="1" applyBorder="1" applyAlignment="1">
      <alignment horizontal="left" vertical="center"/>
    </xf>
    <xf numFmtId="0" fontId="3" fillId="13" borderId="36" xfId="0" applyFont="1" applyFill="1" applyBorder="1" applyAlignment="1">
      <alignment horizontal="justify" vertical="center"/>
    </xf>
    <xf numFmtId="0" fontId="3" fillId="13" borderId="36" xfId="0" applyFont="1" applyFill="1" applyBorder="1" applyAlignment="1">
      <alignment horizontal="center" vertical="center"/>
    </xf>
    <xf numFmtId="43" fontId="0" fillId="3" borderId="31" xfId="1" applyFont="1" applyFill="1" applyBorder="1"/>
    <xf numFmtId="43" fontId="0" fillId="3" borderId="0" xfId="0" applyNumberFormat="1" applyFill="1"/>
    <xf numFmtId="0" fontId="0" fillId="0" borderId="0" xfId="0" applyFill="1" applyBorder="1"/>
    <xf numFmtId="43" fontId="26" fillId="0" borderId="0" xfId="0" applyNumberFormat="1" applyFont="1" applyFill="1"/>
    <xf numFmtId="43" fontId="26" fillId="0" borderId="0" xfId="0" applyNumberFormat="1" applyFont="1"/>
    <xf numFmtId="43" fontId="0" fillId="0" borderId="0" xfId="1" applyFont="1"/>
    <xf numFmtId="9" fontId="0" fillId="0" borderId="0" xfId="2" applyFont="1"/>
    <xf numFmtId="0" fontId="3" fillId="0" borderId="0" xfId="0" applyFont="1" applyAlignment="1">
      <alignment horizontal="center" vertical="center"/>
    </xf>
    <xf numFmtId="0" fontId="5" fillId="2" borderId="5" xfId="0" applyFont="1" applyFill="1" applyBorder="1" applyAlignment="1">
      <alignment horizontal="left" vertical="center"/>
    </xf>
    <xf numFmtId="0" fontId="13" fillId="0" borderId="30" xfId="0" applyFont="1" applyBorder="1" applyAlignment="1">
      <alignment horizontal="left" vertical="center"/>
    </xf>
    <xf numFmtId="0" fontId="2" fillId="8" borderId="7"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9"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8" xfId="0" applyFont="1" applyFill="1" applyBorder="1" applyAlignment="1">
      <alignment horizontal="center" vertical="center"/>
    </xf>
    <xf numFmtId="0" fontId="2" fillId="10" borderId="9" xfId="0" applyFont="1" applyFill="1" applyBorder="1" applyAlignment="1">
      <alignment horizontal="center" vertical="center"/>
    </xf>
    <xf numFmtId="0" fontId="2" fillId="14" borderId="0" xfId="0" applyFont="1" applyFill="1" applyAlignment="1">
      <alignment horizontal="center"/>
    </xf>
    <xf numFmtId="0" fontId="23" fillId="10" borderId="7" xfId="0" applyFont="1" applyFill="1" applyBorder="1" applyAlignment="1">
      <alignment horizontal="center" vertical="center"/>
    </xf>
    <xf numFmtId="0" fontId="23" fillId="10" borderId="8" xfId="0" applyFont="1" applyFill="1" applyBorder="1" applyAlignment="1">
      <alignment horizontal="center" vertical="center"/>
    </xf>
    <xf numFmtId="0" fontId="23" fillId="10" borderId="18" xfId="0" applyFont="1" applyFill="1" applyBorder="1" applyAlignment="1">
      <alignment horizontal="center" vertical="center"/>
    </xf>
    <xf numFmtId="43" fontId="24" fillId="8" borderId="29" xfId="1" applyFont="1" applyFill="1" applyBorder="1" applyAlignment="1">
      <alignment horizontal="center" vertical="center"/>
    </xf>
    <xf numFmtId="43" fontId="24" fillId="8" borderId="54" xfId="1" applyFont="1" applyFill="1" applyBorder="1" applyAlignment="1">
      <alignment horizontal="center" vertical="center"/>
    </xf>
    <xf numFmtId="43" fontId="24" fillId="8" borderId="46" xfId="1" applyFont="1" applyFill="1" applyBorder="1" applyAlignment="1">
      <alignment horizontal="center" vertical="center"/>
    </xf>
    <xf numFmtId="0" fontId="3" fillId="0" borderId="7" xfId="0" applyFont="1" applyBorder="1" applyAlignment="1">
      <alignment horizontal="left" vertical="center"/>
    </xf>
    <xf numFmtId="0" fontId="3" fillId="0" borderId="18" xfId="0" applyFont="1" applyBorder="1" applyAlignment="1">
      <alignment horizontal="left" vertical="center"/>
    </xf>
    <xf numFmtId="0" fontId="13" fillId="0" borderId="30" xfId="0" applyFont="1" applyBorder="1" applyAlignment="1">
      <alignment horizontal="left" vertical="center"/>
    </xf>
    <xf numFmtId="0" fontId="3" fillId="0" borderId="0" xfId="0" applyFont="1" applyAlignment="1">
      <alignment horizontal="center" vertical="center"/>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4" xfId="0" applyFont="1" applyFill="1" applyBorder="1" applyAlignment="1">
      <alignment horizontal="left" vertical="center"/>
    </xf>
    <xf numFmtId="0" fontId="5" fillId="2" borderId="5" xfId="0" applyFont="1" applyFill="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0" borderId="54" xfId="0" applyFont="1" applyBorder="1" applyAlignment="1">
      <alignment horizontal="center" vertical="center"/>
    </xf>
    <xf numFmtId="0" fontId="4" fillId="0" borderId="46" xfId="0" applyFont="1" applyBorder="1" applyAlignment="1">
      <alignment horizontal="center" vertical="center"/>
    </xf>
    <xf numFmtId="0" fontId="3" fillId="2" borderId="7" xfId="0" applyFont="1" applyFill="1" applyBorder="1" applyAlignment="1">
      <alignment horizontal="left" vertical="center"/>
    </xf>
    <xf numFmtId="0" fontId="3" fillId="2" borderId="18" xfId="0" applyFont="1" applyFill="1" applyBorder="1" applyAlignment="1">
      <alignment horizontal="left" vertical="center"/>
    </xf>
    <xf numFmtId="0" fontId="3" fillId="0" borderId="49" xfId="0" applyFont="1" applyBorder="1" applyAlignment="1">
      <alignment horizontal="center" vertical="center"/>
    </xf>
    <xf numFmtId="0" fontId="3" fillId="0" borderId="47" xfId="0" applyFont="1" applyBorder="1" applyAlignment="1">
      <alignment horizontal="center" vertical="center"/>
    </xf>
    <xf numFmtId="0" fontId="4" fillId="0" borderId="47" xfId="0" applyFont="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3" fillId="0" borderId="29" xfId="0" applyFont="1" applyBorder="1" applyAlignment="1">
      <alignment horizontal="left" vertical="center"/>
    </xf>
    <xf numFmtId="0" fontId="3" fillId="0" borderId="46" xfId="0" applyFont="1" applyBorder="1" applyAlignment="1">
      <alignment horizontal="left" vertical="center"/>
    </xf>
    <xf numFmtId="0" fontId="3" fillId="0" borderId="28" xfId="0" applyFont="1" applyBorder="1" applyAlignment="1">
      <alignment horizontal="center" vertical="center"/>
    </xf>
    <xf numFmtId="0" fontId="3" fillId="0" borderId="31" xfId="0" applyFont="1" applyBorder="1" applyAlignment="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3" fillId="0" borderId="49" xfId="0" applyFont="1" applyBorder="1" applyAlignment="1">
      <alignment horizontal="left" vertical="center"/>
    </xf>
    <xf numFmtId="0" fontId="3" fillId="0" borderId="47" xfId="0" applyFont="1" applyBorder="1" applyAlignment="1">
      <alignment horizontal="left" vertical="center"/>
    </xf>
    <xf numFmtId="0" fontId="3" fillId="0" borderId="48" xfId="0" applyFont="1" applyBorder="1" applyAlignment="1">
      <alignment horizontal="left" vertical="center"/>
    </xf>
    <xf numFmtId="0" fontId="13" fillId="0" borderId="29" xfId="0" applyFont="1" applyBorder="1" applyAlignment="1">
      <alignment horizontal="left" vertical="center"/>
    </xf>
    <xf numFmtId="0" fontId="13" fillId="0" borderId="46" xfId="0" applyFont="1" applyBorder="1" applyAlignment="1">
      <alignment horizontal="left" vertical="center"/>
    </xf>
    <xf numFmtId="0" fontId="13" fillId="0" borderId="41" xfId="0" applyFont="1" applyBorder="1" applyAlignment="1">
      <alignment horizontal="left" vertical="center"/>
    </xf>
    <xf numFmtId="0" fontId="13" fillId="0" borderId="56" xfId="0" applyFont="1" applyBorder="1" applyAlignment="1">
      <alignment horizontal="left" vertical="center"/>
    </xf>
    <xf numFmtId="0" fontId="3" fillId="0" borderId="40" xfId="0" applyFont="1" applyBorder="1" applyAlignment="1">
      <alignment horizontal="center" vertical="center"/>
    </xf>
    <xf numFmtId="0" fontId="3" fillId="0" borderId="42" xfId="0" applyFont="1" applyBorder="1" applyAlignment="1">
      <alignment horizontal="center" vertical="center"/>
    </xf>
    <xf numFmtId="0" fontId="2" fillId="0" borderId="0" xfId="0" applyFont="1" applyAlignment="1">
      <alignment horizontal="center" wrapText="1"/>
    </xf>
    <xf numFmtId="43" fontId="4" fillId="12" borderId="30" xfId="1" applyFont="1" applyFill="1" applyBorder="1" applyAlignment="1">
      <alignment vertical="center"/>
    </xf>
    <xf numFmtId="43" fontId="4" fillId="12" borderId="39" xfId="1" applyFont="1" applyFill="1" applyBorder="1" applyAlignment="1">
      <alignment vertical="center"/>
    </xf>
    <xf numFmtId="43" fontId="4" fillId="12" borderId="24" xfId="1" applyFont="1" applyFill="1" applyBorder="1" applyAlignment="1">
      <alignment vertical="center"/>
    </xf>
    <xf numFmtId="43" fontId="4" fillId="12" borderId="43" xfId="1" applyFont="1" applyFill="1" applyBorder="1" applyAlignment="1">
      <alignment vertical="center"/>
    </xf>
    <xf numFmtId="43" fontId="4" fillId="12" borderId="25" xfId="1" applyFont="1" applyFill="1" applyBorder="1" applyAlignment="1">
      <alignment vertical="center"/>
    </xf>
    <xf numFmtId="43" fontId="4" fillId="12" borderId="30" xfId="1" applyFont="1" applyFill="1" applyBorder="1" applyAlignment="1">
      <alignment horizontal="center" vertical="center"/>
    </xf>
    <xf numFmtId="9" fontId="4" fillId="12" borderId="30" xfId="1" applyNumberFormat="1" applyFont="1" applyFill="1" applyBorder="1" applyAlignment="1">
      <alignment vertical="center"/>
    </xf>
    <xf numFmtId="43" fontId="4" fillId="12" borderId="28" xfId="1" applyFont="1" applyFill="1" applyBorder="1" applyAlignment="1">
      <alignment vertical="center"/>
    </xf>
    <xf numFmtId="43" fontId="4" fillId="12" borderId="30" xfId="2" applyNumberFormat="1" applyFont="1" applyFill="1" applyBorder="1" applyAlignment="1">
      <alignment vertical="center"/>
    </xf>
    <xf numFmtId="43" fontId="0" fillId="0" borderId="28" xfId="0" applyNumberFormat="1" applyBorder="1"/>
    <xf numFmtId="0" fontId="2" fillId="0" borderId="28" xfId="0" applyFont="1" applyBorder="1" applyAlignment="1">
      <alignment horizontal="center"/>
    </xf>
    <xf numFmtId="0" fontId="2" fillId="10" borderId="35" xfId="0" applyFont="1" applyFill="1" applyBorder="1" applyAlignment="1">
      <alignment horizontal="center" vertical="center"/>
    </xf>
    <xf numFmtId="0" fontId="2" fillId="10" borderId="36" xfId="0" applyFont="1" applyFill="1" applyBorder="1" applyAlignment="1">
      <alignment horizontal="center" vertical="center"/>
    </xf>
    <xf numFmtId="0" fontId="2" fillId="10" borderId="38" xfId="0" applyFont="1" applyFill="1" applyBorder="1" applyAlignment="1">
      <alignment horizontal="center" vertical="center"/>
    </xf>
    <xf numFmtId="0" fontId="2" fillId="0" borderId="30" xfId="0" applyFont="1" applyBorder="1" applyAlignment="1">
      <alignment horizontal="center"/>
    </xf>
    <xf numFmtId="0" fontId="2" fillId="0" borderId="31" xfId="0" applyFont="1" applyBorder="1" applyAlignment="1">
      <alignment horizontal="center"/>
    </xf>
    <xf numFmtId="43" fontId="2" fillId="0" borderId="39" xfId="1" applyFont="1" applyBorder="1"/>
    <xf numFmtId="43" fontId="2" fillId="0" borderId="40" xfId="1" applyFont="1" applyBorder="1"/>
    <xf numFmtId="43" fontId="0" fillId="0" borderId="30" xfId="0" applyNumberFormat="1" applyBorder="1"/>
    <xf numFmtId="43" fontId="0" fillId="0" borderId="31" xfId="0" applyNumberFormat="1" applyBorder="1"/>
    <xf numFmtId="43" fontId="2" fillId="0" borderId="39" xfId="0" applyNumberFormat="1" applyFont="1" applyBorder="1"/>
    <xf numFmtId="43" fontId="2" fillId="0" borderId="40" xfId="0" applyNumberFormat="1" applyFont="1" applyBorder="1"/>
    <xf numFmtId="0" fontId="2" fillId="0" borderId="29" xfId="0" applyFont="1" applyBorder="1" applyAlignment="1">
      <alignment horizontal="center"/>
    </xf>
    <xf numFmtId="0" fontId="2" fillId="0" borderId="54" xfId="0" applyFont="1" applyBorder="1" applyAlignment="1">
      <alignment horizontal="center"/>
    </xf>
    <xf numFmtId="0" fontId="2" fillId="0" borderId="46" xfId="0" applyFont="1" applyBorder="1" applyAlignment="1">
      <alignment horizontal="center"/>
    </xf>
    <xf numFmtId="0" fontId="31" fillId="0" borderId="29" xfId="0" applyFont="1" applyBorder="1" applyAlignment="1">
      <alignment horizontal="center" vertical="center"/>
    </xf>
    <xf numFmtId="0" fontId="31" fillId="0" borderId="54" xfId="0" applyFont="1" applyBorder="1" applyAlignment="1">
      <alignment horizontal="center" vertical="center"/>
    </xf>
    <xf numFmtId="43" fontId="0" fillId="0" borderId="46" xfId="1" applyFont="1" applyBorder="1"/>
    <xf numFmtId="43" fontId="0" fillId="12" borderId="46" xfId="1" applyFont="1" applyFill="1" applyBorder="1"/>
    <xf numFmtId="43" fontId="0" fillId="12" borderId="30" xfId="0" applyNumberFormat="1" applyFill="1" applyBorder="1"/>
    <xf numFmtId="43" fontId="0" fillId="12" borderId="28" xfId="1" applyFont="1" applyFill="1" applyBorder="1"/>
    <xf numFmtId="43" fontId="0" fillId="12" borderId="28" xfId="0" applyNumberFormat="1" applyFill="1" applyBorder="1"/>
    <xf numFmtId="43" fontId="4" fillId="12" borderId="28" xfId="1" applyFont="1" applyFill="1" applyBorder="1" applyAlignment="1">
      <alignment horizontal="right" vertical="center"/>
    </xf>
    <xf numFmtId="9" fontId="4" fillId="12" borderId="28" xfId="2" applyFont="1" applyFill="1" applyBorder="1" applyAlignment="1">
      <alignment horizontal="right" vertical="center"/>
    </xf>
    <xf numFmtId="43" fontId="4" fillId="12" borderId="40" xfId="1" applyFont="1" applyFill="1" applyBorder="1" applyAlignment="1">
      <alignment horizontal="right" vertical="center"/>
    </xf>
    <xf numFmtId="43" fontId="2" fillId="8" borderId="42" xfId="0" applyNumberFormat="1" applyFont="1" applyFill="1" applyBorder="1"/>
    <xf numFmtId="43" fontId="2" fillId="10" borderId="42" xfId="1" applyFont="1" applyFill="1" applyBorder="1"/>
    <xf numFmtId="0" fontId="7" fillId="0" borderId="8" xfId="0" applyFont="1" applyBorder="1" applyAlignment="1">
      <alignment horizontal="left" vertical="center"/>
    </xf>
    <xf numFmtId="0" fontId="7" fillId="0" borderId="7" xfId="0" applyFont="1" applyBorder="1" applyAlignment="1">
      <alignment horizontal="left" vertical="center"/>
    </xf>
    <xf numFmtId="165" fontId="7" fillId="0" borderId="16" xfId="1" applyNumberFormat="1" applyFont="1" applyFill="1" applyBorder="1" applyAlignment="1">
      <alignment horizontal="center" vertical="center"/>
    </xf>
    <xf numFmtId="0" fontId="2" fillId="15" borderId="0" xfId="0" applyFont="1" applyFill="1"/>
    <xf numFmtId="43" fontId="2" fillId="15" borderId="0" xfId="0" applyNumberFormat="1" applyFont="1" applyFill="1"/>
  </cellXfs>
  <cellStyles count="6">
    <cellStyle name="Comma" xfId="1" builtinId="3"/>
    <cellStyle name="Comma 2" xfId="4" xr:uid="{9EB089AE-559C-46BB-AD0B-D56941FD08ED}"/>
    <cellStyle name="Comma 3" xfId="5" xr:uid="{D46411C8-7FD7-429F-81AA-D53498B32E1A}"/>
    <cellStyle name="Normal" xfId="0" builtinId="0"/>
    <cellStyle name="Normal 3" xfId="3" xr:uid="{CEADBE68-C755-46D2-B1DA-AF8354FBEC6C}"/>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ga001-sp.shell.com/Users/Ivan.Okoye/AppData/Local/Microsoft/Windows/INetCache/Content.Outlook/H2NC6ZYO/Consultancy%20Contract%20-%20Scope%20of%20Work%20update%2016-Nov-2019cel1b_7-Feb-2020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projection"/>
      <sheetName val="commercial (2)"/>
    </sheetNames>
    <sheetDataSet>
      <sheetData sheetId="0" refreshError="1"/>
      <sheetData sheetId="1" refreshError="1">
        <row r="9">
          <cell r="V9">
            <v>645600</v>
          </cell>
        </row>
        <row r="10">
          <cell r="V10">
            <v>1054400</v>
          </cell>
        </row>
        <row r="11">
          <cell r="V11">
            <v>1463200</v>
          </cell>
        </row>
        <row r="12">
          <cell r="V12">
            <v>2286800</v>
          </cell>
        </row>
        <row r="13">
          <cell r="V13">
            <v>2695600</v>
          </cell>
        </row>
        <row r="14">
          <cell r="V14">
            <v>3104400</v>
          </cell>
        </row>
        <row r="15">
          <cell r="V15">
            <v>3513200</v>
          </cell>
        </row>
        <row r="16">
          <cell r="V16">
            <v>3922000</v>
          </cell>
        </row>
        <row r="18">
          <cell r="V18">
            <v>276800</v>
          </cell>
        </row>
        <row r="19">
          <cell r="V19">
            <v>725600</v>
          </cell>
        </row>
        <row r="20">
          <cell r="V20">
            <v>1174400</v>
          </cell>
        </row>
        <row r="21">
          <cell r="V21">
            <v>1623200</v>
          </cell>
        </row>
        <row r="22">
          <cell r="V22">
            <v>2526800</v>
          </cell>
        </row>
        <row r="23">
          <cell r="V23">
            <v>2975600</v>
          </cell>
        </row>
        <row r="24">
          <cell r="V24">
            <v>3424400</v>
          </cell>
        </row>
        <row r="25">
          <cell r="V25">
            <v>3873200</v>
          </cell>
        </row>
        <row r="26">
          <cell r="V26">
            <v>4322000</v>
          </cell>
        </row>
        <row r="29">
          <cell r="V29">
            <v>236800</v>
          </cell>
        </row>
        <row r="30">
          <cell r="V30">
            <v>627600</v>
          </cell>
        </row>
        <row r="31">
          <cell r="V31">
            <v>1018400</v>
          </cell>
        </row>
        <row r="32">
          <cell r="V32">
            <v>1409200</v>
          </cell>
        </row>
        <row r="33">
          <cell r="V33">
            <v>2196800</v>
          </cell>
        </row>
        <row r="34">
          <cell r="V34">
            <v>2587600</v>
          </cell>
        </row>
        <row r="35">
          <cell r="V35">
            <v>2978400</v>
          </cell>
        </row>
        <row r="36">
          <cell r="V36">
            <v>3369200</v>
          </cell>
        </row>
        <row r="37">
          <cell r="V37">
            <v>3760000</v>
          </cell>
        </row>
        <row r="40">
          <cell r="V40">
            <v>276799</v>
          </cell>
        </row>
        <row r="41">
          <cell r="V41">
            <v>707600</v>
          </cell>
        </row>
        <row r="42">
          <cell r="V42">
            <v>1138400</v>
          </cell>
        </row>
        <row r="43">
          <cell r="V43">
            <v>1569200</v>
          </cell>
        </row>
        <row r="44">
          <cell r="V44">
            <v>2436800</v>
          </cell>
        </row>
        <row r="45">
          <cell r="V45">
            <v>2867600</v>
          </cell>
        </row>
        <row r="46">
          <cell r="V46">
            <v>3298400</v>
          </cell>
        </row>
        <row r="47">
          <cell r="V47">
            <v>3729200</v>
          </cell>
        </row>
        <row r="48">
          <cell r="V48">
            <v>4160000</v>
          </cell>
        </row>
        <row r="51">
          <cell r="V51">
            <v>236800</v>
          </cell>
        </row>
        <row r="52">
          <cell r="V52">
            <v>699600</v>
          </cell>
        </row>
        <row r="53">
          <cell r="V53">
            <v>1162400</v>
          </cell>
        </row>
        <row r="54">
          <cell r="V54">
            <v>1625200</v>
          </cell>
        </row>
        <row r="55">
          <cell r="V55">
            <v>2556800</v>
          </cell>
        </row>
        <row r="56">
          <cell r="V56">
            <v>3019600</v>
          </cell>
        </row>
        <row r="57">
          <cell r="V57">
            <v>3482400</v>
          </cell>
        </row>
        <row r="58">
          <cell r="V58">
            <v>3945200</v>
          </cell>
        </row>
        <row r="59">
          <cell r="V59">
            <v>4408000</v>
          </cell>
        </row>
        <row r="61">
          <cell r="V61">
            <v>276800</v>
          </cell>
        </row>
        <row r="62">
          <cell r="V62">
            <v>779600</v>
          </cell>
        </row>
        <row r="63">
          <cell r="V63">
            <v>1282400</v>
          </cell>
        </row>
        <row r="64">
          <cell r="V64">
            <v>1785200</v>
          </cell>
        </row>
        <row r="65">
          <cell r="V65">
            <v>2796800</v>
          </cell>
        </row>
        <row r="66">
          <cell r="V66">
            <v>3299600</v>
          </cell>
        </row>
        <row r="67">
          <cell r="V67">
            <v>3802400</v>
          </cell>
        </row>
        <row r="68">
          <cell r="V68">
            <v>4305200</v>
          </cell>
        </row>
        <row r="69">
          <cell r="V69">
            <v>4808000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6C681-DDE0-421D-B75B-E44E32683CD5}">
  <dimension ref="A2:R42"/>
  <sheetViews>
    <sheetView workbookViewId="0">
      <selection activeCell="C4" sqref="C4"/>
    </sheetView>
  </sheetViews>
  <sheetFormatPr defaultRowHeight="15" x14ac:dyDescent="0.25"/>
  <cols>
    <col min="1" max="1" width="5.5703125" customWidth="1"/>
    <col min="2" max="2" width="13.28515625" customWidth="1"/>
    <col min="3" max="3" width="53.5703125" customWidth="1"/>
    <col min="4" max="4" width="19.85546875" hidden="1" customWidth="1"/>
    <col min="5" max="6" width="15.7109375" hidden="1" customWidth="1"/>
    <col min="7" max="7" width="2.7109375" customWidth="1"/>
    <col min="8" max="8" width="19.85546875" bestFit="1" customWidth="1"/>
    <col min="9" max="9" width="14.5703125" bestFit="1" customWidth="1"/>
    <col min="10" max="10" width="15.7109375" bestFit="1" customWidth="1"/>
    <col min="11" max="11" width="6.42578125" style="356" customWidth="1"/>
    <col min="12" max="12" width="19.85546875" bestFit="1" customWidth="1"/>
    <col min="13" max="14" width="15.7109375" bestFit="1" customWidth="1"/>
    <col min="15" max="15" width="6.42578125" customWidth="1"/>
    <col min="16" max="16" width="18.5703125" hidden="1" customWidth="1"/>
    <col min="17" max="17" width="20.85546875" hidden="1" customWidth="1"/>
    <col min="18" max="18" width="18.85546875" hidden="1" customWidth="1"/>
  </cols>
  <sheetData>
    <row r="2" spans="1:17" ht="15.75" thickBot="1" x14ac:dyDescent="0.3"/>
    <row r="3" spans="1:17" s="337" customFormat="1" ht="15.75" thickBot="1" x14ac:dyDescent="0.3">
      <c r="D3" s="434" t="s">
        <v>5</v>
      </c>
      <c r="E3" s="435"/>
      <c r="F3" s="436"/>
      <c r="G3" s="358"/>
      <c r="H3" s="437" t="s">
        <v>689</v>
      </c>
      <c r="I3" s="438"/>
      <c r="J3" s="439"/>
      <c r="K3" s="358"/>
      <c r="L3" s="431" t="s">
        <v>690</v>
      </c>
      <c r="M3" s="432"/>
      <c r="N3" s="433"/>
      <c r="O3" s="364"/>
      <c r="P3" s="440" t="s">
        <v>694</v>
      </c>
      <c r="Q3" s="440"/>
    </row>
    <row r="4" spans="1:17" s="337" customFormat="1" x14ac:dyDescent="0.25">
      <c r="B4" s="349"/>
      <c r="C4" s="373" t="s">
        <v>673</v>
      </c>
      <c r="D4" s="383" t="s">
        <v>685</v>
      </c>
      <c r="E4" s="384" t="s">
        <v>686</v>
      </c>
      <c r="F4" s="385" t="s">
        <v>687</v>
      </c>
      <c r="G4" s="374"/>
      <c r="H4" s="383" t="s">
        <v>685</v>
      </c>
      <c r="I4" s="384" t="s">
        <v>686</v>
      </c>
      <c r="J4" s="385" t="s">
        <v>687</v>
      </c>
      <c r="K4" s="374"/>
      <c r="L4" s="383" t="s">
        <v>685</v>
      </c>
      <c r="M4" s="384" t="s">
        <v>686</v>
      </c>
      <c r="N4" s="385" t="s">
        <v>687</v>
      </c>
      <c r="P4" s="337" t="s">
        <v>685</v>
      </c>
      <c r="Q4" s="337" t="s">
        <v>686</v>
      </c>
    </row>
    <row r="5" spans="1:17" x14ac:dyDescent="0.25">
      <c r="B5" s="342" t="str">
        <f>'Old vs New Rate'!B271</f>
        <v>SECTION A</v>
      </c>
      <c r="C5" s="352" t="s">
        <v>674</v>
      </c>
      <c r="D5" s="353">
        <f>'Old vs New Rate'!H271</f>
        <v>707184000</v>
      </c>
      <c r="E5" s="354">
        <f>'Old vs New Rate'!I271</f>
        <v>0</v>
      </c>
      <c r="F5" s="355">
        <f>'Old vs New Rate'!J271</f>
        <v>1715633.1877729257</v>
      </c>
      <c r="G5" s="357"/>
      <c r="H5" s="353">
        <f>'Old vs New Rate'!N271</f>
        <v>476000000</v>
      </c>
      <c r="I5" s="354">
        <f>'Old vs New Rate'!O271</f>
        <v>0</v>
      </c>
      <c r="J5" s="355">
        <f>'Old vs New Rate'!P271</f>
        <v>1154779.2333818534</v>
      </c>
      <c r="K5" s="357"/>
      <c r="L5" s="353">
        <f>'Old vs New Rate'!S271</f>
        <v>527230000</v>
      </c>
      <c r="M5" s="354">
        <f>'Old vs New Rate'!T271</f>
        <v>0</v>
      </c>
      <c r="N5" s="355">
        <f>'Old vs New Rate'!U271</f>
        <v>1279063.5613779719</v>
      </c>
      <c r="P5" s="345">
        <f>L5-H5</f>
        <v>51230000</v>
      </c>
      <c r="Q5" s="345">
        <f>M5-I5</f>
        <v>0</v>
      </c>
    </row>
    <row r="6" spans="1:17" x14ac:dyDescent="0.25">
      <c r="B6" s="342" t="str">
        <f>'Old vs New Rate'!B272</f>
        <v>SECTION B</v>
      </c>
      <c r="C6" s="352" t="s">
        <v>675</v>
      </c>
      <c r="D6" s="353">
        <f>'Old vs New Rate'!H272</f>
        <v>1658647800</v>
      </c>
      <c r="E6" s="354">
        <f>'Old vs New Rate'!I272</f>
        <v>0</v>
      </c>
      <c r="F6" s="355">
        <f>'Old vs New Rate'!J272</f>
        <v>4023890.8296943228</v>
      </c>
      <c r="G6" s="357"/>
      <c r="H6" s="353">
        <f>'Old vs New Rate'!N272</f>
        <v>1192000000</v>
      </c>
      <c r="I6" s="354">
        <f>'Old vs New Rate'!O272</f>
        <v>0</v>
      </c>
      <c r="J6" s="355">
        <f>'Old vs New Rate'!P272</f>
        <v>2891800.0970402719</v>
      </c>
      <c r="K6" s="357"/>
      <c r="L6" s="353">
        <f>'Old vs New Rate'!S272</f>
        <v>1486380000</v>
      </c>
      <c r="M6" s="354">
        <f>'Old vs New Rate'!T272</f>
        <v>0</v>
      </c>
      <c r="N6" s="355">
        <f>'Old vs New Rate'!U272</f>
        <v>3605967.9767103354</v>
      </c>
      <c r="P6" s="345">
        <f>L6-H6</f>
        <v>294380000</v>
      </c>
      <c r="Q6" s="345">
        <f t="shared" ref="Q6:Q19" si="0">M6-I6</f>
        <v>0</v>
      </c>
    </row>
    <row r="7" spans="1:17" x14ac:dyDescent="0.25">
      <c r="B7" s="342" t="str">
        <f>'Old vs New Rate'!B273</f>
        <v>SECTION C</v>
      </c>
      <c r="C7" s="352" t="s">
        <v>676</v>
      </c>
      <c r="D7" s="353">
        <f>'Old vs New Rate'!H273</f>
        <v>801524000</v>
      </c>
      <c r="E7" s="354">
        <f>'Old vs New Rate'!I273</f>
        <v>0</v>
      </c>
      <c r="F7" s="355">
        <f>'Old vs New Rate'!J273</f>
        <v>1944502.668607472</v>
      </c>
      <c r="G7" s="357"/>
      <c r="H7" s="353">
        <f>'Old vs New Rate'!N273</f>
        <v>504000000</v>
      </c>
      <c r="I7" s="354">
        <f>'Old vs New Rate'!O273</f>
        <v>0</v>
      </c>
      <c r="J7" s="355">
        <f>'Old vs New Rate'!P273</f>
        <v>1222707.423580786</v>
      </c>
      <c r="K7" s="357"/>
      <c r="L7" s="353">
        <f>'Old vs New Rate'!S273</f>
        <v>632022000</v>
      </c>
      <c r="M7" s="354">
        <f>'Old vs New Rate'!T273</f>
        <v>0</v>
      </c>
      <c r="N7" s="355">
        <f>'Old vs New Rate'!U273</f>
        <v>1533289.6652110624</v>
      </c>
      <c r="P7" s="345">
        <f t="shared" ref="P7:P19" si="1">L7-H7</f>
        <v>128022000</v>
      </c>
      <c r="Q7" s="345">
        <f t="shared" si="0"/>
        <v>0</v>
      </c>
    </row>
    <row r="8" spans="1:17" x14ac:dyDescent="0.25">
      <c r="B8" s="342" t="str">
        <f>'Old vs New Rate'!B274</f>
        <v>Section D</v>
      </c>
      <c r="C8" s="352" t="s">
        <v>103</v>
      </c>
      <c r="D8" s="353">
        <f>'Old vs New Rate'!H274</f>
        <v>496000000</v>
      </c>
      <c r="E8" s="354">
        <f>'Old vs New Rate'!I274</f>
        <v>240000</v>
      </c>
      <c r="F8" s="355">
        <f>'Old vs New Rate'!J274</f>
        <v>1443299.3692382339</v>
      </c>
      <c r="G8" s="357"/>
      <c r="H8" s="353">
        <f>'Old vs New Rate'!N274</f>
        <v>364000000</v>
      </c>
      <c r="I8" s="354">
        <f>'Old vs New Rate'!O274</f>
        <v>180000</v>
      </c>
      <c r="J8" s="355">
        <f>'Old vs New Rate'!P274</f>
        <v>1063066.4725861233</v>
      </c>
      <c r="K8" s="357"/>
      <c r="L8" s="353">
        <f>'Old vs New Rate'!S274</f>
        <v>475200000</v>
      </c>
      <c r="M8" s="354">
        <f>'Old vs New Rate'!T274</f>
        <v>2260000</v>
      </c>
      <c r="N8" s="355">
        <f>'Old vs New Rate'!U274</f>
        <v>3412838.427947598</v>
      </c>
      <c r="P8" s="345">
        <f t="shared" si="1"/>
        <v>111200000</v>
      </c>
      <c r="Q8" s="345">
        <f t="shared" si="0"/>
        <v>2080000</v>
      </c>
    </row>
    <row r="9" spans="1:17" x14ac:dyDescent="0.25">
      <c r="B9" s="342" t="str">
        <f>'Old vs New Rate'!B275</f>
        <v>Section E</v>
      </c>
      <c r="C9" s="352" t="s">
        <v>110</v>
      </c>
      <c r="D9" s="353">
        <f>'Old vs New Rate'!H275</f>
        <v>55466666.666666664</v>
      </c>
      <c r="E9" s="354">
        <f>'Old vs New Rate'!I275</f>
        <v>6933.333333333333</v>
      </c>
      <c r="F9" s="355">
        <f>'Old vs New Rate'!J275</f>
        <v>141495.843441695</v>
      </c>
      <c r="G9" s="357"/>
      <c r="H9" s="353">
        <f>'Old vs New Rate'!N275</f>
        <v>46050000</v>
      </c>
      <c r="I9" s="360">
        <f>'Old vs New Rate'!O275</f>
        <v>4200</v>
      </c>
      <c r="J9" s="421">
        <f>'Old vs New Rate'!P275</f>
        <v>115917.61280931586</v>
      </c>
      <c r="K9" s="357"/>
      <c r="L9" s="353">
        <f>'Old vs New Rate'!S275</f>
        <v>31496666.666666668</v>
      </c>
      <c r="M9" s="360">
        <f>'Old vs New Rate'!T275</f>
        <v>6933.333333333333</v>
      </c>
      <c r="N9" s="421">
        <f>'Old vs New Rate'!U275</f>
        <v>83344.460617823061</v>
      </c>
      <c r="P9" s="345">
        <v>0</v>
      </c>
      <c r="Q9" s="345">
        <f t="shared" si="0"/>
        <v>2733.333333333333</v>
      </c>
    </row>
    <row r="10" spans="1:17" x14ac:dyDescent="0.25">
      <c r="B10" s="342" t="str">
        <f>'Old vs New Rate'!B276</f>
        <v>SECTION F</v>
      </c>
      <c r="C10" s="352" t="s">
        <v>677</v>
      </c>
      <c r="D10" s="353">
        <f>'Old vs New Rate'!H276</f>
        <v>38400000</v>
      </c>
      <c r="E10" s="354">
        <f>'Old vs New Rate'!I276</f>
        <v>0</v>
      </c>
      <c r="F10" s="355">
        <f>'Old vs New Rate'!J276</f>
        <v>93158.660844250378</v>
      </c>
      <c r="G10" s="357"/>
      <c r="H10" s="353">
        <f>'Old vs New Rate'!N276</f>
        <v>34000000</v>
      </c>
      <c r="I10" s="354">
        <f>'Old vs New Rate'!O276</f>
        <v>0</v>
      </c>
      <c r="J10" s="355">
        <f>'Old vs New Rate'!P276</f>
        <v>82484.23095584668</v>
      </c>
      <c r="K10" s="357"/>
      <c r="L10" s="353">
        <f>'Old vs New Rate'!S276</f>
        <v>38400000</v>
      </c>
      <c r="M10" s="354">
        <f>'Old vs New Rate'!T276</f>
        <v>0</v>
      </c>
      <c r="N10" s="355">
        <f>'Old vs New Rate'!U276</f>
        <v>93158.660844250378</v>
      </c>
      <c r="P10" s="345">
        <f t="shared" si="1"/>
        <v>4400000</v>
      </c>
      <c r="Q10" s="345">
        <f t="shared" si="0"/>
        <v>0</v>
      </c>
    </row>
    <row r="11" spans="1:17" x14ac:dyDescent="0.25">
      <c r="B11" s="342" t="str">
        <f>'Old vs New Rate'!B277</f>
        <v>Section G</v>
      </c>
      <c r="C11" s="352" t="s">
        <v>678</v>
      </c>
      <c r="D11" s="353">
        <f>'Old vs New Rate'!H277</f>
        <v>21000000</v>
      </c>
      <c r="E11" s="354">
        <f>'Old vs New Rate'!I277</f>
        <v>0</v>
      </c>
      <c r="F11" s="355">
        <f>'Old vs New Rate'!J277</f>
        <v>50946.142649199421</v>
      </c>
      <c r="G11" s="357"/>
      <c r="H11" s="353">
        <f>'Old vs New Rate'!N277</f>
        <v>18725000</v>
      </c>
      <c r="I11" s="354">
        <f>'Old vs New Rate'!O277</f>
        <v>0</v>
      </c>
      <c r="J11" s="421">
        <f>'Old vs New Rate'!P277</f>
        <v>45426.97719553615</v>
      </c>
      <c r="K11" s="357"/>
      <c r="L11" s="353">
        <f>'Old vs New Rate'!S277</f>
        <v>9700000</v>
      </c>
      <c r="M11" s="354">
        <f>'Old vs New Rate'!T277</f>
        <v>0</v>
      </c>
      <c r="N11" s="421">
        <f>'Old vs New Rate'!U277</f>
        <v>23532.265890344494</v>
      </c>
      <c r="P11" s="345">
        <v>0</v>
      </c>
      <c r="Q11" s="345">
        <f t="shared" si="0"/>
        <v>0</v>
      </c>
    </row>
    <row r="12" spans="1:17" x14ac:dyDescent="0.25">
      <c r="A12" s="375"/>
      <c r="B12" s="376" t="str">
        <f>'Old vs New Rate'!B278</f>
        <v>Section H</v>
      </c>
      <c r="C12" s="377" t="s">
        <v>679</v>
      </c>
      <c r="D12" s="378">
        <f>'Old vs New Rate'!H278</f>
        <v>27500000</v>
      </c>
      <c r="E12" s="360">
        <f>'Old vs New Rate'!I278</f>
        <v>0</v>
      </c>
      <c r="F12" s="379">
        <f>'Old vs New Rate'!J278</f>
        <v>66715.186802523036</v>
      </c>
      <c r="G12" s="380"/>
      <c r="H12" s="378">
        <f>'Old vs New Rate'!N278</f>
        <v>21500000</v>
      </c>
      <c r="I12" s="360">
        <f>'Old vs New Rate'!O278</f>
        <v>0</v>
      </c>
      <c r="J12" s="421">
        <f>'Old vs New Rate'!P278</f>
        <v>52159.146045608926</v>
      </c>
      <c r="K12" s="380"/>
      <c r="L12" s="378">
        <f>'Old vs New Rate'!S278</f>
        <v>20500000</v>
      </c>
      <c r="M12" s="360">
        <f>'Old vs New Rate'!T278</f>
        <v>0</v>
      </c>
      <c r="N12" s="421">
        <f>'Old vs New Rate'!U278</f>
        <v>49733.139252789908</v>
      </c>
      <c r="O12" s="375"/>
      <c r="P12" s="345">
        <v>0</v>
      </c>
      <c r="Q12" s="345">
        <f t="shared" si="0"/>
        <v>0</v>
      </c>
    </row>
    <row r="13" spans="1:17" x14ac:dyDescent="0.25">
      <c r="A13" s="375"/>
      <c r="B13" s="376" t="str">
        <f>'Old vs New Rate'!B279</f>
        <v>Section I</v>
      </c>
      <c r="C13" s="377" t="s">
        <v>680</v>
      </c>
      <c r="D13" s="378">
        <f>'Old vs New Rate'!H279</f>
        <v>62500000</v>
      </c>
      <c r="E13" s="360">
        <f>'Old vs New Rate'!I279</f>
        <v>0</v>
      </c>
      <c r="F13" s="379">
        <f>'Old vs New Rate'!J279</f>
        <v>151625.42455118874</v>
      </c>
      <c r="G13" s="380"/>
      <c r="H13" s="378">
        <f>'Old vs New Rate'!N279</f>
        <v>27500000</v>
      </c>
      <c r="I13" s="360">
        <f>'Old vs New Rate'!O279</f>
        <v>0</v>
      </c>
      <c r="J13" s="421">
        <f>'Old vs New Rate'!P279</f>
        <v>66715.186802523051</v>
      </c>
      <c r="K13" s="380"/>
      <c r="L13" s="378">
        <f>'Old vs New Rate'!S279</f>
        <v>6000000</v>
      </c>
      <c r="M13" s="360">
        <f>'Old vs New Rate'!T279</f>
        <v>0</v>
      </c>
      <c r="N13" s="421">
        <f>'Old vs New Rate'!U279</f>
        <v>14556.040756914121</v>
      </c>
      <c r="O13" s="375"/>
      <c r="P13" s="345">
        <v>0</v>
      </c>
      <c r="Q13" s="345">
        <f t="shared" si="0"/>
        <v>0</v>
      </c>
    </row>
    <row r="14" spans="1:17" x14ac:dyDescent="0.25">
      <c r="A14" s="375"/>
      <c r="B14" s="376" t="str">
        <f>'Old vs New Rate'!B280</f>
        <v>Section J</v>
      </c>
      <c r="C14" s="377" t="s">
        <v>172</v>
      </c>
      <c r="D14" s="378">
        <f>'Old vs New Rate'!H280</f>
        <v>27000000</v>
      </c>
      <c r="E14" s="360">
        <f>'Old vs New Rate'!I280</f>
        <v>0</v>
      </c>
      <c r="F14" s="379">
        <f>'Old vs New Rate'!J280</f>
        <v>65502.183406113545</v>
      </c>
      <c r="G14" s="380"/>
      <c r="H14" s="378">
        <f>'Old vs New Rate'!N280</f>
        <v>23100000</v>
      </c>
      <c r="I14" s="360">
        <f>'Old vs New Rate'!O280</f>
        <v>0</v>
      </c>
      <c r="J14" s="421">
        <f>'Old vs New Rate'!P280</f>
        <v>56040.756914119367</v>
      </c>
      <c r="K14" s="380"/>
      <c r="L14" s="378">
        <f>'Old vs New Rate'!S280</f>
        <v>8640000</v>
      </c>
      <c r="M14" s="360">
        <f>'Old vs New Rate'!T280</f>
        <v>0</v>
      </c>
      <c r="N14" s="421">
        <f>'Old vs New Rate'!U280</f>
        <v>20960.698689956334</v>
      </c>
      <c r="O14" s="375"/>
      <c r="P14" s="345">
        <v>0</v>
      </c>
      <c r="Q14" s="345">
        <f t="shared" si="0"/>
        <v>0</v>
      </c>
    </row>
    <row r="15" spans="1:17" x14ac:dyDescent="0.25">
      <c r="A15" s="375"/>
      <c r="B15" s="376" t="str">
        <f>'Old vs New Rate'!B281</f>
        <v>Section K</v>
      </c>
      <c r="C15" s="377" t="s">
        <v>199</v>
      </c>
      <c r="D15" s="378">
        <f>'Old vs New Rate'!H281</f>
        <v>6787594300</v>
      </c>
      <c r="E15" s="360">
        <f>'Old vs New Rate'!I281</f>
        <v>10895830</v>
      </c>
      <c r="F15" s="379">
        <f>'Old vs New Rate'!J281</f>
        <v>27362579.878699645</v>
      </c>
      <c r="G15" s="380"/>
      <c r="H15" s="378">
        <f>'Old vs New Rate'!N281</f>
        <v>4285400000</v>
      </c>
      <c r="I15" s="360">
        <f>'Old vs New Rate'!O281</f>
        <v>3933500</v>
      </c>
      <c r="J15" s="379">
        <f>'Old vs New Rate'!P281</f>
        <v>14329909.509946631</v>
      </c>
      <c r="K15" s="380"/>
      <c r="L15" s="378">
        <f>'Old vs New Rate'!S281</f>
        <v>5388040000</v>
      </c>
      <c r="M15" s="360">
        <f>'Old vs New Rate'!T281</f>
        <v>7864000</v>
      </c>
      <c r="N15" s="379">
        <f>'Old vs New Rate'!U281</f>
        <v>20935421.639980584</v>
      </c>
      <c r="O15" s="375"/>
      <c r="P15" s="345">
        <f t="shared" si="1"/>
        <v>1102640000</v>
      </c>
      <c r="Q15" s="345">
        <f t="shared" si="0"/>
        <v>3930500</v>
      </c>
    </row>
    <row r="16" spans="1:17" ht="15.75" customHeight="1" x14ac:dyDescent="0.25">
      <c r="A16" s="375"/>
      <c r="B16" s="376" t="str">
        <f>'Old vs New Rate'!B282</f>
        <v>Section L</v>
      </c>
      <c r="C16" s="377" t="s">
        <v>283</v>
      </c>
      <c r="D16" s="378">
        <f>'Old vs New Rate'!H282</f>
        <v>149280000</v>
      </c>
      <c r="E16" s="360">
        <f>'Old vs New Rate'!I282</f>
        <v>290800</v>
      </c>
      <c r="F16" s="379">
        <f>'Old vs New Rate'!J282</f>
        <v>652954.29403202329</v>
      </c>
      <c r="G16" s="380"/>
      <c r="H16" s="378">
        <f>'Old vs New Rate'!N282</f>
        <v>190475000</v>
      </c>
      <c r="I16" s="360">
        <f>'Old vs New Rate'!O282</f>
        <v>255000</v>
      </c>
      <c r="J16" s="421">
        <f>'Old vs New Rate'!P282</f>
        <v>717093.64386220276</v>
      </c>
      <c r="K16" s="380"/>
      <c r="L16" s="378">
        <f>'Old vs New Rate'!S282</f>
        <v>91425000</v>
      </c>
      <c r="M16" s="360">
        <f>'Old vs New Rate'!T282</f>
        <v>0</v>
      </c>
      <c r="N16" s="421">
        <f>'Old vs New Rate'!U282</f>
        <v>221797.67103347889</v>
      </c>
      <c r="O16" s="375"/>
      <c r="P16" s="345">
        <v>0</v>
      </c>
      <c r="Q16" s="345">
        <v>0</v>
      </c>
    </row>
    <row r="17" spans="1:18" x14ac:dyDescent="0.25">
      <c r="A17" s="375"/>
      <c r="B17" s="376" t="str">
        <f>'Old vs New Rate'!B283</f>
        <v>Section M</v>
      </c>
      <c r="C17" s="377" t="s">
        <v>681</v>
      </c>
      <c r="D17" s="378">
        <f>'Old vs New Rate'!H283</f>
        <v>209000000</v>
      </c>
      <c r="E17" s="360">
        <f>'Old vs New Rate'!I283</f>
        <v>211000</v>
      </c>
      <c r="F17" s="379">
        <f>'Old vs New Rate'!J283</f>
        <v>718035.41969917505</v>
      </c>
      <c r="G17" s="380"/>
      <c r="H17" s="378">
        <f>'Old vs New Rate'!N283</f>
        <v>160550000</v>
      </c>
      <c r="I17" s="360">
        <f>'Old vs New Rate'!O283</f>
        <v>133700</v>
      </c>
      <c r="J17" s="379">
        <f>'Old vs New Rate'!P283</f>
        <v>523195.39058709366</v>
      </c>
      <c r="K17" s="380"/>
      <c r="L17" s="378">
        <f>'Old vs New Rate'!S283</f>
        <v>201400000</v>
      </c>
      <c r="M17" s="360">
        <f>'Old vs New Rate'!T283</f>
        <v>319000</v>
      </c>
      <c r="N17" s="379">
        <f>'Old vs New Rate'!U283</f>
        <v>807597.76807375066</v>
      </c>
      <c r="O17" s="375"/>
      <c r="P17" s="345">
        <f t="shared" si="1"/>
        <v>40850000</v>
      </c>
      <c r="Q17" s="345">
        <f t="shared" si="0"/>
        <v>185300</v>
      </c>
    </row>
    <row r="18" spans="1:18" x14ac:dyDescent="0.25">
      <c r="A18" s="375"/>
      <c r="B18" s="376" t="str">
        <f>'Old vs New Rate'!B284</f>
        <v>Section N</v>
      </c>
      <c r="C18" s="377" t="s">
        <v>330</v>
      </c>
      <c r="D18" s="378">
        <f>'Old vs New Rate'!H284</f>
        <v>3409832445.1032004</v>
      </c>
      <c r="E18" s="360">
        <f>'Old vs New Rate'!I284</f>
        <v>100000</v>
      </c>
      <c r="F18" s="379">
        <f>'Old vs New Rate'!J284</f>
        <v>8372276.6741950531</v>
      </c>
      <c r="G18" s="380"/>
      <c r="H18" s="378">
        <f>'Old vs New Rate'!N284</f>
        <v>3302612616.8054004</v>
      </c>
      <c r="I18" s="360">
        <f>'Old vs New Rate'!O284</f>
        <v>100000</v>
      </c>
      <c r="J18" s="421">
        <f>'Old vs New Rate'!P284</f>
        <v>8112160.6424197005</v>
      </c>
      <c r="K18" s="380"/>
      <c r="L18" s="378">
        <f>'Old vs New Rate'!S284</f>
        <v>3306455862.0212798</v>
      </c>
      <c r="M18" s="360">
        <f>'Old vs New Rate'!T284</f>
        <v>45000</v>
      </c>
      <c r="N18" s="421">
        <f>'Old vs New Rate'!U284</f>
        <v>8066484.3814198961</v>
      </c>
      <c r="O18" s="375"/>
      <c r="P18" s="345">
        <f t="shared" si="1"/>
        <v>3843245.2158794403</v>
      </c>
      <c r="Q18" s="345">
        <v>0</v>
      </c>
    </row>
    <row r="19" spans="1:18" x14ac:dyDescent="0.25">
      <c r="A19" s="375"/>
      <c r="B19" s="376" t="str">
        <f>'Old vs New Rate'!B285</f>
        <v>Section O</v>
      </c>
      <c r="C19" s="377" t="s">
        <v>657</v>
      </c>
      <c r="D19" s="378">
        <f>'Old vs New Rate'!H285</f>
        <v>278000000</v>
      </c>
      <c r="E19" s="360">
        <f>'Old vs New Rate'!I285</f>
        <v>172000</v>
      </c>
      <c r="F19" s="379">
        <f>'Old vs New Rate'!J285</f>
        <v>846429.88840368763</v>
      </c>
      <c r="G19" s="380"/>
      <c r="H19" s="378">
        <f>'Old vs New Rate'!N285</f>
        <v>233300000</v>
      </c>
      <c r="I19" s="360">
        <f>'Old vs New Rate'!O285</f>
        <v>155100</v>
      </c>
      <c r="J19" s="379">
        <f>'Old vs New Rate'!P285</f>
        <v>721087.38476467726</v>
      </c>
      <c r="K19" s="380"/>
      <c r="L19" s="378">
        <f>'Old vs New Rate'!S285</f>
        <v>278000000</v>
      </c>
      <c r="M19" s="360">
        <f>'Old vs New Rate'!T285</f>
        <v>172000</v>
      </c>
      <c r="N19" s="379">
        <f>'Old vs New Rate'!U285</f>
        <v>846429.88840368763</v>
      </c>
      <c r="O19" s="375"/>
      <c r="P19" s="345">
        <f t="shared" si="1"/>
        <v>44700000</v>
      </c>
      <c r="Q19" s="345">
        <f t="shared" si="0"/>
        <v>16900</v>
      </c>
    </row>
    <row r="20" spans="1:18" x14ac:dyDescent="0.25">
      <c r="A20" s="375"/>
      <c r="B20" s="376" t="str">
        <f>'Old vs New Rate'!B286</f>
        <v>Section P</v>
      </c>
      <c r="C20" s="377" t="s">
        <v>684</v>
      </c>
      <c r="D20" s="378">
        <f>'Old vs New Rate'!H286</f>
        <v>2010341814.4846156</v>
      </c>
      <c r="E20" s="360">
        <f>'Old vs New Rate'!I286</f>
        <v>120000</v>
      </c>
      <c r="F20" s="379">
        <f>'Old vs New Rate'!J286</f>
        <v>4997102.8978277911</v>
      </c>
      <c r="G20" s="380"/>
      <c r="H20" s="378">
        <f>'Old vs New Rate'!N286</f>
        <v>2063493136.8826926</v>
      </c>
      <c r="I20" s="360">
        <f>'Old vs New Rate'!O286</f>
        <v>113000</v>
      </c>
      <c r="J20" s="421">
        <f>'Old vs New Rate'!P286</f>
        <v>5119048.3670128398</v>
      </c>
      <c r="K20" s="380"/>
      <c r="L20" s="378">
        <f>'Old vs New Rate'!S286</f>
        <v>1982639574.4846156</v>
      </c>
      <c r="M20" s="360">
        <f>'Old vs New Rate'!T286</f>
        <v>0</v>
      </c>
      <c r="N20" s="421">
        <f>'Old vs New Rate'!U286</f>
        <v>4809897.0754114911</v>
      </c>
      <c r="O20" s="375"/>
      <c r="P20" s="345">
        <v>0</v>
      </c>
      <c r="Q20" s="345">
        <v>0</v>
      </c>
    </row>
    <row r="21" spans="1:18" s="393" customFormat="1" ht="16.5" thickBot="1" x14ac:dyDescent="0.3">
      <c r="A21" s="386"/>
      <c r="B21" s="387"/>
      <c r="C21" s="388" t="s">
        <v>688</v>
      </c>
      <c r="D21" s="389">
        <f>'Old vs New Rate'!H287</f>
        <v>16739271026.254482</v>
      </c>
      <c r="E21" s="390">
        <f>'Old vs New Rate'!I287</f>
        <v>12036563.333333334</v>
      </c>
      <c r="F21" s="391">
        <f>'Old vs New Rate'!J287</f>
        <v>52646148.549865291</v>
      </c>
      <c r="G21" s="392"/>
      <c r="H21" s="389">
        <f>'Old vs New Rate'!N287</f>
        <v>12942705753.688093</v>
      </c>
      <c r="I21" s="390">
        <f>'Old vs New Rate'!O287</f>
        <v>4874500</v>
      </c>
      <c r="J21" s="391">
        <f>'Old vs New Rate'!P287</f>
        <v>36273592.075905129</v>
      </c>
      <c r="K21" s="392">
        <f>J21/N21</f>
        <v>0.79192939503880511</v>
      </c>
      <c r="L21" s="389">
        <f>'Old vs New Rate'!S287</f>
        <v>14483529103.172562</v>
      </c>
      <c r="M21" s="390">
        <f>'Old vs New Rate'!T287</f>
        <v>10666933.333333334</v>
      </c>
      <c r="N21" s="391">
        <f>'Old vs New Rate'!U287</f>
        <v>45804073.321621932</v>
      </c>
      <c r="O21" s="386"/>
      <c r="P21" s="424">
        <f>SUM(P5:P20)</f>
        <v>1781265245.2158794</v>
      </c>
      <c r="Q21" s="425">
        <f>SUM(Q5:Q20)</f>
        <v>6215433.333333333</v>
      </c>
      <c r="R21" s="425">
        <f>(P21/412.2)+Q21</f>
        <v>10536794.918039493</v>
      </c>
    </row>
    <row r="22" spans="1:18" x14ac:dyDescent="0.25">
      <c r="A22" s="375"/>
      <c r="B22" s="375"/>
      <c r="C22" s="375"/>
      <c r="D22" s="375"/>
      <c r="E22" s="375"/>
      <c r="F22" s="375"/>
      <c r="G22" s="375"/>
      <c r="H22" s="375"/>
      <c r="I22" s="375"/>
      <c r="J22" s="375"/>
      <c r="K22" s="381"/>
      <c r="L22" s="375"/>
      <c r="M22" s="375"/>
      <c r="N22" s="375"/>
      <c r="O22" s="375"/>
      <c r="P22" s="375"/>
    </row>
    <row r="23" spans="1:18" x14ac:dyDescent="0.25">
      <c r="A23" s="375"/>
      <c r="B23" s="375"/>
      <c r="C23" s="423" t="s">
        <v>692</v>
      </c>
      <c r="D23" s="375"/>
      <c r="E23" s="375"/>
      <c r="F23" s="375"/>
      <c r="G23" s="375"/>
      <c r="H23" s="375"/>
      <c r="I23" s="382"/>
      <c r="J23" s="422">
        <f>SUM(J9,J11:J14,J16,J18,J20)</f>
        <v>14284562.333061846</v>
      </c>
      <c r="K23" s="380">
        <f>J23/N23</f>
        <v>1.074810664250933</v>
      </c>
      <c r="L23" s="375"/>
      <c r="M23" s="375"/>
      <c r="N23" s="422">
        <f>SUM(N9,N11,N12,N13,N14,N16,N18,N20)</f>
        <v>13290305.733072694</v>
      </c>
      <c r="O23" s="375"/>
      <c r="P23" s="375"/>
    </row>
    <row r="24" spans="1:18" x14ac:dyDescent="0.25">
      <c r="A24" s="375"/>
      <c r="B24" s="375"/>
      <c r="C24" s="375"/>
      <c r="D24" s="375"/>
      <c r="E24" s="375"/>
      <c r="F24" s="375"/>
      <c r="G24" s="375"/>
      <c r="H24" s="375"/>
      <c r="I24" s="375"/>
      <c r="J24" s="375"/>
      <c r="K24" s="382"/>
      <c r="L24" s="375"/>
      <c r="M24" s="375"/>
      <c r="N24" s="375"/>
      <c r="O24" s="375"/>
      <c r="P24" s="375"/>
    </row>
    <row r="25" spans="1:18" x14ac:dyDescent="0.25">
      <c r="C25" s="423" t="s">
        <v>693</v>
      </c>
      <c r="J25" s="338">
        <f>J21-J23</f>
        <v>21989029.742843285</v>
      </c>
      <c r="K25" s="357">
        <f>J25/N25</f>
        <v>0.67629903802927549</v>
      </c>
      <c r="N25" s="338">
        <f>N21-N23</f>
        <v>32513767.588549238</v>
      </c>
    </row>
    <row r="27" spans="1:18" hidden="1" x14ac:dyDescent="0.25"/>
    <row r="28" spans="1:18" hidden="1" x14ac:dyDescent="0.25">
      <c r="N28" s="345">
        <f>N21-J21</f>
        <v>9530481.2457168028</v>
      </c>
    </row>
    <row r="29" spans="1:18" ht="14.25" hidden="1" customHeight="1" x14ac:dyDescent="0.25">
      <c r="P29" t="s">
        <v>696</v>
      </c>
    </row>
    <row r="30" spans="1:18" hidden="1" x14ac:dyDescent="0.25"/>
    <row r="31" spans="1:18" hidden="1" x14ac:dyDescent="0.25">
      <c r="N31">
        <v>0.16</v>
      </c>
    </row>
    <row r="32" spans="1:18" hidden="1" x14ac:dyDescent="0.25">
      <c r="N32" s="426">
        <v>1000000</v>
      </c>
      <c r="Q32">
        <v>52</v>
      </c>
    </row>
    <row r="33" spans="14:18" hidden="1" x14ac:dyDescent="0.25">
      <c r="P33" s="427">
        <v>0.05</v>
      </c>
      <c r="Q33">
        <v>2</v>
      </c>
      <c r="R33" s="427">
        <v>0.1</v>
      </c>
    </row>
    <row r="34" spans="14:18" hidden="1" x14ac:dyDescent="0.25">
      <c r="N34" s="345">
        <f>N31*N32</f>
        <v>160000</v>
      </c>
      <c r="Q34">
        <f>Q32*Q33</f>
        <v>104</v>
      </c>
    </row>
    <row r="35" spans="14:18" hidden="1" x14ac:dyDescent="0.25">
      <c r="P35">
        <v>365</v>
      </c>
      <c r="Q35">
        <v>32</v>
      </c>
    </row>
    <row r="36" spans="14:18" hidden="1" x14ac:dyDescent="0.25">
      <c r="P36">
        <f>P35-Q36</f>
        <v>227</v>
      </c>
      <c r="Q36">
        <f>SUM(Q33:Q35)</f>
        <v>138</v>
      </c>
    </row>
    <row r="37" spans="14:18" hidden="1" x14ac:dyDescent="0.25">
      <c r="P37">
        <v>8</v>
      </c>
    </row>
    <row r="38" spans="14:18" hidden="1" x14ac:dyDescent="0.25">
      <c r="O38" t="s">
        <v>697</v>
      </c>
      <c r="P38">
        <f>P36*P37</f>
        <v>1816</v>
      </c>
      <c r="Q38">
        <f>P38*P33</f>
        <v>90.800000000000011</v>
      </c>
    </row>
    <row r="39" spans="14:18" hidden="1" x14ac:dyDescent="0.25"/>
    <row r="40" spans="14:18" hidden="1" x14ac:dyDescent="0.25">
      <c r="P40">
        <f>P38*P33</f>
        <v>90.800000000000011</v>
      </c>
      <c r="R40">
        <f>R33*P38</f>
        <v>181.60000000000002</v>
      </c>
    </row>
    <row r="41" spans="14:18" hidden="1" x14ac:dyDescent="0.25"/>
    <row r="42" spans="14:18" x14ac:dyDescent="0.25">
      <c r="P42">
        <f>P38-P40</f>
        <v>1725.2</v>
      </c>
      <c r="R42">
        <f>P38-R40</f>
        <v>1634.4</v>
      </c>
    </row>
  </sheetData>
  <mergeCells count="4">
    <mergeCell ref="L3:N3"/>
    <mergeCell ref="D3:F3"/>
    <mergeCell ref="H3:J3"/>
    <mergeCell ref="P3:Q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204A7-014F-4F26-8814-11EAE6E4C349}">
  <dimension ref="A1:V304"/>
  <sheetViews>
    <sheetView zoomScale="90" zoomScaleNormal="90" workbookViewId="0">
      <pane xSplit="5" ySplit="4" topLeftCell="M259" activePane="bottomRight" state="frozen"/>
      <selection pane="topRight" activeCell="F1" sqref="F1"/>
      <selection pane="bottomLeft" activeCell="A5" sqref="A5"/>
      <selection pane="bottomRight" activeCell="E2" sqref="E1:N1048576"/>
    </sheetView>
  </sheetViews>
  <sheetFormatPr defaultColWidth="9.140625" defaultRowHeight="10.5" x14ac:dyDescent="0.25"/>
  <cols>
    <col min="1" max="1" width="2.42578125" style="1" customWidth="1"/>
    <col min="2" max="2" width="9.140625" style="237"/>
    <col min="3" max="3" width="41.7109375" style="1" customWidth="1"/>
    <col min="4" max="4" width="9.85546875" style="238" customWidth="1"/>
    <col min="5" max="5" width="7.85546875" style="241" customWidth="1"/>
    <col min="6" max="6" width="11" style="240" customWidth="1"/>
    <col min="7" max="7" width="9.7109375" style="240" customWidth="1"/>
    <col min="8" max="8" width="15.28515625" style="240" customWidth="1"/>
    <col min="9" max="9" width="12.85546875" style="240" customWidth="1"/>
    <col min="10" max="10" width="12.7109375" style="240" customWidth="1"/>
    <col min="11" max="11" width="9" style="1" customWidth="1"/>
    <col min="12" max="12" width="12" style="1" customWidth="1"/>
    <col min="13" max="13" width="10" style="1" customWidth="1"/>
    <col min="14" max="14" width="16.5703125" style="1" customWidth="1"/>
    <col min="15" max="15" width="13" style="1" customWidth="1"/>
    <col min="16" max="16" width="14.5703125" style="1" customWidth="1"/>
    <col min="17" max="17" width="12.7109375" style="240" customWidth="1"/>
    <col min="18" max="18" width="13.28515625" style="240" customWidth="1"/>
    <col min="19" max="19" width="21.85546875" style="240" bestFit="1" customWidth="1"/>
    <col min="20" max="20" width="13.42578125" style="240" customWidth="1"/>
    <col min="21" max="21" width="12.28515625" style="240" bestFit="1" customWidth="1"/>
    <col min="22" max="22" width="26.28515625" style="1" customWidth="1"/>
    <col min="23" max="16384" width="9.140625" style="1"/>
  </cols>
  <sheetData>
    <row r="1" spans="2:22" ht="14.45" customHeight="1" thickBot="1" x14ac:dyDescent="0.3">
      <c r="B1" s="450" t="s">
        <v>0</v>
      </c>
      <c r="C1" s="450"/>
      <c r="D1" s="450"/>
      <c r="E1" s="450"/>
      <c r="F1" s="450"/>
      <c r="G1" s="450"/>
      <c r="H1" s="450"/>
      <c r="I1" s="450"/>
      <c r="J1" s="450"/>
    </row>
    <row r="2" spans="2:22" ht="11.25" x14ac:dyDescent="0.25">
      <c r="B2" s="451" t="s">
        <v>1</v>
      </c>
      <c r="C2" s="452"/>
      <c r="D2" s="2"/>
      <c r="E2" s="3"/>
      <c r="F2" s="4"/>
      <c r="G2" s="5" t="s">
        <v>2</v>
      </c>
      <c r="H2" s="5" t="s">
        <v>695</v>
      </c>
      <c r="I2" s="5"/>
      <c r="J2" s="6"/>
      <c r="K2" s="7">
        <v>412.2</v>
      </c>
    </row>
    <row r="3" spans="2:22" ht="12" thickBot="1" x14ac:dyDescent="0.3">
      <c r="B3" s="453" t="s">
        <v>3</v>
      </c>
      <c r="C3" s="454"/>
      <c r="D3" s="8"/>
      <c r="E3" s="8"/>
      <c r="F3" s="9"/>
      <c r="G3" s="10" t="s">
        <v>4</v>
      </c>
      <c r="H3" s="10"/>
      <c r="I3" s="10"/>
      <c r="J3" s="11"/>
    </row>
    <row r="4" spans="2:22" s="14" customFormat="1" ht="14.45" customHeight="1" thickBot="1" x14ac:dyDescent="0.3">
      <c r="B4" s="12"/>
      <c r="C4" s="12"/>
      <c r="D4" s="13"/>
      <c r="E4" s="13"/>
      <c r="F4" s="243" t="s">
        <v>5</v>
      </c>
      <c r="G4" s="244"/>
      <c r="H4" s="244"/>
      <c r="I4" s="244"/>
      <c r="J4" s="245"/>
      <c r="K4" s="242"/>
      <c r="L4" s="441" t="s">
        <v>691</v>
      </c>
      <c r="M4" s="442"/>
      <c r="N4" s="442"/>
      <c r="O4" s="442"/>
      <c r="P4" s="443"/>
      <c r="Q4" s="444" t="s">
        <v>690</v>
      </c>
      <c r="R4" s="445"/>
      <c r="S4" s="445"/>
      <c r="T4" s="445"/>
      <c r="U4" s="446"/>
      <c r="V4" s="1"/>
    </row>
    <row r="5" spans="2:22" s="23" customFormat="1" ht="23.25" thickBot="1" x14ac:dyDescent="0.3">
      <c r="B5" s="15" t="s">
        <v>6</v>
      </c>
      <c r="C5" s="16"/>
      <c r="D5" s="17" t="s">
        <v>7</v>
      </c>
      <c r="E5" s="18" t="s">
        <v>8</v>
      </c>
      <c r="F5" s="19" t="s">
        <v>9</v>
      </c>
      <c r="G5" s="20" t="s">
        <v>10</v>
      </c>
      <c r="H5" s="246" t="s">
        <v>11</v>
      </c>
      <c r="I5" s="20" t="s">
        <v>12</v>
      </c>
      <c r="J5" s="247" t="s">
        <v>13</v>
      </c>
      <c r="K5" s="21"/>
      <c r="L5" s="21" t="s">
        <v>9</v>
      </c>
      <c r="M5" s="22" t="s">
        <v>10</v>
      </c>
      <c r="N5" s="248" t="s">
        <v>11</v>
      </c>
      <c r="O5" s="249" t="s">
        <v>12</v>
      </c>
      <c r="P5" s="250" t="s">
        <v>13</v>
      </c>
      <c r="Q5" s="251" t="s">
        <v>9</v>
      </c>
      <c r="R5" s="252" t="s">
        <v>10</v>
      </c>
      <c r="S5" s="253" t="s">
        <v>11</v>
      </c>
      <c r="T5" s="254" t="s">
        <v>12</v>
      </c>
      <c r="U5" s="394" t="s">
        <v>13</v>
      </c>
      <c r="V5" s="408"/>
    </row>
    <row r="6" spans="2:22" ht="12" thickBot="1" x14ac:dyDescent="0.3">
      <c r="B6" s="412" t="s">
        <v>14</v>
      </c>
      <c r="C6" s="413" t="s">
        <v>15</v>
      </c>
      <c r="D6" s="24"/>
      <c r="E6" s="25"/>
      <c r="F6" s="61"/>
      <c r="G6" s="62"/>
      <c r="H6" s="62"/>
      <c r="I6" s="62"/>
      <c r="J6" s="255"/>
      <c r="K6" s="26"/>
      <c r="L6" s="26"/>
      <c r="M6" s="27"/>
      <c r="N6" s="256"/>
      <c r="O6" s="256"/>
      <c r="P6" s="257"/>
      <c r="Q6" s="258"/>
      <c r="R6" s="258"/>
      <c r="S6" s="258"/>
      <c r="T6" s="258"/>
      <c r="U6" s="395"/>
      <c r="V6" s="409"/>
    </row>
    <row r="7" spans="2:22" ht="11.25" x14ac:dyDescent="0.25">
      <c r="B7" s="414" t="s">
        <v>16</v>
      </c>
      <c r="C7" s="415" t="s">
        <v>17</v>
      </c>
      <c r="D7" s="28"/>
      <c r="E7" s="29"/>
      <c r="F7" s="30"/>
      <c r="G7" s="31"/>
      <c r="H7" s="259"/>
      <c r="I7" s="260"/>
      <c r="J7" s="261"/>
      <c r="K7" s="32"/>
      <c r="L7" s="32"/>
      <c r="M7" s="33"/>
      <c r="N7" s="262"/>
      <c r="O7" s="263"/>
      <c r="P7" s="264"/>
      <c r="Q7" s="265"/>
      <c r="R7" s="75"/>
      <c r="S7" s="266"/>
      <c r="T7" s="266"/>
      <c r="U7" s="396"/>
      <c r="V7" s="409"/>
    </row>
    <row r="8" spans="2:22" ht="123" customHeight="1" x14ac:dyDescent="0.25">
      <c r="B8" s="34" t="s">
        <v>18</v>
      </c>
      <c r="C8" s="35" t="s">
        <v>19</v>
      </c>
      <c r="D8" s="36" t="s">
        <v>20</v>
      </c>
      <c r="E8" s="37">
        <v>300</v>
      </c>
      <c r="F8" s="267">
        <v>236800</v>
      </c>
      <c r="G8" s="268">
        <v>0</v>
      </c>
      <c r="H8" s="39">
        <f t="shared" ref="H8:H26" si="0">E8*F8</f>
        <v>71040000</v>
      </c>
      <c r="I8" s="39">
        <f t="shared" ref="I8:I26" si="1">E8*G8</f>
        <v>0</v>
      </c>
      <c r="J8" s="269">
        <f>(H8/412.2)+I8</f>
        <v>172343.52256186318</v>
      </c>
      <c r="K8" s="40"/>
      <c r="L8" s="40">
        <v>265000</v>
      </c>
      <c r="M8" s="41"/>
      <c r="N8" s="270">
        <f>$E8*L8</f>
        <v>79500000</v>
      </c>
      <c r="O8" s="270">
        <f>$E8*M8</f>
        <v>0</v>
      </c>
      <c r="P8" s="271">
        <f>O8+(N8/$K2)</f>
        <v>192867.54002911207</v>
      </c>
      <c r="Q8" s="137">
        <v>324000</v>
      </c>
      <c r="R8" s="79">
        <v>0</v>
      </c>
      <c r="S8" s="272">
        <f t="shared" ref="S8:S16" si="2">Q8*E8</f>
        <v>97200000</v>
      </c>
      <c r="T8" s="272">
        <f t="shared" ref="T8:T16" si="3">R8*E8</f>
        <v>0</v>
      </c>
      <c r="U8" s="397">
        <f>T8+(S8/$K2)</f>
        <v>235807.86026200873</v>
      </c>
      <c r="V8" s="409"/>
    </row>
    <row r="9" spans="2:22" ht="11.25" x14ac:dyDescent="0.25">
      <c r="B9" s="34" t="s">
        <v>21</v>
      </c>
      <c r="C9" s="42" t="s">
        <v>22</v>
      </c>
      <c r="D9" s="43" t="s">
        <v>23</v>
      </c>
      <c r="E9" s="44">
        <v>100</v>
      </c>
      <c r="F9" s="273">
        <f>'[1]commercial (2)'!V9</f>
        <v>645600</v>
      </c>
      <c r="G9" s="274">
        <v>0</v>
      </c>
      <c r="H9" s="46">
        <f t="shared" si="0"/>
        <v>64560000</v>
      </c>
      <c r="I9" s="46">
        <f t="shared" si="1"/>
        <v>0</v>
      </c>
      <c r="J9" s="269">
        <f t="shared" ref="J9:J48" si="4">(H9/412.2)+I9</f>
        <v>156622.99854439593</v>
      </c>
      <c r="K9" s="47"/>
      <c r="L9" s="47">
        <v>425000</v>
      </c>
      <c r="M9" s="48"/>
      <c r="N9" s="270">
        <f t="shared" ref="N9:O16" si="5">$E9*L9</f>
        <v>42500000</v>
      </c>
      <c r="O9" s="270">
        <f t="shared" si="5"/>
        <v>0</v>
      </c>
      <c r="P9" s="271">
        <f t="shared" ref="P9:P16" si="6">O9+(N9/$K$2)</f>
        <v>103105.28869480835</v>
      </c>
      <c r="Q9" s="275"/>
      <c r="R9" s="88">
        <v>0</v>
      </c>
      <c r="S9" s="276">
        <f t="shared" si="2"/>
        <v>0</v>
      </c>
      <c r="T9" s="276">
        <f t="shared" si="3"/>
        <v>0</v>
      </c>
      <c r="U9" s="398">
        <f>T9+(S9/$K$2)</f>
        <v>0</v>
      </c>
      <c r="V9" s="409"/>
    </row>
    <row r="10" spans="2:22" ht="11.25" x14ac:dyDescent="0.25">
      <c r="B10" s="34" t="s">
        <v>24</v>
      </c>
      <c r="C10" s="42" t="s">
        <v>25</v>
      </c>
      <c r="D10" s="43" t="s">
        <v>23</v>
      </c>
      <c r="E10" s="44">
        <v>100</v>
      </c>
      <c r="F10" s="273">
        <f>'[1]commercial (2)'!V10</f>
        <v>1054400</v>
      </c>
      <c r="G10" s="274">
        <v>0</v>
      </c>
      <c r="H10" s="46">
        <f t="shared" si="0"/>
        <v>105440000</v>
      </c>
      <c r="I10" s="46">
        <f t="shared" si="1"/>
        <v>0</v>
      </c>
      <c r="J10" s="269">
        <f t="shared" si="4"/>
        <v>255798.15623483746</v>
      </c>
      <c r="K10" s="47"/>
      <c r="L10" s="47">
        <v>650000</v>
      </c>
      <c r="M10" s="48"/>
      <c r="N10" s="270">
        <f t="shared" si="5"/>
        <v>65000000</v>
      </c>
      <c r="O10" s="270">
        <f t="shared" si="5"/>
        <v>0</v>
      </c>
      <c r="P10" s="271">
        <f t="shared" si="6"/>
        <v>157690.4415332363</v>
      </c>
      <c r="Q10" s="137">
        <v>631000</v>
      </c>
      <c r="R10" s="79">
        <v>0</v>
      </c>
      <c r="S10" s="272">
        <f t="shared" si="2"/>
        <v>63100000</v>
      </c>
      <c r="T10" s="272">
        <f t="shared" si="3"/>
        <v>0</v>
      </c>
      <c r="U10" s="399">
        <f t="shared" ref="U10:U16" si="7">T10+(S10/$K$2)</f>
        <v>153081.02862688017</v>
      </c>
      <c r="V10" s="409"/>
    </row>
    <row r="11" spans="2:22" ht="11.25" x14ac:dyDescent="0.25">
      <c r="B11" s="34" t="s">
        <v>26</v>
      </c>
      <c r="C11" s="42" t="s">
        <v>27</v>
      </c>
      <c r="D11" s="43" t="s">
        <v>23</v>
      </c>
      <c r="E11" s="44">
        <v>10</v>
      </c>
      <c r="F11" s="273">
        <f>'[1]commercial (2)'!V11</f>
        <v>1463200</v>
      </c>
      <c r="G11" s="274">
        <v>0</v>
      </c>
      <c r="H11" s="46">
        <f t="shared" si="0"/>
        <v>14632000</v>
      </c>
      <c r="I11" s="46">
        <f t="shared" si="1"/>
        <v>0</v>
      </c>
      <c r="J11" s="269">
        <f t="shared" si="4"/>
        <v>35497.3313925279</v>
      </c>
      <c r="K11" s="47"/>
      <c r="L11" s="47">
        <v>1500000</v>
      </c>
      <c r="M11" s="48"/>
      <c r="N11" s="270">
        <f t="shared" si="5"/>
        <v>15000000</v>
      </c>
      <c r="O11" s="270">
        <f t="shared" si="5"/>
        <v>0</v>
      </c>
      <c r="P11" s="271">
        <f t="shared" si="6"/>
        <v>36390.101892285296</v>
      </c>
      <c r="Q11" s="137">
        <v>1495000</v>
      </c>
      <c r="R11" s="79">
        <v>0</v>
      </c>
      <c r="S11" s="272">
        <f t="shared" si="2"/>
        <v>14950000</v>
      </c>
      <c r="T11" s="272">
        <f t="shared" si="3"/>
        <v>0</v>
      </c>
      <c r="U11" s="399">
        <f t="shared" si="7"/>
        <v>36268.801552644349</v>
      </c>
      <c r="V11" s="409"/>
    </row>
    <row r="12" spans="2:22" ht="11.25" x14ac:dyDescent="0.25">
      <c r="B12" s="34" t="s">
        <v>28</v>
      </c>
      <c r="C12" s="42" t="s">
        <v>29</v>
      </c>
      <c r="D12" s="43" t="s">
        <v>23</v>
      </c>
      <c r="E12" s="44">
        <v>10</v>
      </c>
      <c r="F12" s="273">
        <f>'[1]commercial (2)'!V12</f>
        <v>2286800</v>
      </c>
      <c r="G12" s="274">
        <v>0</v>
      </c>
      <c r="H12" s="46">
        <f t="shared" si="0"/>
        <v>22868000</v>
      </c>
      <c r="I12" s="46">
        <f t="shared" si="1"/>
        <v>0</v>
      </c>
      <c r="J12" s="269">
        <f t="shared" si="4"/>
        <v>55477.923338185348</v>
      </c>
      <c r="K12" s="47"/>
      <c r="L12" s="47">
        <v>1500000</v>
      </c>
      <c r="M12" s="48"/>
      <c r="N12" s="270">
        <f t="shared" si="5"/>
        <v>15000000</v>
      </c>
      <c r="O12" s="270">
        <f t="shared" si="5"/>
        <v>0</v>
      </c>
      <c r="P12" s="271">
        <f t="shared" si="6"/>
        <v>36390.101892285296</v>
      </c>
      <c r="Q12" s="137">
        <v>2087000</v>
      </c>
      <c r="R12" s="79">
        <v>0</v>
      </c>
      <c r="S12" s="272">
        <f t="shared" si="2"/>
        <v>20870000</v>
      </c>
      <c r="T12" s="272">
        <f t="shared" si="3"/>
        <v>0</v>
      </c>
      <c r="U12" s="399">
        <f t="shared" si="7"/>
        <v>50630.76176613295</v>
      </c>
      <c r="V12" s="409"/>
    </row>
    <row r="13" spans="2:22" ht="11.25" x14ac:dyDescent="0.25">
      <c r="B13" s="34" t="s">
        <v>30</v>
      </c>
      <c r="C13" s="42" t="s">
        <v>31</v>
      </c>
      <c r="D13" s="43" t="s">
        <v>23</v>
      </c>
      <c r="E13" s="44">
        <v>10</v>
      </c>
      <c r="F13" s="273">
        <f>'[1]commercial (2)'!V13</f>
        <v>2695600</v>
      </c>
      <c r="G13" s="274">
        <v>0</v>
      </c>
      <c r="H13" s="46">
        <f t="shared" si="0"/>
        <v>26956000</v>
      </c>
      <c r="I13" s="46">
        <f t="shared" si="1"/>
        <v>0</v>
      </c>
      <c r="J13" s="269">
        <f t="shared" si="4"/>
        <v>65395.439107229504</v>
      </c>
      <c r="K13" s="47"/>
      <c r="L13" s="47">
        <v>1500000</v>
      </c>
      <c r="M13" s="48"/>
      <c r="N13" s="270">
        <f t="shared" si="5"/>
        <v>15000000</v>
      </c>
      <c r="O13" s="270">
        <f t="shared" si="5"/>
        <v>0</v>
      </c>
      <c r="P13" s="271">
        <f t="shared" si="6"/>
        <v>36390.101892285296</v>
      </c>
      <c r="Q13" s="137">
        <v>2550000</v>
      </c>
      <c r="R13" s="79">
        <v>0</v>
      </c>
      <c r="S13" s="272">
        <f t="shared" si="2"/>
        <v>25500000</v>
      </c>
      <c r="T13" s="272">
        <f t="shared" si="3"/>
        <v>0</v>
      </c>
      <c r="U13" s="399">
        <f t="shared" si="7"/>
        <v>61863.173216885007</v>
      </c>
      <c r="V13" s="409"/>
    </row>
    <row r="14" spans="2:22" ht="11.25" x14ac:dyDescent="0.25">
      <c r="B14" s="34" t="s">
        <v>32</v>
      </c>
      <c r="C14" s="42" t="s">
        <v>33</v>
      </c>
      <c r="D14" s="43" t="s">
        <v>23</v>
      </c>
      <c r="E14" s="44">
        <v>10</v>
      </c>
      <c r="F14" s="273">
        <f>'[1]commercial (2)'!V14</f>
        <v>3104400</v>
      </c>
      <c r="G14" s="274">
        <v>0</v>
      </c>
      <c r="H14" s="46">
        <f t="shared" si="0"/>
        <v>31044000</v>
      </c>
      <c r="I14" s="46">
        <f t="shared" si="1"/>
        <v>0</v>
      </c>
      <c r="J14" s="269">
        <f t="shared" si="4"/>
        <v>75312.954876273652</v>
      </c>
      <c r="K14" s="47"/>
      <c r="L14" s="47">
        <v>2000000</v>
      </c>
      <c r="M14" s="48"/>
      <c r="N14" s="270">
        <f t="shared" si="5"/>
        <v>20000000</v>
      </c>
      <c r="O14" s="270">
        <f t="shared" si="5"/>
        <v>0</v>
      </c>
      <c r="P14" s="271">
        <f t="shared" si="6"/>
        <v>48520.135856380402</v>
      </c>
      <c r="Q14" s="137">
        <v>2902000</v>
      </c>
      <c r="R14" s="79">
        <v>0</v>
      </c>
      <c r="S14" s="272">
        <f t="shared" si="2"/>
        <v>29020000</v>
      </c>
      <c r="T14" s="272">
        <f t="shared" si="3"/>
        <v>0</v>
      </c>
      <c r="U14" s="399">
        <f t="shared" si="7"/>
        <v>70402.717127607961</v>
      </c>
      <c r="V14" s="409"/>
    </row>
    <row r="15" spans="2:22" ht="11.25" x14ac:dyDescent="0.25">
      <c r="B15" s="34" t="s">
        <v>34</v>
      </c>
      <c r="C15" s="42" t="s">
        <v>35</v>
      </c>
      <c r="D15" s="43" t="s">
        <v>23</v>
      </c>
      <c r="E15" s="44">
        <v>10</v>
      </c>
      <c r="F15" s="273">
        <f>'[1]commercial (2)'!V15</f>
        <v>3513200</v>
      </c>
      <c r="G15" s="274">
        <v>0</v>
      </c>
      <c r="H15" s="46">
        <f t="shared" si="0"/>
        <v>35132000</v>
      </c>
      <c r="I15" s="46">
        <f t="shared" si="1"/>
        <v>0</v>
      </c>
      <c r="J15" s="269">
        <f t="shared" si="4"/>
        <v>85230.470645317808</v>
      </c>
      <c r="K15" s="47"/>
      <c r="L15" s="47">
        <v>2100000</v>
      </c>
      <c r="M15" s="48"/>
      <c r="N15" s="270">
        <f t="shared" si="5"/>
        <v>21000000</v>
      </c>
      <c r="O15" s="270">
        <f t="shared" si="5"/>
        <v>0</v>
      </c>
      <c r="P15" s="271">
        <f t="shared" si="6"/>
        <v>50946.142649199421</v>
      </c>
      <c r="Q15" s="137">
        <v>3345000</v>
      </c>
      <c r="R15" s="79">
        <v>0</v>
      </c>
      <c r="S15" s="272">
        <f t="shared" si="2"/>
        <v>33450000</v>
      </c>
      <c r="T15" s="272">
        <f t="shared" si="3"/>
        <v>0</v>
      </c>
      <c r="U15" s="399">
        <f t="shared" si="7"/>
        <v>81149.927219796213</v>
      </c>
      <c r="V15" s="409"/>
    </row>
    <row r="16" spans="2:22" ht="11.25" x14ac:dyDescent="0.25">
      <c r="B16" s="34" t="s">
        <v>36</v>
      </c>
      <c r="C16" s="49" t="s">
        <v>37</v>
      </c>
      <c r="D16" s="43" t="s">
        <v>23</v>
      </c>
      <c r="E16" s="44">
        <v>10</v>
      </c>
      <c r="F16" s="273">
        <f>'[1]commercial (2)'!V16</f>
        <v>3922000</v>
      </c>
      <c r="G16" s="274">
        <v>0</v>
      </c>
      <c r="H16" s="46">
        <f t="shared" si="0"/>
        <v>39220000</v>
      </c>
      <c r="I16" s="46">
        <f t="shared" si="1"/>
        <v>0</v>
      </c>
      <c r="J16" s="269">
        <f t="shared" si="4"/>
        <v>95147.986414361963</v>
      </c>
      <c r="K16" s="47"/>
      <c r="L16" s="47">
        <v>2500000</v>
      </c>
      <c r="M16" s="48"/>
      <c r="N16" s="270">
        <f t="shared" si="5"/>
        <v>25000000</v>
      </c>
      <c r="O16" s="270">
        <f t="shared" si="5"/>
        <v>0</v>
      </c>
      <c r="P16" s="271">
        <f t="shared" si="6"/>
        <v>60650.169820475501</v>
      </c>
      <c r="Q16" s="137">
        <v>3580000</v>
      </c>
      <c r="R16" s="79">
        <v>0</v>
      </c>
      <c r="S16" s="272">
        <f t="shared" si="2"/>
        <v>35800000</v>
      </c>
      <c r="T16" s="272">
        <f t="shared" si="3"/>
        <v>0</v>
      </c>
      <c r="U16" s="397">
        <f t="shared" si="7"/>
        <v>86851.043182920912</v>
      </c>
      <c r="V16" s="409"/>
    </row>
    <row r="17" spans="2:22" ht="11.25" x14ac:dyDescent="0.25">
      <c r="B17" s="34" t="s">
        <v>38</v>
      </c>
      <c r="C17" s="50" t="s">
        <v>39</v>
      </c>
      <c r="D17" s="43"/>
      <c r="E17" s="44"/>
      <c r="F17" s="273"/>
      <c r="G17" s="274"/>
      <c r="H17" s="77"/>
      <c r="I17" s="77"/>
      <c r="J17" s="87">
        <f t="shared" si="4"/>
        <v>0</v>
      </c>
      <c r="K17" s="47"/>
      <c r="L17" s="47"/>
      <c r="M17" s="48"/>
      <c r="N17" s="79"/>
      <c r="O17" s="79"/>
      <c r="P17" s="277"/>
      <c r="Q17" s="275"/>
      <c r="R17" s="88"/>
      <c r="S17" s="88"/>
      <c r="T17" s="88"/>
      <c r="U17" s="277"/>
      <c r="V17" s="409"/>
    </row>
    <row r="18" spans="2:22" ht="114.95" customHeight="1" x14ac:dyDescent="0.25">
      <c r="B18" s="51" t="s">
        <v>40</v>
      </c>
      <c r="C18" s="52" t="s">
        <v>41</v>
      </c>
      <c r="D18" s="53" t="s">
        <v>20</v>
      </c>
      <c r="E18" s="44">
        <v>50</v>
      </c>
      <c r="F18" s="273">
        <f>'[1]commercial (2)'!V18</f>
        <v>276800</v>
      </c>
      <c r="G18" s="274">
        <v>0</v>
      </c>
      <c r="H18" s="46">
        <f t="shared" si="0"/>
        <v>13840000</v>
      </c>
      <c r="I18" s="46">
        <f t="shared" si="1"/>
        <v>0</v>
      </c>
      <c r="J18" s="269">
        <f t="shared" si="4"/>
        <v>33575.934012615238</v>
      </c>
      <c r="K18" s="47"/>
      <c r="L18" s="47">
        <v>265000</v>
      </c>
      <c r="M18" s="48"/>
      <c r="N18" s="270">
        <f t="shared" ref="N18:O26" si="8">$E18*L18</f>
        <v>13250000</v>
      </c>
      <c r="O18" s="270">
        <f t="shared" si="8"/>
        <v>0</v>
      </c>
      <c r="P18" s="271">
        <f t="shared" ref="P18:P26" si="9">O18+(N18/$K$2)</f>
        <v>32144.590004852016</v>
      </c>
      <c r="Q18" s="137">
        <v>324000</v>
      </c>
      <c r="R18" s="79">
        <v>0</v>
      </c>
      <c r="S18" s="272">
        <f t="shared" ref="S18:S26" si="10">Q18*E18</f>
        <v>16200000</v>
      </c>
      <c r="T18" s="272">
        <f>R18*E18</f>
        <v>0</v>
      </c>
      <c r="U18" s="397">
        <f t="shared" ref="U18:U26" si="11">T18+(S18/$K$2)</f>
        <v>39301.31004366812</v>
      </c>
      <c r="V18" s="409"/>
    </row>
    <row r="19" spans="2:22" ht="11.25" x14ac:dyDescent="0.25">
      <c r="B19" s="51" t="s">
        <v>42</v>
      </c>
      <c r="C19" s="42" t="s">
        <v>22</v>
      </c>
      <c r="D19" s="43" t="s">
        <v>23</v>
      </c>
      <c r="E19" s="44">
        <v>50</v>
      </c>
      <c r="F19" s="273">
        <f>'[1]commercial (2)'!V19</f>
        <v>725600</v>
      </c>
      <c r="G19" s="274">
        <v>0</v>
      </c>
      <c r="H19" s="46">
        <f t="shared" si="0"/>
        <v>36280000</v>
      </c>
      <c r="I19" s="46">
        <f t="shared" si="1"/>
        <v>0</v>
      </c>
      <c r="J19" s="269">
        <f t="shared" si="4"/>
        <v>88015.526443474038</v>
      </c>
      <c r="K19" s="47"/>
      <c r="L19" s="47">
        <v>425000</v>
      </c>
      <c r="M19" s="48"/>
      <c r="N19" s="270">
        <f t="shared" si="8"/>
        <v>21250000</v>
      </c>
      <c r="O19" s="270">
        <f t="shared" si="8"/>
        <v>0</v>
      </c>
      <c r="P19" s="271">
        <f t="shared" si="9"/>
        <v>51552.644347404173</v>
      </c>
      <c r="Q19" s="275"/>
      <c r="R19" s="88">
        <v>0</v>
      </c>
      <c r="S19" s="276">
        <f t="shared" si="10"/>
        <v>0</v>
      </c>
      <c r="T19" s="276">
        <f t="shared" ref="T19:T82" si="12">R19*E19</f>
        <v>0</v>
      </c>
      <c r="U19" s="398">
        <f t="shared" si="11"/>
        <v>0</v>
      </c>
      <c r="V19" s="409"/>
    </row>
    <row r="20" spans="2:22" ht="11.25" x14ac:dyDescent="0.25">
      <c r="B20" s="51" t="s">
        <v>43</v>
      </c>
      <c r="C20" s="42" t="s">
        <v>25</v>
      </c>
      <c r="D20" s="43" t="s">
        <v>23</v>
      </c>
      <c r="E20" s="44">
        <v>50</v>
      </c>
      <c r="F20" s="273">
        <f>'[1]commercial (2)'!V20</f>
        <v>1174400</v>
      </c>
      <c r="G20" s="274">
        <v>0</v>
      </c>
      <c r="H20" s="46">
        <f t="shared" si="0"/>
        <v>58720000</v>
      </c>
      <c r="I20" s="46">
        <f t="shared" si="1"/>
        <v>0</v>
      </c>
      <c r="J20" s="269">
        <f t="shared" si="4"/>
        <v>142455.11887433284</v>
      </c>
      <c r="K20" s="47"/>
      <c r="L20" s="47">
        <v>650000</v>
      </c>
      <c r="M20" s="48"/>
      <c r="N20" s="270">
        <f t="shared" si="8"/>
        <v>32500000</v>
      </c>
      <c r="O20" s="270">
        <f t="shared" si="8"/>
        <v>0</v>
      </c>
      <c r="P20" s="271">
        <f t="shared" si="9"/>
        <v>78845.220766618149</v>
      </c>
      <c r="Q20" s="137">
        <v>631000</v>
      </c>
      <c r="R20" s="79">
        <v>0</v>
      </c>
      <c r="S20" s="272">
        <f t="shared" si="10"/>
        <v>31550000</v>
      </c>
      <c r="T20" s="272">
        <f t="shared" si="12"/>
        <v>0</v>
      </c>
      <c r="U20" s="399">
        <f t="shared" si="11"/>
        <v>76540.514313440086</v>
      </c>
      <c r="V20" s="409"/>
    </row>
    <row r="21" spans="2:22" ht="11.25" x14ac:dyDescent="0.25">
      <c r="B21" s="51" t="s">
        <v>44</v>
      </c>
      <c r="C21" s="49" t="s">
        <v>27</v>
      </c>
      <c r="D21" s="43" t="s">
        <v>23</v>
      </c>
      <c r="E21" s="44">
        <v>10</v>
      </c>
      <c r="F21" s="273">
        <f>'[1]commercial (2)'!V21</f>
        <v>1623200</v>
      </c>
      <c r="G21" s="274">
        <v>0</v>
      </c>
      <c r="H21" s="46">
        <f t="shared" si="0"/>
        <v>16232000</v>
      </c>
      <c r="I21" s="46">
        <f t="shared" si="1"/>
        <v>0</v>
      </c>
      <c r="J21" s="269">
        <f t="shared" si="4"/>
        <v>39378.942261038334</v>
      </c>
      <c r="K21" s="47"/>
      <c r="L21" s="47">
        <v>1500000</v>
      </c>
      <c r="M21" s="48"/>
      <c r="N21" s="270">
        <f t="shared" si="8"/>
        <v>15000000</v>
      </c>
      <c r="O21" s="270">
        <f t="shared" si="8"/>
        <v>0</v>
      </c>
      <c r="P21" s="271">
        <f t="shared" si="9"/>
        <v>36390.101892285296</v>
      </c>
      <c r="Q21" s="137">
        <v>1495000</v>
      </c>
      <c r="R21" s="79">
        <v>0</v>
      </c>
      <c r="S21" s="272">
        <f t="shared" si="10"/>
        <v>14950000</v>
      </c>
      <c r="T21" s="272">
        <f t="shared" si="12"/>
        <v>0</v>
      </c>
      <c r="U21" s="399">
        <f t="shared" si="11"/>
        <v>36268.801552644349</v>
      </c>
      <c r="V21" s="409"/>
    </row>
    <row r="22" spans="2:22" ht="11.25" x14ac:dyDescent="0.25">
      <c r="B22" s="51" t="s">
        <v>45</v>
      </c>
      <c r="C22" s="49" t="s">
        <v>29</v>
      </c>
      <c r="D22" s="43" t="s">
        <v>23</v>
      </c>
      <c r="E22" s="44">
        <v>10</v>
      </c>
      <c r="F22" s="273">
        <f>'[1]commercial (2)'!V22</f>
        <v>2526800</v>
      </c>
      <c r="G22" s="274">
        <v>0</v>
      </c>
      <c r="H22" s="46">
        <f t="shared" si="0"/>
        <v>25268000</v>
      </c>
      <c r="I22" s="46">
        <f t="shared" si="1"/>
        <v>0</v>
      </c>
      <c r="J22" s="269">
        <f t="shared" si="4"/>
        <v>61300.339640950995</v>
      </c>
      <c r="K22" s="47"/>
      <c r="L22" s="47">
        <v>1500000</v>
      </c>
      <c r="M22" s="48"/>
      <c r="N22" s="270">
        <f t="shared" si="8"/>
        <v>15000000</v>
      </c>
      <c r="O22" s="270">
        <f t="shared" si="8"/>
        <v>0</v>
      </c>
      <c r="P22" s="271">
        <f t="shared" si="9"/>
        <v>36390.101892285296</v>
      </c>
      <c r="Q22" s="137">
        <v>2087000</v>
      </c>
      <c r="R22" s="79">
        <v>0</v>
      </c>
      <c r="S22" s="272">
        <f t="shared" si="10"/>
        <v>20870000</v>
      </c>
      <c r="T22" s="272">
        <f t="shared" si="12"/>
        <v>0</v>
      </c>
      <c r="U22" s="399">
        <f t="shared" si="11"/>
        <v>50630.76176613295</v>
      </c>
      <c r="V22" s="409"/>
    </row>
    <row r="23" spans="2:22" ht="11.25" x14ac:dyDescent="0.25">
      <c r="B23" s="51" t="s">
        <v>46</v>
      </c>
      <c r="C23" s="49" t="s">
        <v>31</v>
      </c>
      <c r="D23" s="53" t="s">
        <v>20</v>
      </c>
      <c r="E23" s="44">
        <v>10</v>
      </c>
      <c r="F23" s="273">
        <f>'[1]commercial (2)'!V23</f>
        <v>2975600</v>
      </c>
      <c r="G23" s="274">
        <v>0</v>
      </c>
      <c r="H23" s="46">
        <f t="shared" si="0"/>
        <v>29756000</v>
      </c>
      <c r="I23" s="46">
        <f t="shared" si="1"/>
        <v>0</v>
      </c>
      <c r="J23" s="269">
        <f t="shared" si="4"/>
        <v>72188.258127122754</v>
      </c>
      <c r="K23" s="47"/>
      <c r="L23" s="47">
        <v>1500000</v>
      </c>
      <c r="M23" s="48"/>
      <c r="N23" s="270">
        <f t="shared" si="8"/>
        <v>15000000</v>
      </c>
      <c r="O23" s="270">
        <f t="shared" si="8"/>
        <v>0</v>
      </c>
      <c r="P23" s="271">
        <f t="shared" si="9"/>
        <v>36390.101892285296</v>
      </c>
      <c r="Q23" s="137">
        <v>2550000</v>
      </c>
      <c r="R23" s="79">
        <v>0</v>
      </c>
      <c r="S23" s="272">
        <f t="shared" si="10"/>
        <v>25500000</v>
      </c>
      <c r="T23" s="272">
        <f t="shared" si="12"/>
        <v>0</v>
      </c>
      <c r="U23" s="399">
        <f t="shared" si="11"/>
        <v>61863.173216885007</v>
      </c>
      <c r="V23" s="409"/>
    </row>
    <row r="24" spans="2:22" ht="11.25" x14ac:dyDescent="0.25">
      <c r="B24" s="51" t="s">
        <v>47</v>
      </c>
      <c r="C24" s="49" t="s">
        <v>33</v>
      </c>
      <c r="D24" s="43" t="s">
        <v>23</v>
      </c>
      <c r="E24" s="44">
        <v>10</v>
      </c>
      <c r="F24" s="273">
        <f>'[1]commercial (2)'!V24</f>
        <v>3424400</v>
      </c>
      <c r="G24" s="274">
        <v>0</v>
      </c>
      <c r="H24" s="46">
        <f t="shared" si="0"/>
        <v>34244000</v>
      </c>
      <c r="I24" s="46">
        <f t="shared" si="1"/>
        <v>0</v>
      </c>
      <c r="J24" s="269">
        <f t="shared" si="4"/>
        <v>83076.176613294519</v>
      </c>
      <c r="K24" s="47"/>
      <c r="L24" s="47">
        <v>2000000</v>
      </c>
      <c r="M24" s="48"/>
      <c r="N24" s="270">
        <f t="shared" si="8"/>
        <v>20000000</v>
      </c>
      <c r="O24" s="270">
        <f t="shared" si="8"/>
        <v>0</v>
      </c>
      <c r="P24" s="271">
        <f t="shared" si="9"/>
        <v>48520.135856380402</v>
      </c>
      <c r="Q24" s="137">
        <v>2902000</v>
      </c>
      <c r="R24" s="79">
        <v>0</v>
      </c>
      <c r="S24" s="272">
        <f t="shared" si="10"/>
        <v>29020000</v>
      </c>
      <c r="T24" s="272">
        <f t="shared" si="12"/>
        <v>0</v>
      </c>
      <c r="U24" s="399">
        <f t="shared" si="11"/>
        <v>70402.717127607961</v>
      </c>
      <c r="V24" s="409"/>
    </row>
    <row r="25" spans="2:22" ht="11.25" x14ac:dyDescent="0.25">
      <c r="B25" s="51" t="s">
        <v>48</v>
      </c>
      <c r="C25" s="49" t="s">
        <v>35</v>
      </c>
      <c r="D25" s="43" t="s">
        <v>23</v>
      </c>
      <c r="E25" s="44">
        <v>10</v>
      </c>
      <c r="F25" s="273">
        <f>'[1]commercial (2)'!V25</f>
        <v>3873200</v>
      </c>
      <c r="G25" s="274">
        <v>0</v>
      </c>
      <c r="H25" s="46">
        <f t="shared" si="0"/>
        <v>38732000</v>
      </c>
      <c r="I25" s="46">
        <f t="shared" si="1"/>
        <v>0</v>
      </c>
      <c r="J25" s="269">
        <f t="shared" si="4"/>
        <v>93964.095099466285</v>
      </c>
      <c r="K25" s="47"/>
      <c r="L25" s="47">
        <v>2100000</v>
      </c>
      <c r="M25" s="48"/>
      <c r="N25" s="270">
        <f t="shared" si="8"/>
        <v>21000000</v>
      </c>
      <c r="O25" s="270">
        <f t="shared" si="8"/>
        <v>0</v>
      </c>
      <c r="P25" s="271">
        <f t="shared" si="9"/>
        <v>50946.142649199421</v>
      </c>
      <c r="Q25" s="137">
        <v>3345000</v>
      </c>
      <c r="R25" s="79">
        <v>0</v>
      </c>
      <c r="S25" s="272">
        <f t="shared" si="10"/>
        <v>33450000</v>
      </c>
      <c r="T25" s="272">
        <f t="shared" si="12"/>
        <v>0</v>
      </c>
      <c r="U25" s="399">
        <f t="shared" si="11"/>
        <v>81149.927219796213</v>
      </c>
      <c r="V25" s="409"/>
    </row>
    <row r="26" spans="2:22" ht="12" thickBot="1" x14ac:dyDescent="0.3">
      <c r="B26" s="54" t="s">
        <v>49</v>
      </c>
      <c r="C26" s="55" t="s">
        <v>37</v>
      </c>
      <c r="D26" s="56" t="s">
        <v>23</v>
      </c>
      <c r="E26" s="57">
        <v>10</v>
      </c>
      <c r="F26" s="278">
        <f>'[1]commercial (2)'!V26</f>
        <v>4322000</v>
      </c>
      <c r="G26" s="279">
        <v>0</v>
      </c>
      <c r="H26" s="58">
        <f t="shared" si="0"/>
        <v>43220000</v>
      </c>
      <c r="I26" s="58">
        <f t="shared" si="1"/>
        <v>0</v>
      </c>
      <c r="J26" s="269">
        <f t="shared" si="4"/>
        <v>104852.01358563804</v>
      </c>
      <c r="K26" s="59"/>
      <c r="L26" s="59">
        <v>2500000</v>
      </c>
      <c r="M26" s="60"/>
      <c r="N26" s="263">
        <f t="shared" si="8"/>
        <v>25000000</v>
      </c>
      <c r="O26" s="263">
        <f t="shared" si="8"/>
        <v>0</v>
      </c>
      <c r="P26" s="264">
        <f t="shared" si="9"/>
        <v>60650.169820475501</v>
      </c>
      <c r="Q26" s="280">
        <v>3580000</v>
      </c>
      <c r="R26" s="104">
        <v>0</v>
      </c>
      <c r="S26" s="281">
        <f t="shared" si="10"/>
        <v>35800000</v>
      </c>
      <c r="T26" s="281">
        <f t="shared" si="12"/>
        <v>0</v>
      </c>
      <c r="U26" s="400">
        <f t="shared" si="11"/>
        <v>86851.043182920912</v>
      </c>
      <c r="V26" s="409"/>
    </row>
    <row r="27" spans="2:22" ht="15" customHeight="1" thickBot="1" x14ac:dyDescent="0.3">
      <c r="B27" s="447" t="s">
        <v>50</v>
      </c>
      <c r="C27" s="455"/>
      <c r="D27" s="455"/>
      <c r="E27" s="456"/>
      <c r="F27" s="61"/>
      <c r="G27" s="62"/>
      <c r="H27" s="63">
        <f>SUM(H8:H26)</f>
        <v>707184000</v>
      </c>
      <c r="I27" s="63">
        <f t="shared" ref="I27" si="13">SUM(I8:I26)</f>
        <v>0</v>
      </c>
      <c r="J27" s="66">
        <f>SUM(J8:J26)</f>
        <v>1715633.1877729257</v>
      </c>
      <c r="K27" s="65"/>
      <c r="L27" s="66"/>
      <c r="M27" s="63"/>
      <c r="N27" s="63">
        <f t="shared" ref="N27:P27" si="14">SUM(N8:N26)</f>
        <v>476000000</v>
      </c>
      <c r="O27" s="63">
        <f t="shared" si="14"/>
        <v>0</v>
      </c>
      <c r="P27" s="67">
        <f t="shared" si="14"/>
        <v>1154779.2333818534</v>
      </c>
      <c r="Q27" s="282"/>
      <c r="R27" s="256"/>
      <c r="S27" s="63">
        <f t="shared" ref="S27:U27" si="15">SUM(S8:S26)</f>
        <v>527230000</v>
      </c>
      <c r="T27" s="63">
        <f t="shared" si="15"/>
        <v>0</v>
      </c>
      <c r="U27" s="67">
        <f t="shared" si="15"/>
        <v>1279063.5613779719</v>
      </c>
      <c r="V27" s="409"/>
    </row>
    <row r="28" spans="2:22" ht="11.25" x14ac:dyDescent="0.25">
      <c r="B28" s="68" t="s">
        <v>51</v>
      </c>
      <c r="C28" s="416" t="s">
        <v>52</v>
      </c>
      <c r="D28" s="69"/>
      <c r="E28" s="70"/>
      <c r="F28" s="283"/>
      <c r="G28" s="284"/>
      <c r="H28" s="71"/>
      <c r="I28" s="71"/>
      <c r="J28" s="87">
        <f t="shared" si="4"/>
        <v>0</v>
      </c>
      <c r="K28" s="73"/>
      <c r="L28" s="73"/>
      <c r="M28" s="74"/>
      <c r="N28" s="75"/>
      <c r="O28" s="75"/>
      <c r="P28" s="285"/>
      <c r="Q28" s="265"/>
      <c r="R28" s="75"/>
      <c r="S28" s="75"/>
      <c r="T28" s="75">
        <f t="shared" si="12"/>
        <v>0</v>
      </c>
      <c r="U28" s="285"/>
      <c r="V28" s="409"/>
    </row>
    <row r="29" spans="2:22" ht="11.25" x14ac:dyDescent="0.25">
      <c r="B29" s="51" t="s">
        <v>53</v>
      </c>
      <c r="C29" s="417" t="s">
        <v>17</v>
      </c>
      <c r="D29" s="53"/>
      <c r="E29" s="44"/>
      <c r="F29" s="273"/>
      <c r="G29" s="274"/>
      <c r="H29" s="77"/>
      <c r="I29" s="77"/>
      <c r="J29" s="87">
        <f t="shared" si="4"/>
        <v>0</v>
      </c>
      <c r="K29" s="47"/>
      <c r="L29" s="47"/>
      <c r="M29" s="48"/>
      <c r="N29" s="79"/>
      <c r="O29" s="79"/>
      <c r="P29" s="277"/>
      <c r="Q29" s="137"/>
      <c r="R29" s="79"/>
      <c r="S29" s="79"/>
      <c r="T29" s="79">
        <f t="shared" si="12"/>
        <v>0</v>
      </c>
      <c r="U29" s="287"/>
      <c r="V29" s="409"/>
    </row>
    <row r="30" spans="2:22" ht="114.6" customHeight="1" thickBot="1" x14ac:dyDescent="0.3">
      <c r="B30" s="80" t="s">
        <v>54</v>
      </c>
      <c r="C30" s="35" t="s">
        <v>55</v>
      </c>
      <c r="D30" s="36" t="s">
        <v>20</v>
      </c>
      <c r="E30" s="37">
        <v>600</v>
      </c>
      <c r="F30" s="273">
        <f>'[1]commercial (2)'!V29</f>
        <v>236800</v>
      </c>
      <c r="G30" s="268">
        <v>0</v>
      </c>
      <c r="H30" s="39">
        <f t="shared" ref="H30:H38" si="16">E30*F30</f>
        <v>142080000</v>
      </c>
      <c r="I30" s="39">
        <f t="shared" ref="I30:I38" si="17">E30*G30</f>
        <v>0</v>
      </c>
      <c r="J30" s="269">
        <f t="shared" si="4"/>
        <v>344687.04512372636</v>
      </c>
      <c r="K30" s="40"/>
      <c r="L30" s="40">
        <v>300000</v>
      </c>
      <c r="M30" s="41"/>
      <c r="N30" s="270">
        <f t="shared" ref="N30:O38" si="18">$E30*L30</f>
        <v>180000000</v>
      </c>
      <c r="O30" s="270">
        <f t="shared" si="18"/>
        <v>0</v>
      </c>
      <c r="P30" s="271">
        <f t="shared" ref="P30:P38" si="19">O30+(N30/$K$2)</f>
        <v>436681.22270742361</v>
      </c>
      <c r="Q30" s="137">
        <v>324000</v>
      </c>
      <c r="R30" s="79">
        <v>0</v>
      </c>
      <c r="S30" s="272">
        <f t="shared" ref="S30:S91" si="20">Q30*E30</f>
        <v>194400000</v>
      </c>
      <c r="T30" s="272">
        <f>R30*E30</f>
        <v>0</v>
      </c>
      <c r="U30" s="397">
        <f t="shared" ref="U30:U38" si="21">T30+(S30/$K$2)</f>
        <v>471615.72052401747</v>
      </c>
      <c r="V30" s="409"/>
    </row>
    <row r="31" spans="2:22" ht="26.25" customHeight="1" thickBot="1" x14ac:dyDescent="0.3">
      <c r="B31" s="51" t="s">
        <v>56</v>
      </c>
      <c r="C31" s="42" t="s">
        <v>22</v>
      </c>
      <c r="D31" s="43" t="s">
        <v>20</v>
      </c>
      <c r="E31" s="44">
        <v>200</v>
      </c>
      <c r="F31" s="273">
        <f>'[1]commercial (2)'!V30</f>
        <v>627600</v>
      </c>
      <c r="G31" s="274">
        <v>0</v>
      </c>
      <c r="H31" s="46">
        <f t="shared" si="16"/>
        <v>125520000</v>
      </c>
      <c r="I31" s="46">
        <f t="shared" si="17"/>
        <v>0</v>
      </c>
      <c r="J31" s="269">
        <f t="shared" si="4"/>
        <v>304512.3726346434</v>
      </c>
      <c r="K31" s="73"/>
      <c r="L31" s="73">
        <v>425000</v>
      </c>
      <c r="M31" s="48"/>
      <c r="N31" s="270">
        <f t="shared" si="18"/>
        <v>85000000</v>
      </c>
      <c r="O31" s="270">
        <f t="shared" si="18"/>
        <v>0</v>
      </c>
      <c r="P31" s="271">
        <f t="shared" si="19"/>
        <v>206210.57738961669</v>
      </c>
      <c r="Q31" s="368">
        <f>F31</f>
        <v>627600</v>
      </c>
      <c r="R31" s="88">
        <v>0</v>
      </c>
      <c r="S31" s="276">
        <f t="shared" si="20"/>
        <v>125520000</v>
      </c>
      <c r="T31" s="276">
        <f t="shared" si="12"/>
        <v>0</v>
      </c>
      <c r="U31" s="398">
        <f t="shared" si="21"/>
        <v>304512.3726346434</v>
      </c>
      <c r="V31" s="408" t="s">
        <v>672</v>
      </c>
    </row>
    <row r="32" spans="2:22" ht="12" thickBot="1" x14ac:dyDescent="0.3">
      <c r="B32" s="34" t="s">
        <v>57</v>
      </c>
      <c r="C32" s="49" t="s">
        <v>25</v>
      </c>
      <c r="D32" s="43" t="s">
        <v>20</v>
      </c>
      <c r="E32" s="44">
        <v>200</v>
      </c>
      <c r="F32" s="273">
        <f>'[1]commercial (2)'!V31</f>
        <v>1018400</v>
      </c>
      <c r="G32" s="274">
        <v>0</v>
      </c>
      <c r="H32" s="46">
        <f t="shared" si="16"/>
        <v>203680000</v>
      </c>
      <c r="I32" s="46">
        <f t="shared" si="17"/>
        <v>0</v>
      </c>
      <c r="J32" s="269">
        <f t="shared" si="4"/>
        <v>494129.06356137799</v>
      </c>
      <c r="K32" s="73"/>
      <c r="L32" s="73">
        <v>650000</v>
      </c>
      <c r="M32" s="48"/>
      <c r="N32" s="270">
        <f t="shared" si="18"/>
        <v>130000000</v>
      </c>
      <c r="O32" s="270">
        <f t="shared" si="18"/>
        <v>0</v>
      </c>
      <c r="P32" s="271">
        <f t="shared" si="19"/>
        <v>315380.8830664726</v>
      </c>
      <c r="Q32" s="137">
        <v>631000</v>
      </c>
      <c r="R32" s="79">
        <v>0</v>
      </c>
      <c r="S32" s="272">
        <f t="shared" si="20"/>
        <v>126200000</v>
      </c>
      <c r="T32" s="272">
        <f t="shared" si="12"/>
        <v>0</v>
      </c>
      <c r="U32" s="399">
        <f t="shared" si="21"/>
        <v>306162.05725376034</v>
      </c>
      <c r="V32" s="409"/>
    </row>
    <row r="33" spans="2:22" ht="12" thickBot="1" x14ac:dyDescent="0.3">
      <c r="B33" s="51" t="s">
        <v>58</v>
      </c>
      <c r="C33" s="49" t="s">
        <v>27</v>
      </c>
      <c r="D33" s="43" t="s">
        <v>20</v>
      </c>
      <c r="E33" s="44">
        <v>50</v>
      </c>
      <c r="F33" s="273">
        <f>'[1]commercial (2)'!V32</f>
        <v>1409200</v>
      </c>
      <c r="G33" s="274">
        <v>0</v>
      </c>
      <c r="H33" s="46">
        <f t="shared" si="16"/>
        <v>70460000</v>
      </c>
      <c r="I33" s="46">
        <f t="shared" si="17"/>
        <v>0</v>
      </c>
      <c r="J33" s="269">
        <f t="shared" si="4"/>
        <v>170936.43862202816</v>
      </c>
      <c r="K33" s="73"/>
      <c r="L33" s="73">
        <v>1500000</v>
      </c>
      <c r="M33" s="48"/>
      <c r="N33" s="270">
        <f t="shared" si="18"/>
        <v>75000000</v>
      </c>
      <c r="O33" s="270">
        <f t="shared" si="18"/>
        <v>0</v>
      </c>
      <c r="P33" s="271">
        <f t="shared" si="19"/>
        <v>181950.5094614265</v>
      </c>
      <c r="Q33" s="137">
        <v>1495000</v>
      </c>
      <c r="R33" s="79">
        <v>0</v>
      </c>
      <c r="S33" s="272">
        <f t="shared" si="20"/>
        <v>74750000</v>
      </c>
      <c r="T33" s="272">
        <f t="shared" si="12"/>
        <v>0</v>
      </c>
      <c r="U33" s="399">
        <f t="shared" si="21"/>
        <v>181344.00776322174</v>
      </c>
      <c r="V33" s="409"/>
    </row>
    <row r="34" spans="2:22" ht="12" thickBot="1" x14ac:dyDescent="0.3">
      <c r="B34" s="34" t="s">
        <v>59</v>
      </c>
      <c r="C34" s="49" t="s">
        <v>29</v>
      </c>
      <c r="D34" s="43" t="s">
        <v>20</v>
      </c>
      <c r="E34" s="44">
        <v>50</v>
      </c>
      <c r="F34" s="273">
        <f>'[1]commercial (2)'!V33</f>
        <v>2196800</v>
      </c>
      <c r="G34" s="274">
        <v>0</v>
      </c>
      <c r="H34" s="46">
        <f t="shared" si="16"/>
        <v>109840000</v>
      </c>
      <c r="I34" s="46">
        <f t="shared" si="17"/>
        <v>0</v>
      </c>
      <c r="J34" s="269">
        <f t="shared" si="4"/>
        <v>266472.58612324117</v>
      </c>
      <c r="K34" s="73"/>
      <c r="L34" s="73">
        <v>1500000</v>
      </c>
      <c r="M34" s="48"/>
      <c r="N34" s="270">
        <f t="shared" si="18"/>
        <v>75000000</v>
      </c>
      <c r="O34" s="270">
        <f t="shared" si="18"/>
        <v>0</v>
      </c>
      <c r="P34" s="271">
        <f t="shared" si="19"/>
        <v>181950.5094614265</v>
      </c>
      <c r="Q34" s="137">
        <v>2087000</v>
      </c>
      <c r="R34" s="79">
        <v>0</v>
      </c>
      <c r="S34" s="272">
        <f t="shared" si="20"/>
        <v>104350000</v>
      </c>
      <c r="T34" s="272">
        <f t="shared" si="12"/>
        <v>0</v>
      </c>
      <c r="U34" s="399">
        <f t="shared" si="21"/>
        <v>253153.80883066473</v>
      </c>
      <c r="V34" s="409"/>
    </row>
    <row r="35" spans="2:22" ht="12" thickBot="1" x14ac:dyDescent="0.3">
      <c r="B35" s="51" t="s">
        <v>60</v>
      </c>
      <c r="C35" s="49" t="s">
        <v>31</v>
      </c>
      <c r="D35" s="43" t="s">
        <v>20</v>
      </c>
      <c r="E35" s="44">
        <v>10</v>
      </c>
      <c r="F35" s="267">
        <f>'[1]commercial (2)'!V34</f>
        <v>2587600</v>
      </c>
      <c r="G35" s="274">
        <v>0</v>
      </c>
      <c r="H35" s="46">
        <f t="shared" si="16"/>
        <v>25876000</v>
      </c>
      <c r="I35" s="46">
        <f t="shared" si="17"/>
        <v>0</v>
      </c>
      <c r="J35" s="269">
        <f t="shared" si="4"/>
        <v>62775.351770984962</v>
      </c>
      <c r="K35" s="73"/>
      <c r="L35" s="73">
        <v>1500000</v>
      </c>
      <c r="M35" s="48"/>
      <c r="N35" s="270">
        <f t="shared" si="18"/>
        <v>15000000</v>
      </c>
      <c r="O35" s="270">
        <f t="shared" si="18"/>
        <v>0</v>
      </c>
      <c r="P35" s="271">
        <f t="shared" si="19"/>
        <v>36390.101892285296</v>
      </c>
      <c r="Q35" s="137">
        <v>2550000</v>
      </c>
      <c r="R35" s="79">
        <v>0</v>
      </c>
      <c r="S35" s="272">
        <f t="shared" si="20"/>
        <v>25500000</v>
      </c>
      <c r="T35" s="272">
        <f t="shared" si="12"/>
        <v>0</v>
      </c>
      <c r="U35" s="399">
        <f t="shared" si="21"/>
        <v>61863.173216885007</v>
      </c>
      <c r="V35" s="409"/>
    </row>
    <row r="36" spans="2:22" ht="12" thickBot="1" x14ac:dyDescent="0.3">
      <c r="B36" s="34" t="s">
        <v>61</v>
      </c>
      <c r="C36" s="49" t="s">
        <v>33</v>
      </c>
      <c r="D36" s="43" t="s">
        <v>20</v>
      </c>
      <c r="E36" s="44">
        <v>10</v>
      </c>
      <c r="F36" s="273">
        <f>'[1]commercial (2)'!V35</f>
        <v>2978400</v>
      </c>
      <c r="G36" s="274">
        <v>0</v>
      </c>
      <c r="H36" s="46">
        <f t="shared" si="16"/>
        <v>29784000</v>
      </c>
      <c r="I36" s="46">
        <f t="shared" si="17"/>
        <v>0</v>
      </c>
      <c r="J36" s="269">
        <f t="shared" si="4"/>
        <v>72256.186317321684</v>
      </c>
      <c r="K36" s="73"/>
      <c r="L36" s="73">
        <v>2000000</v>
      </c>
      <c r="M36" s="48"/>
      <c r="N36" s="270">
        <f t="shared" si="18"/>
        <v>20000000</v>
      </c>
      <c r="O36" s="270">
        <f t="shared" si="18"/>
        <v>0</v>
      </c>
      <c r="P36" s="271">
        <f t="shared" si="19"/>
        <v>48520.135856380402</v>
      </c>
      <c r="Q36" s="137">
        <v>2902000</v>
      </c>
      <c r="R36" s="79">
        <v>0</v>
      </c>
      <c r="S36" s="272">
        <f t="shared" si="20"/>
        <v>29020000</v>
      </c>
      <c r="T36" s="272">
        <f t="shared" si="12"/>
        <v>0</v>
      </c>
      <c r="U36" s="399">
        <f t="shared" si="21"/>
        <v>70402.717127607961</v>
      </c>
      <c r="V36" s="409"/>
    </row>
    <row r="37" spans="2:22" ht="12" thickBot="1" x14ac:dyDescent="0.3">
      <c r="B37" s="51" t="s">
        <v>62</v>
      </c>
      <c r="C37" s="49" t="s">
        <v>35</v>
      </c>
      <c r="D37" s="43" t="s">
        <v>20</v>
      </c>
      <c r="E37" s="44">
        <v>10</v>
      </c>
      <c r="F37" s="267">
        <f>'[1]commercial (2)'!V36</f>
        <v>3369200</v>
      </c>
      <c r="G37" s="274">
        <v>0</v>
      </c>
      <c r="H37" s="46">
        <f t="shared" si="16"/>
        <v>33692000</v>
      </c>
      <c r="I37" s="46">
        <f t="shared" si="17"/>
        <v>0</v>
      </c>
      <c r="J37" s="269">
        <f t="shared" si="4"/>
        <v>81737.020863658414</v>
      </c>
      <c r="K37" s="73"/>
      <c r="L37" s="73">
        <v>2100000</v>
      </c>
      <c r="M37" s="48"/>
      <c r="N37" s="270">
        <f t="shared" si="18"/>
        <v>21000000</v>
      </c>
      <c r="O37" s="270">
        <f t="shared" si="18"/>
        <v>0</v>
      </c>
      <c r="P37" s="271">
        <f t="shared" si="19"/>
        <v>50946.142649199421</v>
      </c>
      <c r="Q37" s="137">
        <v>3345000</v>
      </c>
      <c r="R37" s="79">
        <v>0</v>
      </c>
      <c r="S37" s="272">
        <f t="shared" si="20"/>
        <v>33450000</v>
      </c>
      <c r="T37" s="272">
        <f t="shared" si="12"/>
        <v>0</v>
      </c>
      <c r="U37" s="399">
        <f t="shared" si="21"/>
        <v>81149.927219796213</v>
      </c>
      <c r="V37" s="409"/>
    </row>
    <row r="38" spans="2:22" ht="11.25" x14ac:dyDescent="0.25">
      <c r="B38" s="34" t="s">
        <v>63</v>
      </c>
      <c r="C38" s="81" t="s">
        <v>37</v>
      </c>
      <c r="D38" s="43" t="s">
        <v>20</v>
      </c>
      <c r="E38" s="44">
        <v>10</v>
      </c>
      <c r="F38" s="267">
        <f>'[1]commercial (2)'!V37</f>
        <v>3760000</v>
      </c>
      <c r="G38" s="274">
        <v>0</v>
      </c>
      <c r="H38" s="46">
        <f t="shared" si="16"/>
        <v>37600000</v>
      </c>
      <c r="I38" s="46">
        <f t="shared" si="17"/>
        <v>0</v>
      </c>
      <c r="J38" s="269">
        <f t="shared" si="4"/>
        <v>91217.855409995143</v>
      </c>
      <c r="K38" s="73"/>
      <c r="L38" s="73">
        <v>2500000</v>
      </c>
      <c r="M38" s="48"/>
      <c r="N38" s="270">
        <f t="shared" si="18"/>
        <v>25000000</v>
      </c>
      <c r="O38" s="270">
        <f t="shared" si="18"/>
        <v>0</v>
      </c>
      <c r="P38" s="271">
        <f t="shared" si="19"/>
        <v>60650.169820475501</v>
      </c>
      <c r="Q38" s="137">
        <v>3580000</v>
      </c>
      <c r="R38" s="79">
        <v>0</v>
      </c>
      <c r="S38" s="272">
        <f t="shared" si="20"/>
        <v>35800000</v>
      </c>
      <c r="T38" s="272">
        <f t="shared" si="12"/>
        <v>0</v>
      </c>
      <c r="U38" s="397">
        <f t="shared" si="21"/>
        <v>86851.043182920912</v>
      </c>
      <c r="V38" s="409"/>
    </row>
    <row r="39" spans="2:22" ht="11.25" x14ac:dyDescent="0.25">
      <c r="B39" s="80" t="s">
        <v>64</v>
      </c>
      <c r="C39" s="82" t="s">
        <v>39</v>
      </c>
      <c r="D39" s="53"/>
      <c r="E39" s="44"/>
      <c r="F39" s="273"/>
      <c r="G39" s="274"/>
      <c r="H39" s="77"/>
      <c r="I39" s="77"/>
      <c r="J39" s="78"/>
      <c r="K39" s="47"/>
      <c r="L39" s="47"/>
      <c r="M39" s="48"/>
      <c r="N39" s="79"/>
      <c r="O39" s="79"/>
      <c r="P39" s="277"/>
      <c r="Q39" s="275"/>
      <c r="R39" s="88"/>
      <c r="S39" s="88"/>
      <c r="T39" s="88">
        <f t="shared" si="12"/>
        <v>0</v>
      </c>
      <c r="U39" s="401"/>
      <c r="V39" s="409"/>
    </row>
    <row r="40" spans="2:22" ht="123" customHeight="1" x14ac:dyDescent="0.25">
      <c r="B40" s="51" t="s">
        <v>65</v>
      </c>
      <c r="C40" s="52" t="s">
        <v>66</v>
      </c>
      <c r="D40" s="53" t="s">
        <v>23</v>
      </c>
      <c r="E40" s="44">
        <v>200</v>
      </c>
      <c r="F40" s="273">
        <f>'[1]commercial (2)'!V40</f>
        <v>276799</v>
      </c>
      <c r="G40" s="274">
        <v>0</v>
      </c>
      <c r="H40" s="46">
        <f t="shared" ref="H40:H48" si="22">E40*F40</f>
        <v>55359800</v>
      </c>
      <c r="I40" s="46">
        <f t="shared" ref="I40:I48" si="23">E40*G40</f>
        <v>0</v>
      </c>
      <c r="J40" s="269">
        <f t="shared" si="4"/>
        <v>134303.25084910239</v>
      </c>
      <c r="K40" s="47"/>
      <c r="L40" s="47">
        <v>300000</v>
      </c>
      <c r="M40" s="48"/>
      <c r="N40" s="270">
        <f t="shared" ref="N40:O48" si="24">$E40*L40</f>
        <v>60000000</v>
      </c>
      <c r="O40" s="270">
        <f t="shared" si="24"/>
        <v>0</v>
      </c>
      <c r="P40" s="271">
        <f t="shared" ref="P40:P48" si="25">O40+(N40/$K$2)</f>
        <v>145560.40756914119</v>
      </c>
      <c r="Q40" s="137">
        <v>324000</v>
      </c>
      <c r="R40" s="79">
        <v>0</v>
      </c>
      <c r="S40" s="272">
        <f t="shared" si="20"/>
        <v>64800000</v>
      </c>
      <c r="T40" s="272">
        <f t="shared" si="12"/>
        <v>0</v>
      </c>
      <c r="U40" s="397">
        <f t="shared" ref="U40:U48" si="26">T40+(S40/$K$2)</f>
        <v>157205.24017467248</v>
      </c>
      <c r="V40" s="409"/>
    </row>
    <row r="41" spans="2:22" ht="15" customHeight="1" x14ac:dyDescent="0.25">
      <c r="B41" s="51" t="s">
        <v>67</v>
      </c>
      <c r="C41" s="42" t="s">
        <v>22</v>
      </c>
      <c r="D41" s="53" t="s">
        <v>68</v>
      </c>
      <c r="E41" s="44">
        <v>200</v>
      </c>
      <c r="F41" s="273">
        <f>'[1]commercial (2)'!V41</f>
        <v>707600</v>
      </c>
      <c r="G41" s="274">
        <v>0</v>
      </c>
      <c r="H41" s="46">
        <f t="shared" si="22"/>
        <v>141520000</v>
      </c>
      <c r="I41" s="46">
        <f t="shared" si="23"/>
        <v>0</v>
      </c>
      <c r="J41" s="269">
        <f t="shared" si="4"/>
        <v>343328.48131974769</v>
      </c>
      <c r="K41" s="47"/>
      <c r="L41" s="47">
        <v>425000</v>
      </c>
      <c r="M41" s="48"/>
      <c r="N41" s="270">
        <f t="shared" si="24"/>
        <v>85000000</v>
      </c>
      <c r="O41" s="270">
        <f t="shared" si="24"/>
        <v>0</v>
      </c>
      <c r="P41" s="271">
        <f t="shared" si="25"/>
        <v>206210.57738961669</v>
      </c>
      <c r="Q41" s="368">
        <f>F41</f>
        <v>707600</v>
      </c>
      <c r="R41" s="88">
        <v>0</v>
      </c>
      <c r="S41" s="276">
        <f t="shared" si="20"/>
        <v>141520000</v>
      </c>
      <c r="T41" s="276">
        <f t="shared" si="12"/>
        <v>0</v>
      </c>
      <c r="U41" s="398">
        <f t="shared" si="26"/>
        <v>343328.48131974769</v>
      </c>
      <c r="V41" s="408" t="s">
        <v>671</v>
      </c>
    </row>
    <row r="42" spans="2:22" ht="11.25" x14ac:dyDescent="0.25">
      <c r="B42" s="51" t="s">
        <v>69</v>
      </c>
      <c r="C42" s="49" t="s">
        <v>25</v>
      </c>
      <c r="D42" s="53" t="s">
        <v>68</v>
      </c>
      <c r="E42" s="44">
        <v>200</v>
      </c>
      <c r="F42" s="273">
        <f>'[1]commercial (2)'!V42</f>
        <v>1138400</v>
      </c>
      <c r="G42" s="274">
        <v>0</v>
      </c>
      <c r="H42" s="46">
        <f t="shared" si="22"/>
        <v>227680000</v>
      </c>
      <c r="I42" s="46">
        <f t="shared" si="23"/>
        <v>0</v>
      </c>
      <c r="J42" s="269">
        <f t="shared" si="4"/>
        <v>552353.22658903443</v>
      </c>
      <c r="K42" s="47"/>
      <c r="L42" s="47">
        <v>650000</v>
      </c>
      <c r="M42" s="48"/>
      <c r="N42" s="270">
        <f t="shared" si="24"/>
        <v>130000000</v>
      </c>
      <c r="O42" s="270">
        <f t="shared" si="24"/>
        <v>0</v>
      </c>
      <c r="P42" s="271">
        <f t="shared" si="25"/>
        <v>315380.8830664726</v>
      </c>
      <c r="Q42" s="137">
        <v>631000</v>
      </c>
      <c r="R42" s="79">
        <v>0</v>
      </c>
      <c r="S42" s="272">
        <f t="shared" si="20"/>
        <v>126200000</v>
      </c>
      <c r="T42" s="272">
        <f t="shared" si="12"/>
        <v>0</v>
      </c>
      <c r="U42" s="399">
        <f t="shared" si="26"/>
        <v>306162.05725376034</v>
      </c>
      <c r="V42" s="409"/>
    </row>
    <row r="43" spans="2:22" ht="11.25" x14ac:dyDescent="0.25">
      <c r="B43" s="51" t="s">
        <v>70</v>
      </c>
      <c r="C43" s="49" t="s">
        <v>27</v>
      </c>
      <c r="D43" s="53" t="s">
        <v>68</v>
      </c>
      <c r="E43" s="44">
        <v>50</v>
      </c>
      <c r="F43" s="273">
        <f>'[1]commercial (2)'!V43</f>
        <v>1569200</v>
      </c>
      <c r="G43" s="274">
        <v>0</v>
      </c>
      <c r="H43" s="46">
        <f t="shared" si="22"/>
        <v>78460000</v>
      </c>
      <c r="I43" s="46">
        <f t="shared" si="23"/>
        <v>0</v>
      </c>
      <c r="J43" s="269">
        <f t="shared" si="4"/>
        <v>190344.49296458031</v>
      </c>
      <c r="K43" s="47"/>
      <c r="L43" s="47">
        <v>1500000</v>
      </c>
      <c r="M43" s="48"/>
      <c r="N43" s="270">
        <f t="shared" si="24"/>
        <v>75000000</v>
      </c>
      <c r="O43" s="270">
        <f t="shared" si="24"/>
        <v>0</v>
      </c>
      <c r="P43" s="271">
        <f t="shared" si="25"/>
        <v>181950.5094614265</v>
      </c>
      <c r="Q43" s="137">
        <v>1495000</v>
      </c>
      <c r="R43" s="79">
        <v>0</v>
      </c>
      <c r="S43" s="272">
        <f t="shared" si="20"/>
        <v>74750000</v>
      </c>
      <c r="T43" s="272">
        <f t="shared" si="12"/>
        <v>0</v>
      </c>
      <c r="U43" s="399">
        <f t="shared" si="26"/>
        <v>181344.00776322174</v>
      </c>
      <c r="V43" s="409"/>
    </row>
    <row r="44" spans="2:22" ht="11.25" x14ac:dyDescent="0.25">
      <c r="B44" s="51" t="s">
        <v>71</v>
      </c>
      <c r="C44" s="49" t="s">
        <v>29</v>
      </c>
      <c r="D44" s="53" t="s">
        <v>68</v>
      </c>
      <c r="E44" s="44">
        <v>50</v>
      </c>
      <c r="F44" s="273">
        <f>'[1]commercial (2)'!V44</f>
        <v>2436800</v>
      </c>
      <c r="G44" s="274">
        <v>0</v>
      </c>
      <c r="H44" s="46">
        <f t="shared" si="22"/>
        <v>121840000</v>
      </c>
      <c r="I44" s="46">
        <f t="shared" si="23"/>
        <v>0</v>
      </c>
      <c r="J44" s="269">
        <f t="shared" si="4"/>
        <v>295584.66763706942</v>
      </c>
      <c r="K44" s="47"/>
      <c r="L44" s="47">
        <v>1500000</v>
      </c>
      <c r="M44" s="48"/>
      <c r="N44" s="270">
        <f t="shared" si="24"/>
        <v>75000000</v>
      </c>
      <c r="O44" s="270">
        <f t="shared" si="24"/>
        <v>0</v>
      </c>
      <c r="P44" s="271">
        <f t="shared" si="25"/>
        <v>181950.5094614265</v>
      </c>
      <c r="Q44" s="137">
        <v>2087000</v>
      </c>
      <c r="R44" s="79">
        <v>0</v>
      </c>
      <c r="S44" s="272">
        <f t="shared" si="20"/>
        <v>104350000</v>
      </c>
      <c r="T44" s="272">
        <f t="shared" si="12"/>
        <v>0</v>
      </c>
      <c r="U44" s="399">
        <f t="shared" si="26"/>
        <v>253153.80883066473</v>
      </c>
      <c r="V44" s="409"/>
    </row>
    <row r="45" spans="2:22" ht="11.25" x14ac:dyDescent="0.25">
      <c r="B45" s="51" t="s">
        <v>72</v>
      </c>
      <c r="C45" s="49" t="s">
        <v>31</v>
      </c>
      <c r="D45" s="53" t="s">
        <v>68</v>
      </c>
      <c r="E45" s="44">
        <v>50</v>
      </c>
      <c r="F45" s="273">
        <f>'[1]commercial (2)'!V45</f>
        <v>2867600</v>
      </c>
      <c r="G45" s="274">
        <v>0</v>
      </c>
      <c r="H45" s="46">
        <f t="shared" si="22"/>
        <v>143380000</v>
      </c>
      <c r="I45" s="46">
        <f t="shared" si="23"/>
        <v>0</v>
      </c>
      <c r="J45" s="269">
        <f t="shared" si="4"/>
        <v>347840.85395439109</v>
      </c>
      <c r="K45" s="47"/>
      <c r="L45" s="47">
        <v>1500000</v>
      </c>
      <c r="M45" s="48"/>
      <c r="N45" s="270">
        <f t="shared" si="24"/>
        <v>75000000</v>
      </c>
      <c r="O45" s="270">
        <f t="shared" si="24"/>
        <v>0</v>
      </c>
      <c r="P45" s="271">
        <f t="shared" si="25"/>
        <v>181950.5094614265</v>
      </c>
      <c r="Q45" s="137">
        <v>2550000</v>
      </c>
      <c r="R45" s="79">
        <v>0</v>
      </c>
      <c r="S45" s="272">
        <f t="shared" si="20"/>
        <v>127500000</v>
      </c>
      <c r="T45" s="272">
        <f t="shared" si="12"/>
        <v>0</v>
      </c>
      <c r="U45" s="399">
        <f t="shared" si="26"/>
        <v>309315.86608442507</v>
      </c>
      <c r="V45" s="409"/>
    </row>
    <row r="46" spans="2:22" ht="11.25" x14ac:dyDescent="0.25">
      <c r="B46" s="51" t="s">
        <v>73</v>
      </c>
      <c r="C46" s="49" t="s">
        <v>33</v>
      </c>
      <c r="D46" s="53" t="s">
        <v>68</v>
      </c>
      <c r="E46" s="44">
        <v>10</v>
      </c>
      <c r="F46" s="273">
        <f>'[1]commercial (2)'!V46</f>
        <v>3298400</v>
      </c>
      <c r="G46" s="274">
        <v>0</v>
      </c>
      <c r="H46" s="46">
        <f t="shared" si="22"/>
        <v>32984000</v>
      </c>
      <c r="I46" s="46">
        <f t="shared" si="23"/>
        <v>0</v>
      </c>
      <c r="J46" s="269">
        <f t="shared" si="4"/>
        <v>80019.408054342552</v>
      </c>
      <c r="K46" s="47"/>
      <c r="L46" s="47">
        <v>2000000</v>
      </c>
      <c r="M46" s="48"/>
      <c r="N46" s="270">
        <f t="shared" si="24"/>
        <v>20000000</v>
      </c>
      <c r="O46" s="270">
        <f t="shared" si="24"/>
        <v>0</v>
      </c>
      <c r="P46" s="271">
        <f t="shared" si="25"/>
        <v>48520.135856380402</v>
      </c>
      <c r="Q46" s="137">
        <v>2902000</v>
      </c>
      <c r="R46" s="79">
        <v>0</v>
      </c>
      <c r="S46" s="272">
        <f t="shared" si="20"/>
        <v>29020000</v>
      </c>
      <c r="T46" s="272">
        <f t="shared" si="12"/>
        <v>0</v>
      </c>
      <c r="U46" s="399">
        <f t="shared" si="26"/>
        <v>70402.717127607961</v>
      </c>
      <c r="V46" s="409"/>
    </row>
    <row r="47" spans="2:22" ht="11.25" x14ac:dyDescent="0.25">
      <c r="B47" s="51" t="s">
        <v>74</v>
      </c>
      <c r="C47" s="49" t="s">
        <v>35</v>
      </c>
      <c r="D47" s="53" t="s">
        <v>68</v>
      </c>
      <c r="E47" s="44">
        <v>10</v>
      </c>
      <c r="F47" s="273">
        <f>'[1]commercial (2)'!V47</f>
        <v>3729200</v>
      </c>
      <c r="G47" s="274">
        <v>0</v>
      </c>
      <c r="H47" s="46">
        <f t="shared" si="22"/>
        <v>37292000</v>
      </c>
      <c r="I47" s="46">
        <f t="shared" si="23"/>
        <v>0</v>
      </c>
      <c r="J47" s="269">
        <f t="shared" si="4"/>
        <v>90470.645317806891</v>
      </c>
      <c r="K47" s="47"/>
      <c r="L47" s="47">
        <v>2100000</v>
      </c>
      <c r="M47" s="48"/>
      <c r="N47" s="270">
        <f t="shared" si="24"/>
        <v>21000000</v>
      </c>
      <c r="O47" s="270">
        <f t="shared" si="24"/>
        <v>0</v>
      </c>
      <c r="P47" s="271">
        <f t="shared" si="25"/>
        <v>50946.142649199421</v>
      </c>
      <c r="Q47" s="137">
        <v>3345000</v>
      </c>
      <c r="R47" s="79">
        <v>0</v>
      </c>
      <c r="S47" s="272">
        <f t="shared" si="20"/>
        <v>33450000</v>
      </c>
      <c r="T47" s="272">
        <f t="shared" si="12"/>
        <v>0</v>
      </c>
      <c r="U47" s="399">
        <f t="shared" si="26"/>
        <v>81149.927219796213</v>
      </c>
      <c r="V47" s="409"/>
    </row>
    <row r="48" spans="2:22" ht="12" thickBot="1" x14ac:dyDescent="0.3">
      <c r="B48" s="54" t="s">
        <v>75</v>
      </c>
      <c r="C48" s="55" t="s">
        <v>37</v>
      </c>
      <c r="D48" s="83" t="s">
        <v>68</v>
      </c>
      <c r="E48" s="57">
        <v>10</v>
      </c>
      <c r="F48" s="278">
        <f>'[1]commercial (2)'!V48</f>
        <v>4160000</v>
      </c>
      <c r="G48" s="279">
        <v>0</v>
      </c>
      <c r="H48" s="58">
        <f t="shared" si="22"/>
        <v>41600000</v>
      </c>
      <c r="I48" s="58">
        <f t="shared" si="23"/>
        <v>0</v>
      </c>
      <c r="J48" s="269">
        <f t="shared" si="4"/>
        <v>100921.88258127123</v>
      </c>
      <c r="K48" s="59"/>
      <c r="L48" s="59">
        <v>2500000</v>
      </c>
      <c r="M48" s="60"/>
      <c r="N48" s="263">
        <f t="shared" si="24"/>
        <v>25000000</v>
      </c>
      <c r="O48" s="263">
        <f t="shared" si="24"/>
        <v>0</v>
      </c>
      <c r="P48" s="264">
        <f t="shared" si="25"/>
        <v>60650.169820475501</v>
      </c>
      <c r="Q48" s="280">
        <v>3580000</v>
      </c>
      <c r="R48" s="104">
        <v>0</v>
      </c>
      <c r="S48" s="281">
        <f t="shared" si="20"/>
        <v>35800000</v>
      </c>
      <c r="T48" s="281">
        <f t="shared" si="12"/>
        <v>0</v>
      </c>
      <c r="U48" s="400">
        <f t="shared" si="26"/>
        <v>86851.043182920912</v>
      </c>
      <c r="V48" s="409"/>
    </row>
    <row r="49" spans="2:22" ht="15" customHeight="1" thickBot="1" x14ac:dyDescent="0.3">
      <c r="B49" s="447" t="s">
        <v>76</v>
      </c>
      <c r="C49" s="448"/>
      <c r="D49" s="173"/>
      <c r="E49" s="286"/>
      <c r="F49" s="61"/>
      <c r="G49" s="62"/>
      <c r="H49" s="63">
        <f>SUM(H30:H48)</f>
        <v>1658647800</v>
      </c>
      <c r="I49" s="63">
        <f t="shared" ref="I49:J49" si="27">SUM(I30:I48)</f>
        <v>0</v>
      </c>
      <c r="J49" s="64">
        <f t="shared" si="27"/>
        <v>4023890.8296943228</v>
      </c>
      <c r="K49" s="61"/>
      <c r="L49" s="61"/>
      <c r="M49" s="62"/>
      <c r="N49" s="63">
        <f t="shared" ref="N49:P49" si="28">SUM(N30:N48)</f>
        <v>1192000000</v>
      </c>
      <c r="O49" s="63">
        <f t="shared" si="28"/>
        <v>0</v>
      </c>
      <c r="P49" s="67">
        <f t="shared" si="28"/>
        <v>2891800.0970402719</v>
      </c>
      <c r="Q49" s="282"/>
      <c r="R49" s="256"/>
      <c r="S49" s="63">
        <f t="shared" ref="S49:U49" si="29">SUM(S30:S48)</f>
        <v>1486380000</v>
      </c>
      <c r="T49" s="63">
        <f t="shared" si="29"/>
        <v>0</v>
      </c>
      <c r="U49" s="67">
        <f t="shared" si="29"/>
        <v>3605967.9767103354</v>
      </c>
      <c r="V49" s="409"/>
    </row>
    <row r="50" spans="2:22" ht="11.25" x14ac:dyDescent="0.25">
      <c r="B50" s="68" t="s">
        <v>77</v>
      </c>
      <c r="C50" s="416" t="s">
        <v>78</v>
      </c>
      <c r="D50" s="84"/>
      <c r="E50" s="70"/>
      <c r="F50" s="267"/>
      <c r="G50" s="268"/>
      <c r="H50" s="86"/>
      <c r="I50" s="86"/>
      <c r="J50" s="87"/>
      <c r="K50" s="40"/>
      <c r="L50" s="40"/>
      <c r="M50" s="41"/>
      <c r="N50" s="88"/>
      <c r="O50" s="88"/>
      <c r="P50" s="287"/>
      <c r="Q50" s="265"/>
      <c r="R50" s="75"/>
      <c r="S50" s="75"/>
      <c r="T50" s="75"/>
      <c r="U50" s="285"/>
      <c r="V50" s="409"/>
    </row>
    <row r="51" spans="2:22" ht="11.25" x14ac:dyDescent="0.25">
      <c r="B51" s="89" t="s">
        <v>79</v>
      </c>
      <c r="C51" s="417" t="s">
        <v>17</v>
      </c>
      <c r="D51" s="90"/>
      <c r="E51" s="44"/>
      <c r="F51" s="273"/>
      <c r="G51" s="274"/>
      <c r="H51" s="77"/>
      <c r="I51" s="77"/>
      <c r="J51" s="78"/>
      <c r="K51" s="47"/>
      <c r="L51" s="47"/>
      <c r="M51" s="48"/>
      <c r="N51" s="79"/>
      <c r="O51" s="79"/>
      <c r="P51" s="277"/>
      <c r="Q51" s="137"/>
      <c r="R51" s="79"/>
      <c r="S51" s="79"/>
      <c r="T51" s="79"/>
      <c r="U51" s="287"/>
      <c r="V51" s="409"/>
    </row>
    <row r="52" spans="2:22" ht="109.5" customHeight="1" x14ac:dyDescent="0.25">
      <c r="B52" s="91" t="s">
        <v>80</v>
      </c>
      <c r="C52" s="35" t="s">
        <v>81</v>
      </c>
      <c r="D52" s="92" t="s">
        <v>23</v>
      </c>
      <c r="E52" s="37">
        <v>250</v>
      </c>
      <c r="F52" s="267">
        <f>'[1]commercial (2)'!V51</f>
        <v>236800</v>
      </c>
      <c r="G52" s="268">
        <v>0</v>
      </c>
      <c r="H52" s="39">
        <f t="shared" ref="H52:H70" si="30">E52*F52</f>
        <v>59200000</v>
      </c>
      <c r="I52" s="39">
        <f t="shared" ref="I52:I70" si="31">E52*G52</f>
        <v>0</v>
      </c>
      <c r="J52" s="269">
        <f t="shared" ref="J52:J70" si="32">(H52/412.2)+I52</f>
        <v>143619.60213488599</v>
      </c>
      <c r="K52" s="40"/>
      <c r="L52" s="40">
        <v>200000</v>
      </c>
      <c r="M52" s="41"/>
      <c r="N52" s="270">
        <f t="shared" ref="N52:O60" si="33">$E52*L52</f>
        <v>50000000</v>
      </c>
      <c r="O52" s="270">
        <f t="shared" si="33"/>
        <v>0</v>
      </c>
      <c r="P52" s="271">
        <f t="shared" ref="P52:P60" si="34">O52+(N52/$K$2)</f>
        <v>121300.339640951</v>
      </c>
      <c r="Q52" s="137">
        <v>324000</v>
      </c>
      <c r="R52" s="79"/>
      <c r="S52" s="272">
        <f t="shared" si="20"/>
        <v>81000000</v>
      </c>
      <c r="T52" s="272">
        <f t="shared" si="12"/>
        <v>0</v>
      </c>
      <c r="U52" s="397">
        <f t="shared" ref="U52:U60" si="35">T52+(S52/$K$2)</f>
        <v>196506.55021834062</v>
      </c>
      <c r="V52" s="409"/>
    </row>
    <row r="53" spans="2:22" ht="35.25" customHeight="1" x14ac:dyDescent="0.25">
      <c r="B53" s="51" t="s">
        <v>82</v>
      </c>
      <c r="C53" s="42" t="s">
        <v>22</v>
      </c>
      <c r="D53" s="53" t="s">
        <v>23</v>
      </c>
      <c r="E53" s="44">
        <v>70</v>
      </c>
      <c r="F53" s="267">
        <f>'[1]commercial (2)'!V52</f>
        <v>699600</v>
      </c>
      <c r="G53" s="274">
        <v>0</v>
      </c>
      <c r="H53" s="46">
        <f t="shared" si="30"/>
        <v>48972000</v>
      </c>
      <c r="I53" s="46">
        <f t="shared" si="31"/>
        <v>0</v>
      </c>
      <c r="J53" s="269">
        <f t="shared" si="32"/>
        <v>118806.40465793305</v>
      </c>
      <c r="K53" s="40"/>
      <c r="L53" s="40">
        <v>400000</v>
      </c>
      <c r="M53" s="48"/>
      <c r="N53" s="270">
        <f t="shared" si="33"/>
        <v>28000000</v>
      </c>
      <c r="O53" s="270">
        <f t="shared" si="33"/>
        <v>0</v>
      </c>
      <c r="P53" s="271">
        <f t="shared" si="34"/>
        <v>67928.190198932556</v>
      </c>
      <c r="Q53" s="368">
        <f>F53</f>
        <v>699600</v>
      </c>
      <c r="R53" s="88">
        <v>0</v>
      </c>
      <c r="S53" s="276">
        <f t="shared" si="20"/>
        <v>48972000</v>
      </c>
      <c r="T53" s="276">
        <f t="shared" si="12"/>
        <v>0</v>
      </c>
      <c r="U53" s="398">
        <f t="shared" si="35"/>
        <v>118806.40465793305</v>
      </c>
      <c r="V53" s="410" t="s">
        <v>671</v>
      </c>
    </row>
    <row r="54" spans="2:22" ht="11.25" x14ac:dyDescent="0.25">
      <c r="B54" s="91" t="s">
        <v>83</v>
      </c>
      <c r="C54" s="42" t="s">
        <v>25</v>
      </c>
      <c r="D54" s="53" t="s">
        <v>23</v>
      </c>
      <c r="E54" s="44">
        <v>70</v>
      </c>
      <c r="F54" s="273">
        <f>'[1]commercial (2)'!V53</f>
        <v>1162400</v>
      </c>
      <c r="G54" s="274">
        <v>0</v>
      </c>
      <c r="H54" s="46">
        <f t="shared" si="30"/>
        <v>81368000</v>
      </c>
      <c r="I54" s="46">
        <f t="shared" si="31"/>
        <v>0</v>
      </c>
      <c r="J54" s="269">
        <f t="shared" si="32"/>
        <v>197399.32071809802</v>
      </c>
      <c r="K54" s="47"/>
      <c r="L54" s="47">
        <v>600000</v>
      </c>
      <c r="M54" s="48"/>
      <c r="N54" s="270">
        <f t="shared" si="33"/>
        <v>42000000</v>
      </c>
      <c r="O54" s="270">
        <f t="shared" si="33"/>
        <v>0</v>
      </c>
      <c r="P54" s="271">
        <f t="shared" si="34"/>
        <v>101892.28529839884</v>
      </c>
      <c r="Q54" s="137">
        <v>631000</v>
      </c>
      <c r="R54" s="79"/>
      <c r="S54" s="272">
        <f t="shared" si="20"/>
        <v>44170000</v>
      </c>
      <c r="T54" s="272">
        <f t="shared" si="12"/>
        <v>0</v>
      </c>
      <c r="U54" s="399">
        <f t="shared" si="35"/>
        <v>107156.72003881611</v>
      </c>
      <c r="V54" s="409"/>
    </row>
    <row r="55" spans="2:22" ht="11.25" x14ac:dyDescent="0.25">
      <c r="B55" s="51" t="s">
        <v>84</v>
      </c>
      <c r="C55" s="42" t="s">
        <v>27</v>
      </c>
      <c r="D55" s="53" t="s">
        <v>23</v>
      </c>
      <c r="E55" s="44">
        <v>50</v>
      </c>
      <c r="F55" s="273">
        <f>'[1]commercial (2)'!V54</f>
        <v>1625200</v>
      </c>
      <c r="G55" s="274">
        <v>0</v>
      </c>
      <c r="H55" s="46">
        <f t="shared" si="30"/>
        <v>81260000</v>
      </c>
      <c r="I55" s="46">
        <f t="shared" si="31"/>
        <v>0</v>
      </c>
      <c r="J55" s="269">
        <f t="shared" si="32"/>
        <v>197137.31198447355</v>
      </c>
      <c r="K55" s="47"/>
      <c r="L55" s="47">
        <v>1200000</v>
      </c>
      <c r="M55" s="48"/>
      <c r="N55" s="270">
        <f t="shared" si="33"/>
        <v>60000000</v>
      </c>
      <c r="O55" s="270">
        <f t="shared" si="33"/>
        <v>0</v>
      </c>
      <c r="P55" s="271">
        <f t="shared" si="34"/>
        <v>145560.40756914119</v>
      </c>
      <c r="Q55" s="137">
        <v>1495000</v>
      </c>
      <c r="R55" s="79"/>
      <c r="S55" s="272">
        <f t="shared" si="20"/>
        <v>74750000</v>
      </c>
      <c r="T55" s="272">
        <f t="shared" si="12"/>
        <v>0</v>
      </c>
      <c r="U55" s="399">
        <f t="shared" si="35"/>
        <v>181344.00776322174</v>
      </c>
      <c r="V55" s="409"/>
    </row>
    <row r="56" spans="2:22" ht="11.25" x14ac:dyDescent="0.25">
      <c r="B56" s="91" t="s">
        <v>85</v>
      </c>
      <c r="C56" s="42" t="s">
        <v>29</v>
      </c>
      <c r="D56" s="53" t="s">
        <v>23</v>
      </c>
      <c r="E56" s="44">
        <v>10</v>
      </c>
      <c r="F56" s="273">
        <f>'[1]commercial (2)'!V55</f>
        <v>2556800</v>
      </c>
      <c r="G56" s="274">
        <v>0</v>
      </c>
      <c r="H56" s="46">
        <f t="shared" si="30"/>
        <v>25568000</v>
      </c>
      <c r="I56" s="46">
        <f t="shared" si="31"/>
        <v>0</v>
      </c>
      <c r="J56" s="269">
        <f t="shared" si="32"/>
        <v>62028.141678796703</v>
      </c>
      <c r="K56" s="47"/>
      <c r="L56" s="47">
        <v>1800000</v>
      </c>
      <c r="M56" s="48"/>
      <c r="N56" s="270">
        <f t="shared" si="33"/>
        <v>18000000</v>
      </c>
      <c r="O56" s="270">
        <f t="shared" si="33"/>
        <v>0</v>
      </c>
      <c r="P56" s="271">
        <f t="shared" si="34"/>
        <v>43668.122270742359</v>
      </c>
      <c r="Q56" s="137">
        <v>2087000</v>
      </c>
      <c r="R56" s="79"/>
      <c r="S56" s="272">
        <f t="shared" si="20"/>
        <v>20870000</v>
      </c>
      <c r="T56" s="272">
        <f t="shared" si="12"/>
        <v>0</v>
      </c>
      <c r="U56" s="399">
        <f t="shared" si="35"/>
        <v>50630.76176613295</v>
      </c>
      <c r="V56" s="409"/>
    </row>
    <row r="57" spans="2:22" ht="11.25" x14ac:dyDescent="0.25">
      <c r="B57" s="51" t="s">
        <v>86</v>
      </c>
      <c r="C57" s="42" t="s">
        <v>31</v>
      </c>
      <c r="D57" s="53" t="s">
        <v>23</v>
      </c>
      <c r="E57" s="44">
        <v>10</v>
      </c>
      <c r="F57" s="273">
        <f>'[1]commercial (2)'!V56</f>
        <v>3019600</v>
      </c>
      <c r="G57" s="274">
        <v>0</v>
      </c>
      <c r="H57" s="46">
        <f t="shared" si="30"/>
        <v>30196000</v>
      </c>
      <c r="I57" s="46">
        <f t="shared" si="31"/>
        <v>0</v>
      </c>
      <c r="J57" s="269">
        <f t="shared" si="32"/>
        <v>73255.701115963122</v>
      </c>
      <c r="K57" s="47"/>
      <c r="L57" s="47">
        <v>2150000</v>
      </c>
      <c r="M57" s="48"/>
      <c r="N57" s="270">
        <f t="shared" si="33"/>
        <v>21500000</v>
      </c>
      <c r="O57" s="270">
        <f t="shared" si="33"/>
        <v>0</v>
      </c>
      <c r="P57" s="271">
        <f t="shared" si="34"/>
        <v>52159.146045608926</v>
      </c>
      <c r="Q57" s="137">
        <v>2550000</v>
      </c>
      <c r="R57" s="79"/>
      <c r="S57" s="272">
        <f t="shared" si="20"/>
        <v>25500000</v>
      </c>
      <c r="T57" s="272">
        <f t="shared" si="12"/>
        <v>0</v>
      </c>
      <c r="U57" s="399">
        <f t="shared" si="35"/>
        <v>61863.173216885007</v>
      </c>
      <c r="V57" s="409"/>
    </row>
    <row r="58" spans="2:22" ht="11.25" x14ac:dyDescent="0.25">
      <c r="B58" s="51" t="s">
        <v>87</v>
      </c>
      <c r="C58" s="42" t="s">
        <v>33</v>
      </c>
      <c r="D58" s="53" t="s">
        <v>23</v>
      </c>
      <c r="E58" s="44">
        <v>10</v>
      </c>
      <c r="F58" s="267">
        <f>'[1]commercial (2)'!V57</f>
        <v>3482400</v>
      </c>
      <c r="G58" s="274">
        <v>0</v>
      </c>
      <c r="H58" s="46">
        <f t="shared" si="30"/>
        <v>34824000</v>
      </c>
      <c r="I58" s="46">
        <f t="shared" si="31"/>
        <v>0</v>
      </c>
      <c r="J58" s="269">
        <f t="shared" si="32"/>
        <v>84483.260553129556</v>
      </c>
      <c r="K58" s="40"/>
      <c r="L58" s="40">
        <v>2200000</v>
      </c>
      <c r="M58" s="48"/>
      <c r="N58" s="270">
        <f t="shared" si="33"/>
        <v>22000000</v>
      </c>
      <c r="O58" s="270">
        <f t="shared" si="33"/>
        <v>0</v>
      </c>
      <c r="P58" s="271">
        <f t="shared" si="34"/>
        <v>53372.149442018439</v>
      </c>
      <c r="Q58" s="137">
        <v>2902000</v>
      </c>
      <c r="R58" s="79"/>
      <c r="S58" s="272">
        <f t="shared" si="20"/>
        <v>29020000</v>
      </c>
      <c r="T58" s="272">
        <f t="shared" si="12"/>
        <v>0</v>
      </c>
      <c r="U58" s="399">
        <f t="shared" si="35"/>
        <v>70402.717127607961</v>
      </c>
      <c r="V58" s="409"/>
    </row>
    <row r="59" spans="2:22" ht="11.25" x14ac:dyDescent="0.25">
      <c r="B59" s="51" t="s">
        <v>88</v>
      </c>
      <c r="C59" s="42" t="s">
        <v>35</v>
      </c>
      <c r="D59" s="53" t="s">
        <v>23</v>
      </c>
      <c r="E59" s="44">
        <v>10</v>
      </c>
      <c r="F59" s="273">
        <f>'[1]commercial (2)'!V58</f>
        <v>3945200</v>
      </c>
      <c r="G59" s="274">
        <v>0</v>
      </c>
      <c r="H59" s="46">
        <f t="shared" si="30"/>
        <v>39452000</v>
      </c>
      <c r="I59" s="46">
        <f t="shared" si="31"/>
        <v>0</v>
      </c>
      <c r="J59" s="269">
        <f t="shared" si="32"/>
        <v>95710.819990295975</v>
      </c>
      <c r="K59" s="47"/>
      <c r="L59" s="47">
        <v>2500000</v>
      </c>
      <c r="M59" s="48"/>
      <c r="N59" s="270">
        <f t="shared" si="33"/>
        <v>25000000</v>
      </c>
      <c r="O59" s="270">
        <f t="shared" si="33"/>
        <v>0</v>
      </c>
      <c r="P59" s="271">
        <f t="shared" si="34"/>
        <v>60650.169820475501</v>
      </c>
      <c r="Q59" s="137">
        <v>3345000</v>
      </c>
      <c r="R59" s="79"/>
      <c r="S59" s="272">
        <f t="shared" si="20"/>
        <v>33450000</v>
      </c>
      <c r="T59" s="272">
        <f t="shared" si="12"/>
        <v>0</v>
      </c>
      <c r="U59" s="399">
        <f t="shared" si="35"/>
        <v>81149.927219796213</v>
      </c>
      <c r="V59" s="409"/>
    </row>
    <row r="60" spans="2:22" ht="11.25" x14ac:dyDescent="0.25">
      <c r="B60" s="91" t="s">
        <v>89</v>
      </c>
      <c r="C60" s="49" t="s">
        <v>37</v>
      </c>
      <c r="D60" s="53" t="s">
        <v>23</v>
      </c>
      <c r="E60" s="44">
        <v>10</v>
      </c>
      <c r="F60" s="267">
        <f>'[1]commercial (2)'!V59</f>
        <v>4408000</v>
      </c>
      <c r="G60" s="274">
        <v>0</v>
      </c>
      <c r="H60" s="46">
        <f t="shared" si="30"/>
        <v>44080000</v>
      </c>
      <c r="I60" s="46">
        <f t="shared" si="31"/>
        <v>0</v>
      </c>
      <c r="J60" s="269">
        <f t="shared" si="32"/>
        <v>106938.37942746239</v>
      </c>
      <c r="K60" s="40"/>
      <c r="L60" s="40">
        <v>2850000</v>
      </c>
      <c r="M60" s="48"/>
      <c r="N60" s="270">
        <f t="shared" si="33"/>
        <v>28500000</v>
      </c>
      <c r="O60" s="270">
        <f t="shared" si="33"/>
        <v>0</v>
      </c>
      <c r="P60" s="271">
        <f t="shared" si="34"/>
        <v>69141.193595342062</v>
      </c>
      <c r="Q60" s="137">
        <v>3580000</v>
      </c>
      <c r="R60" s="79"/>
      <c r="S60" s="272">
        <f t="shared" si="20"/>
        <v>35800000</v>
      </c>
      <c r="T60" s="272">
        <f t="shared" si="12"/>
        <v>0</v>
      </c>
      <c r="U60" s="397">
        <f t="shared" si="35"/>
        <v>86851.043182920912</v>
      </c>
      <c r="V60" s="409"/>
    </row>
    <row r="61" spans="2:22" ht="11.25" x14ac:dyDescent="0.25">
      <c r="B61" s="93" t="s">
        <v>90</v>
      </c>
      <c r="C61" s="50" t="s">
        <v>39</v>
      </c>
      <c r="D61" s="53"/>
      <c r="E61" s="44"/>
      <c r="F61" s="267"/>
      <c r="G61" s="274"/>
      <c r="H61" s="77"/>
      <c r="I61" s="77"/>
      <c r="J61" s="78"/>
      <c r="K61" s="40"/>
      <c r="L61" s="40"/>
      <c r="M61" s="48"/>
      <c r="N61" s="79"/>
      <c r="O61" s="79"/>
      <c r="P61" s="277"/>
      <c r="Q61" s="275"/>
      <c r="R61" s="88"/>
      <c r="S61" s="88"/>
      <c r="T61" s="88"/>
      <c r="U61" s="277"/>
      <c r="V61" s="409"/>
    </row>
    <row r="62" spans="2:22" ht="112.5" customHeight="1" x14ac:dyDescent="0.25">
      <c r="B62" s="51" t="s">
        <v>91</v>
      </c>
      <c r="C62" s="52" t="s">
        <v>92</v>
      </c>
      <c r="D62" s="53" t="s">
        <v>23</v>
      </c>
      <c r="E62" s="44">
        <v>100</v>
      </c>
      <c r="F62" s="273">
        <f>'[1]commercial (2)'!V61</f>
        <v>276800</v>
      </c>
      <c r="G62" s="274">
        <v>0</v>
      </c>
      <c r="H62" s="46">
        <f t="shared" si="30"/>
        <v>27680000</v>
      </c>
      <c r="I62" s="46">
        <f t="shared" si="31"/>
        <v>0</v>
      </c>
      <c r="J62" s="269">
        <f t="shared" si="32"/>
        <v>67151.868025230477</v>
      </c>
      <c r="K62" s="47"/>
      <c r="L62" s="47">
        <v>200000</v>
      </c>
      <c r="M62" s="48"/>
      <c r="N62" s="270">
        <f t="shared" ref="N62:O70" si="36">$E62*L62</f>
        <v>20000000</v>
      </c>
      <c r="O62" s="270">
        <f t="shared" si="36"/>
        <v>0</v>
      </c>
      <c r="P62" s="271">
        <f t="shared" ref="P62:P70" si="37">O62+(N62/$K$2)</f>
        <v>48520.135856380402</v>
      </c>
      <c r="Q62" s="137">
        <v>324000</v>
      </c>
      <c r="R62" s="79"/>
      <c r="S62" s="272">
        <f t="shared" si="20"/>
        <v>32400000</v>
      </c>
      <c r="T62" s="272">
        <f t="shared" si="12"/>
        <v>0</v>
      </c>
      <c r="U62" s="397">
        <f t="shared" ref="U62:U70" si="38">T62+(S62/$K$2)</f>
        <v>78602.62008733624</v>
      </c>
      <c r="V62" s="409"/>
    </row>
    <row r="63" spans="2:22" ht="14.1" customHeight="1" x14ac:dyDescent="0.25">
      <c r="B63" s="51" t="s">
        <v>93</v>
      </c>
      <c r="C63" s="42" t="s">
        <v>22</v>
      </c>
      <c r="D63" s="53" t="s">
        <v>23</v>
      </c>
      <c r="E63" s="44">
        <v>50</v>
      </c>
      <c r="F63" s="273">
        <f>'[1]commercial (2)'!V62</f>
        <v>779600</v>
      </c>
      <c r="G63" s="274">
        <v>0</v>
      </c>
      <c r="H63" s="46">
        <f t="shared" si="30"/>
        <v>38980000</v>
      </c>
      <c r="I63" s="46">
        <f t="shared" si="31"/>
        <v>0</v>
      </c>
      <c r="J63" s="269">
        <f t="shared" si="32"/>
        <v>94565.7447840854</v>
      </c>
      <c r="K63" s="47"/>
      <c r="L63" s="47">
        <v>400000</v>
      </c>
      <c r="M63" s="48"/>
      <c r="N63" s="270">
        <f t="shared" si="36"/>
        <v>20000000</v>
      </c>
      <c r="O63" s="270">
        <f t="shared" si="36"/>
        <v>0</v>
      </c>
      <c r="P63" s="271">
        <f t="shared" si="37"/>
        <v>48520.135856380402</v>
      </c>
      <c r="Q63" s="275">
        <v>0</v>
      </c>
      <c r="R63" s="88"/>
      <c r="S63" s="276">
        <f t="shared" si="20"/>
        <v>0</v>
      </c>
      <c r="T63" s="276">
        <f t="shared" si="12"/>
        <v>0</v>
      </c>
      <c r="U63" s="398">
        <f t="shared" si="38"/>
        <v>0</v>
      </c>
      <c r="V63" s="409"/>
    </row>
    <row r="64" spans="2:22" ht="11.25" x14ac:dyDescent="0.25">
      <c r="B64" s="51" t="s">
        <v>94</v>
      </c>
      <c r="C64" s="42" t="s">
        <v>25</v>
      </c>
      <c r="D64" s="53" t="s">
        <v>23</v>
      </c>
      <c r="E64" s="44">
        <v>50</v>
      </c>
      <c r="F64" s="273">
        <f>'[1]commercial (2)'!V63</f>
        <v>1282400</v>
      </c>
      <c r="G64" s="274">
        <v>0</v>
      </c>
      <c r="H64" s="46">
        <f t="shared" si="30"/>
        <v>64120000</v>
      </c>
      <c r="I64" s="46">
        <f t="shared" si="31"/>
        <v>0</v>
      </c>
      <c r="J64" s="269">
        <f t="shared" si="32"/>
        <v>155555.55555555556</v>
      </c>
      <c r="K64" s="47"/>
      <c r="L64" s="47">
        <v>600000</v>
      </c>
      <c r="M64" s="48"/>
      <c r="N64" s="270">
        <f t="shared" si="36"/>
        <v>30000000</v>
      </c>
      <c r="O64" s="270">
        <f t="shared" si="36"/>
        <v>0</v>
      </c>
      <c r="P64" s="271">
        <f t="shared" si="37"/>
        <v>72780.203784570593</v>
      </c>
      <c r="Q64" s="137">
        <v>631000</v>
      </c>
      <c r="R64" s="79"/>
      <c r="S64" s="272">
        <f t="shared" si="20"/>
        <v>31550000</v>
      </c>
      <c r="T64" s="272">
        <f t="shared" si="12"/>
        <v>0</v>
      </c>
      <c r="U64" s="399">
        <f t="shared" si="38"/>
        <v>76540.514313440086</v>
      </c>
      <c r="V64" s="409"/>
    </row>
    <row r="65" spans="1:22" ht="11.25" x14ac:dyDescent="0.25">
      <c r="B65" s="51" t="s">
        <v>95</v>
      </c>
      <c r="C65" s="42" t="s">
        <v>27</v>
      </c>
      <c r="D65" s="53" t="s">
        <v>23</v>
      </c>
      <c r="E65" s="44">
        <v>20</v>
      </c>
      <c r="F65" s="273">
        <f>'[1]commercial (2)'!V64</f>
        <v>1785200</v>
      </c>
      <c r="G65" s="274">
        <v>0</v>
      </c>
      <c r="H65" s="46">
        <f t="shared" si="30"/>
        <v>35704000</v>
      </c>
      <c r="I65" s="46">
        <f t="shared" si="31"/>
        <v>0</v>
      </c>
      <c r="J65" s="269">
        <f t="shared" si="32"/>
        <v>86618.146530810292</v>
      </c>
      <c r="K65" s="47"/>
      <c r="L65" s="47">
        <v>1200000</v>
      </c>
      <c r="M65" s="48"/>
      <c r="N65" s="270">
        <f t="shared" si="36"/>
        <v>24000000</v>
      </c>
      <c r="O65" s="270">
        <f t="shared" si="36"/>
        <v>0</v>
      </c>
      <c r="P65" s="271">
        <f t="shared" si="37"/>
        <v>58224.163027656476</v>
      </c>
      <c r="Q65" s="137">
        <v>1495000</v>
      </c>
      <c r="R65" s="79"/>
      <c r="S65" s="272">
        <f t="shared" si="20"/>
        <v>29900000</v>
      </c>
      <c r="T65" s="272">
        <f t="shared" si="12"/>
        <v>0</v>
      </c>
      <c r="U65" s="399">
        <f t="shared" si="38"/>
        <v>72537.603105288697</v>
      </c>
      <c r="V65" s="409"/>
    </row>
    <row r="66" spans="1:22" ht="11.25" x14ac:dyDescent="0.25">
      <c r="B66" s="51" t="s">
        <v>96</v>
      </c>
      <c r="C66" s="42" t="s">
        <v>29</v>
      </c>
      <c r="D66" s="53" t="s">
        <v>23</v>
      </c>
      <c r="E66" s="44">
        <v>10</v>
      </c>
      <c r="F66" s="273">
        <f>'[1]commercial (2)'!V65</f>
        <v>2796800</v>
      </c>
      <c r="G66" s="274">
        <v>0</v>
      </c>
      <c r="H66" s="46">
        <f t="shared" si="30"/>
        <v>27968000</v>
      </c>
      <c r="I66" s="46">
        <f t="shared" si="31"/>
        <v>0</v>
      </c>
      <c r="J66" s="269">
        <f t="shared" si="32"/>
        <v>67850.55798156235</v>
      </c>
      <c r="K66" s="47"/>
      <c r="L66" s="47">
        <v>1800000</v>
      </c>
      <c r="M66" s="48"/>
      <c r="N66" s="270">
        <f t="shared" si="36"/>
        <v>18000000</v>
      </c>
      <c r="O66" s="270">
        <f t="shared" si="36"/>
        <v>0</v>
      </c>
      <c r="P66" s="271">
        <f t="shared" si="37"/>
        <v>43668.122270742359</v>
      </c>
      <c r="Q66" s="137">
        <v>2087000</v>
      </c>
      <c r="R66" s="79"/>
      <c r="S66" s="272">
        <f t="shared" si="20"/>
        <v>20870000</v>
      </c>
      <c r="T66" s="272">
        <f t="shared" si="12"/>
        <v>0</v>
      </c>
      <c r="U66" s="399">
        <f t="shared" si="38"/>
        <v>50630.76176613295</v>
      </c>
      <c r="V66" s="409"/>
    </row>
    <row r="67" spans="1:22" ht="11.25" x14ac:dyDescent="0.25">
      <c r="B67" s="51" t="s">
        <v>97</v>
      </c>
      <c r="C67" s="42" t="s">
        <v>31</v>
      </c>
      <c r="D67" s="53" t="s">
        <v>23</v>
      </c>
      <c r="E67" s="44">
        <v>10</v>
      </c>
      <c r="F67" s="273">
        <f>'[1]commercial (2)'!V66</f>
        <v>3299600</v>
      </c>
      <c r="G67" s="274">
        <v>0</v>
      </c>
      <c r="H67" s="46">
        <f t="shared" si="30"/>
        <v>32996000</v>
      </c>
      <c r="I67" s="46">
        <f t="shared" si="31"/>
        <v>0</v>
      </c>
      <c r="J67" s="269">
        <f t="shared" si="32"/>
        <v>80048.520135856379</v>
      </c>
      <c r="K67" s="47"/>
      <c r="L67" s="47">
        <v>2150000</v>
      </c>
      <c r="M67" s="48"/>
      <c r="N67" s="270">
        <f t="shared" si="36"/>
        <v>21500000</v>
      </c>
      <c r="O67" s="270">
        <f t="shared" si="36"/>
        <v>0</v>
      </c>
      <c r="P67" s="271">
        <f t="shared" si="37"/>
        <v>52159.146045608926</v>
      </c>
      <c r="Q67" s="137">
        <v>2550000</v>
      </c>
      <c r="R67" s="79"/>
      <c r="S67" s="272">
        <f t="shared" si="20"/>
        <v>25500000</v>
      </c>
      <c r="T67" s="272">
        <f t="shared" si="12"/>
        <v>0</v>
      </c>
      <c r="U67" s="399">
        <f t="shared" si="38"/>
        <v>61863.173216885007</v>
      </c>
      <c r="V67" s="409"/>
    </row>
    <row r="68" spans="1:22" ht="11.25" x14ac:dyDescent="0.25">
      <c r="B68" s="51" t="s">
        <v>98</v>
      </c>
      <c r="C68" s="42" t="s">
        <v>33</v>
      </c>
      <c r="D68" s="53" t="s">
        <v>23</v>
      </c>
      <c r="E68" s="44">
        <v>10</v>
      </c>
      <c r="F68" s="273">
        <f>'[1]commercial (2)'!V67</f>
        <v>3802400</v>
      </c>
      <c r="G68" s="274">
        <v>0</v>
      </c>
      <c r="H68" s="46">
        <f t="shared" si="30"/>
        <v>38024000</v>
      </c>
      <c r="I68" s="46">
        <f t="shared" si="31"/>
        <v>0</v>
      </c>
      <c r="J68" s="269">
        <f t="shared" si="32"/>
        <v>92246.482290150409</v>
      </c>
      <c r="K68" s="47"/>
      <c r="L68" s="47">
        <v>2200000</v>
      </c>
      <c r="M68" s="48"/>
      <c r="N68" s="270">
        <f t="shared" si="36"/>
        <v>22000000</v>
      </c>
      <c r="O68" s="270">
        <f t="shared" si="36"/>
        <v>0</v>
      </c>
      <c r="P68" s="271">
        <f t="shared" si="37"/>
        <v>53372.149442018439</v>
      </c>
      <c r="Q68" s="137">
        <v>2902000</v>
      </c>
      <c r="R68" s="79"/>
      <c r="S68" s="272">
        <f t="shared" si="20"/>
        <v>29020000</v>
      </c>
      <c r="T68" s="272">
        <f t="shared" si="12"/>
        <v>0</v>
      </c>
      <c r="U68" s="399">
        <f t="shared" si="38"/>
        <v>70402.717127607961</v>
      </c>
      <c r="V68" s="409"/>
    </row>
    <row r="69" spans="1:22" ht="11.25" x14ac:dyDescent="0.25">
      <c r="B69" s="51" t="s">
        <v>99</v>
      </c>
      <c r="C69" s="49" t="s">
        <v>35</v>
      </c>
      <c r="D69" s="53" t="s">
        <v>23</v>
      </c>
      <c r="E69" s="44">
        <v>10</v>
      </c>
      <c r="F69" s="273">
        <f>'[1]commercial (2)'!V68</f>
        <v>4305200</v>
      </c>
      <c r="G69" s="274">
        <v>0</v>
      </c>
      <c r="H69" s="46">
        <f t="shared" si="30"/>
        <v>43052000</v>
      </c>
      <c r="I69" s="46">
        <f t="shared" si="31"/>
        <v>0</v>
      </c>
      <c r="J69" s="269">
        <f t="shared" si="32"/>
        <v>104444.44444444445</v>
      </c>
      <c r="K69" s="47"/>
      <c r="L69" s="47">
        <v>2500000</v>
      </c>
      <c r="M69" s="48"/>
      <c r="N69" s="270">
        <f t="shared" si="36"/>
        <v>25000000</v>
      </c>
      <c r="O69" s="270">
        <f t="shared" si="36"/>
        <v>0</v>
      </c>
      <c r="P69" s="271">
        <f t="shared" si="37"/>
        <v>60650.169820475501</v>
      </c>
      <c r="Q69" s="137">
        <v>3345000</v>
      </c>
      <c r="R69" s="79"/>
      <c r="S69" s="272">
        <f t="shared" si="20"/>
        <v>33450000</v>
      </c>
      <c r="T69" s="272">
        <f t="shared" si="12"/>
        <v>0</v>
      </c>
      <c r="U69" s="399">
        <f t="shared" si="38"/>
        <v>81149.927219796213</v>
      </c>
      <c r="V69" s="409"/>
    </row>
    <row r="70" spans="1:22" ht="12" thickBot="1" x14ac:dyDescent="0.3">
      <c r="B70" s="54" t="s">
        <v>100</v>
      </c>
      <c r="C70" s="55" t="s">
        <v>37</v>
      </c>
      <c r="D70" s="83" t="s">
        <v>23</v>
      </c>
      <c r="E70" s="57">
        <v>10</v>
      </c>
      <c r="F70" s="278">
        <f>'[1]commercial (2)'!V69</f>
        <v>4808000</v>
      </c>
      <c r="G70" s="279">
        <v>0</v>
      </c>
      <c r="H70" s="58">
        <f t="shared" si="30"/>
        <v>48080000</v>
      </c>
      <c r="I70" s="58">
        <f t="shared" si="31"/>
        <v>0</v>
      </c>
      <c r="J70" s="269">
        <f t="shared" si="32"/>
        <v>116642.40659873848</v>
      </c>
      <c r="K70" s="59"/>
      <c r="L70" s="59">
        <v>2850000</v>
      </c>
      <c r="M70" s="60"/>
      <c r="N70" s="263">
        <f t="shared" si="36"/>
        <v>28500000</v>
      </c>
      <c r="O70" s="263">
        <f t="shared" si="36"/>
        <v>0</v>
      </c>
      <c r="P70" s="264">
        <f t="shared" si="37"/>
        <v>69141.193595342062</v>
      </c>
      <c r="Q70" s="280">
        <v>3580000</v>
      </c>
      <c r="R70" s="104"/>
      <c r="S70" s="281">
        <f t="shared" si="20"/>
        <v>35800000</v>
      </c>
      <c r="T70" s="281">
        <f t="shared" si="12"/>
        <v>0</v>
      </c>
      <c r="U70" s="400">
        <f t="shared" si="38"/>
        <v>86851.043182920912</v>
      </c>
      <c r="V70" s="409"/>
    </row>
    <row r="71" spans="1:22" ht="12.6" customHeight="1" thickBot="1" x14ac:dyDescent="0.3">
      <c r="B71" s="447" t="s">
        <v>101</v>
      </c>
      <c r="C71" s="448"/>
      <c r="D71" s="173"/>
      <c r="E71" s="288"/>
      <c r="F71" s="65"/>
      <c r="G71" s="63"/>
      <c r="H71" s="63">
        <f>SUM(H52:H70)</f>
        <v>801524000</v>
      </c>
      <c r="I71" s="63">
        <f t="shared" ref="I71:J71" si="39">SUM(I52:I70)</f>
        <v>0</v>
      </c>
      <c r="J71" s="64">
        <f t="shared" si="39"/>
        <v>1944502.668607472</v>
      </c>
      <c r="K71" s="65"/>
      <c r="L71" s="65"/>
      <c r="M71" s="63"/>
      <c r="N71" s="63">
        <f t="shared" ref="N71:P71" si="40">SUM(N52:N70)</f>
        <v>504000000</v>
      </c>
      <c r="O71" s="63">
        <f t="shared" si="40"/>
        <v>0</v>
      </c>
      <c r="P71" s="67">
        <f t="shared" si="40"/>
        <v>1222707.423580786</v>
      </c>
      <c r="Q71" s="282"/>
      <c r="R71" s="256"/>
      <c r="S71" s="63">
        <f t="shared" ref="S71:U71" si="41">SUM(S52:S70)</f>
        <v>632022000</v>
      </c>
      <c r="T71" s="63">
        <f t="shared" si="41"/>
        <v>0</v>
      </c>
      <c r="U71" s="67">
        <f t="shared" si="41"/>
        <v>1533289.6652110624</v>
      </c>
      <c r="V71" s="409"/>
    </row>
    <row r="72" spans="1:22" ht="11.25" x14ac:dyDescent="0.25">
      <c r="B72" s="418" t="s">
        <v>102</v>
      </c>
      <c r="C72" s="419" t="s">
        <v>103</v>
      </c>
      <c r="D72" s="420"/>
      <c r="E72" s="70"/>
      <c r="F72" s="283"/>
      <c r="G72" s="284"/>
      <c r="H72" s="71"/>
      <c r="I72" s="71"/>
      <c r="J72" s="72"/>
      <c r="K72" s="73"/>
      <c r="L72" s="73"/>
      <c r="M72" s="74"/>
      <c r="N72" s="75"/>
      <c r="O72" s="75"/>
      <c r="P72" s="285"/>
      <c r="Q72" s="265"/>
      <c r="R72" s="75"/>
      <c r="S72" s="75"/>
      <c r="T72" s="75"/>
      <c r="U72" s="285"/>
      <c r="V72" s="409"/>
    </row>
    <row r="73" spans="1:22" ht="83.45" customHeight="1" x14ac:dyDescent="0.25">
      <c r="B73" s="96" t="s">
        <v>104</v>
      </c>
      <c r="C73" s="35" t="s">
        <v>105</v>
      </c>
      <c r="D73" s="97" t="s">
        <v>20</v>
      </c>
      <c r="E73" s="37">
        <v>800</v>
      </c>
      <c r="F73" s="267">
        <v>500000</v>
      </c>
      <c r="G73" s="268">
        <v>0</v>
      </c>
      <c r="H73" s="39">
        <f>E73*F73</f>
        <v>400000000</v>
      </c>
      <c r="I73" s="39">
        <f>E73*G73</f>
        <v>0</v>
      </c>
      <c r="J73" s="269">
        <f t="shared" ref="J73:J74" si="42">(H73/412.2)+I73</f>
        <v>970402.71712760802</v>
      </c>
      <c r="K73" s="40"/>
      <c r="L73" s="40">
        <v>350000</v>
      </c>
      <c r="M73" s="41"/>
      <c r="N73" s="270">
        <f t="shared" ref="N73:O74" si="43">$E73*L73</f>
        <v>280000000</v>
      </c>
      <c r="O73" s="270">
        <f t="shared" si="43"/>
        <v>0</v>
      </c>
      <c r="P73" s="271">
        <f>O73+(N73/$K$2)</f>
        <v>679281.90198932553</v>
      </c>
      <c r="Q73" s="137">
        <v>480000</v>
      </c>
      <c r="R73" s="79">
        <v>2300</v>
      </c>
      <c r="S73" s="272">
        <f t="shared" si="20"/>
        <v>384000000</v>
      </c>
      <c r="T73" s="272">
        <f t="shared" si="12"/>
        <v>1840000</v>
      </c>
      <c r="U73" s="399">
        <f>T73+(S73/$K$2)</f>
        <v>2771586.6084425035</v>
      </c>
      <c r="V73" s="409"/>
    </row>
    <row r="74" spans="1:22" ht="135" customHeight="1" thickBot="1" x14ac:dyDescent="0.3">
      <c r="B74" s="98" t="s">
        <v>106</v>
      </c>
      <c r="C74" s="99" t="s">
        <v>107</v>
      </c>
      <c r="D74" s="100" t="s">
        <v>23</v>
      </c>
      <c r="E74" s="101">
        <v>120</v>
      </c>
      <c r="F74" s="289">
        <v>800000</v>
      </c>
      <c r="G74" s="290">
        <v>2000</v>
      </c>
      <c r="H74" s="102">
        <f>E74*F74</f>
        <v>96000000</v>
      </c>
      <c r="I74" s="102">
        <f>E74*G74</f>
        <v>240000</v>
      </c>
      <c r="J74" s="269">
        <f t="shared" si="42"/>
        <v>472896.65211062587</v>
      </c>
      <c r="K74" s="103"/>
      <c r="L74" s="103">
        <v>700000</v>
      </c>
      <c r="M74" s="105">
        <v>1500</v>
      </c>
      <c r="N74" s="270">
        <f t="shared" si="43"/>
        <v>84000000</v>
      </c>
      <c r="O74" s="270">
        <f t="shared" si="43"/>
        <v>180000</v>
      </c>
      <c r="P74" s="271">
        <f>O74+(N74/$K$2)</f>
        <v>383784.57059679768</v>
      </c>
      <c r="Q74" s="280">
        <v>760000</v>
      </c>
      <c r="R74" s="104">
        <v>3500</v>
      </c>
      <c r="S74" s="281">
        <f t="shared" si="20"/>
        <v>91200000</v>
      </c>
      <c r="T74" s="281">
        <f t="shared" si="12"/>
        <v>420000</v>
      </c>
      <c r="U74" s="400">
        <f>T74+(S74/$K$2)</f>
        <v>641251.81950509455</v>
      </c>
      <c r="V74" s="409"/>
    </row>
    <row r="75" spans="1:22" ht="13.5" customHeight="1" thickBot="1" x14ac:dyDescent="0.3">
      <c r="B75" s="447" t="s">
        <v>108</v>
      </c>
      <c r="C75" s="448"/>
      <c r="D75" s="121"/>
      <c r="E75" s="122"/>
      <c r="F75" s="61"/>
      <c r="G75" s="62"/>
      <c r="H75" s="63">
        <f>SUM(H73:H74)</f>
        <v>496000000</v>
      </c>
      <c r="I75" s="63">
        <f t="shared" ref="I75:J75" si="44">SUM(I73:I74)</f>
        <v>240000</v>
      </c>
      <c r="J75" s="64">
        <f t="shared" si="44"/>
        <v>1443299.3692382339</v>
      </c>
      <c r="K75" s="61"/>
      <c r="L75" s="61"/>
      <c r="M75" s="62"/>
      <c r="N75" s="63">
        <f t="shared" ref="N75:P75" si="45">SUM(N73:N74)</f>
        <v>364000000</v>
      </c>
      <c r="O75" s="63">
        <f t="shared" si="45"/>
        <v>180000</v>
      </c>
      <c r="P75" s="67">
        <f t="shared" si="45"/>
        <v>1063066.4725861233</v>
      </c>
      <c r="Q75" s="291"/>
      <c r="R75" s="292"/>
      <c r="S75" s="293">
        <f t="shared" ref="S75:U75" si="46">SUM(S73:S74)</f>
        <v>475200000</v>
      </c>
      <c r="T75" s="293">
        <f t="shared" si="46"/>
        <v>2260000</v>
      </c>
      <c r="U75" s="402">
        <f t="shared" si="46"/>
        <v>3412838.427947598</v>
      </c>
      <c r="V75" s="409"/>
    </row>
    <row r="76" spans="1:22" ht="12.95" customHeight="1" x14ac:dyDescent="0.25">
      <c r="B76" s="418" t="s">
        <v>109</v>
      </c>
      <c r="C76" s="419" t="s">
        <v>110</v>
      </c>
      <c r="D76" s="420"/>
      <c r="E76" s="70"/>
      <c r="F76" s="283"/>
      <c r="G76" s="284"/>
      <c r="H76" s="71"/>
      <c r="I76" s="71"/>
      <c r="J76" s="72"/>
      <c r="K76" s="73"/>
      <c r="L76" s="73"/>
      <c r="M76" s="74"/>
      <c r="N76" s="75"/>
      <c r="O76" s="75"/>
      <c r="P76" s="285"/>
      <c r="Q76" s="265"/>
      <c r="R76" s="75"/>
      <c r="S76" s="75"/>
      <c r="T76" s="75">
        <f t="shared" si="12"/>
        <v>0</v>
      </c>
      <c r="U76" s="285"/>
      <c r="V76" s="409"/>
    </row>
    <row r="77" spans="1:22" ht="33.75" x14ac:dyDescent="0.25">
      <c r="B77" s="91" t="s">
        <v>111</v>
      </c>
      <c r="C77" s="35" t="s">
        <v>112</v>
      </c>
      <c r="D77" s="92" t="s">
        <v>23</v>
      </c>
      <c r="E77" s="37">
        <v>100</v>
      </c>
      <c r="F77" s="267">
        <v>260000</v>
      </c>
      <c r="G77" s="268"/>
      <c r="H77" s="39">
        <f t="shared" ref="H77:H84" si="47">E77*F77</f>
        <v>26000000</v>
      </c>
      <c r="I77" s="39">
        <f t="shared" ref="I77:I84" si="48">E77*G77</f>
        <v>0</v>
      </c>
      <c r="J77" s="269">
        <f t="shared" ref="J77:J84" si="49">(H77/412.2)+I77</f>
        <v>63076.176613294519</v>
      </c>
      <c r="K77" s="40"/>
      <c r="L77" s="40">
        <v>250000</v>
      </c>
      <c r="M77" s="41"/>
      <c r="N77" s="270">
        <f t="shared" ref="N77:O84" si="50">$E77*L77</f>
        <v>25000000</v>
      </c>
      <c r="O77" s="270">
        <f t="shared" si="50"/>
        <v>0</v>
      </c>
      <c r="P77" s="271">
        <f t="shared" ref="P77:P84" si="51">O77+(N77/$K$2)</f>
        <v>60650.169820475501</v>
      </c>
      <c r="Q77" s="137">
        <f>80000+30000+60000</f>
        <v>170000</v>
      </c>
      <c r="R77" s="79"/>
      <c r="S77" s="272">
        <f t="shared" si="20"/>
        <v>17000000</v>
      </c>
      <c r="T77" s="272">
        <f t="shared" si="12"/>
        <v>0</v>
      </c>
      <c r="U77" s="398">
        <f t="shared" ref="U77:U83" si="52">T77+(S77/$K$2)</f>
        <v>41242.11547792334</v>
      </c>
      <c r="V77" s="409"/>
    </row>
    <row r="78" spans="1:22" ht="45" x14ac:dyDescent="0.25">
      <c r="B78" s="51" t="s">
        <v>113</v>
      </c>
      <c r="C78" s="52" t="s">
        <v>114</v>
      </c>
      <c r="D78" s="53" t="s">
        <v>68</v>
      </c>
      <c r="E78" s="44">
        <v>30</v>
      </c>
      <c r="F78" s="273">
        <v>340000</v>
      </c>
      <c r="G78" s="274"/>
      <c r="H78" s="46">
        <f t="shared" si="47"/>
        <v>10200000</v>
      </c>
      <c r="I78" s="46">
        <f t="shared" si="48"/>
        <v>0</v>
      </c>
      <c r="J78" s="269">
        <f t="shared" si="49"/>
        <v>24745.269286754003</v>
      </c>
      <c r="K78" s="47"/>
      <c r="L78" s="47">
        <v>250000</v>
      </c>
      <c r="M78" s="48"/>
      <c r="N78" s="270">
        <f t="shared" si="50"/>
        <v>7500000</v>
      </c>
      <c r="O78" s="270">
        <f t="shared" si="50"/>
        <v>0</v>
      </c>
      <c r="P78" s="271">
        <f t="shared" si="51"/>
        <v>18195.050946142648</v>
      </c>
      <c r="Q78" s="137">
        <f>80000+30000+60000</f>
        <v>170000</v>
      </c>
      <c r="R78" s="79"/>
      <c r="S78" s="272">
        <f t="shared" si="20"/>
        <v>5100000</v>
      </c>
      <c r="T78" s="272">
        <f t="shared" si="12"/>
        <v>0</v>
      </c>
      <c r="U78" s="398">
        <f t="shared" si="52"/>
        <v>12372.634643377001</v>
      </c>
      <c r="V78" s="409"/>
    </row>
    <row r="79" spans="1:22" ht="42" x14ac:dyDescent="0.25">
      <c r="A79" s="361"/>
      <c r="B79" s="91" t="s">
        <v>115</v>
      </c>
      <c r="C79" s="52" t="s">
        <v>116</v>
      </c>
      <c r="D79" s="53" t="s">
        <v>68</v>
      </c>
      <c r="E79" s="44">
        <v>20</v>
      </c>
      <c r="F79" s="273">
        <v>200000</v>
      </c>
      <c r="G79" s="274">
        <v>300</v>
      </c>
      <c r="H79" s="46">
        <f t="shared" si="47"/>
        <v>4000000</v>
      </c>
      <c r="I79" s="46">
        <f t="shared" si="48"/>
        <v>6000</v>
      </c>
      <c r="J79" s="269">
        <f t="shared" si="49"/>
        <v>15704.02717127608</v>
      </c>
      <c r="K79" s="47"/>
      <c r="L79" s="47">
        <v>200000</v>
      </c>
      <c r="M79" s="48">
        <v>150</v>
      </c>
      <c r="N79" s="270">
        <f t="shared" si="50"/>
        <v>4000000</v>
      </c>
      <c r="O79" s="270">
        <f t="shared" si="50"/>
        <v>3000</v>
      </c>
      <c r="P79" s="271">
        <f t="shared" si="51"/>
        <v>12704.02717127608</v>
      </c>
      <c r="Q79" s="365">
        <f>F79</f>
        <v>200000</v>
      </c>
      <c r="R79" s="79">
        <f>G79</f>
        <v>300</v>
      </c>
      <c r="S79" s="272">
        <f t="shared" si="20"/>
        <v>4000000</v>
      </c>
      <c r="T79" s="272">
        <f t="shared" si="12"/>
        <v>6000</v>
      </c>
      <c r="U79" s="398">
        <f t="shared" si="52"/>
        <v>15704.02717127608</v>
      </c>
      <c r="V79" s="408" t="s">
        <v>669</v>
      </c>
    </row>
    <row r="80" spans="1:22" ht="22.5" x14ac:dyDescent="0.25">
      <c r="A80" s="361"/>
      <c r="B80" s="51" t="s">
        <v>117</v>
      </c>
      <c r="C80" s="52" t="s">
        <v>118</v>
      </c>
      <c r="D80" s="53" t="s">
        <v>119</v>
      </c>
      <c r="E80" s="44">
        <v>20</v>
      </c>
      <c r="F80" s="273">
        <f>100000/3</f>
        <v>33333.333333333336</v>
      </c>
      <c r="G80" s="274">
        <f>140/3</f>
        <v>46.666666666666664</v>
      </c>
      <c r="H80" s="46">
        <f t="shared" si="47"/>
        <v>666666.66666666674</v>
      </c>
      <c r="I80" s="46">
        <f t="shared" si="48"/>
        <v>933.33333333333326</v>
      </c>
      <c r="J80" s="269">
        <f t="shared" si="49"/>
        <v>2550.6711952126798</v>
      </c>
      <c r="K80" s="47"/>
      <c r="L80" s="47">
        <v>30000</v>
      </c>
      <c r="M80" s="48">
        <v>60</v>
      </c>
      <c r="N80" s="270">
        <f t="shared" si="50"/>
        <v>600000</v>
      </c>
      <c r="O80" s="270">
        <f t="shared" si="50"/>
        <v>1200</v>
      </c>
      <c r="P80" s="271">
        <f t="shared" si="51"/>
        <v>2655.6040756914117</v>
      </c>
      <c r="Q80" s="365">
        <f>F80</f>
        <v>33333.333333333336</v>
      </c>
      <c r="R80" s="79">
        <f>G80</f>
        <v>46.666666666666664</v>
      </c>
      <c r="S80" s="272">
        <f t="shared" si="20"/>
        <v>666666.66666666674</v>
      </c>
      <c r="T80" s="272">
        <f t="shared" si="12"/>
        <v>933.33333333333326</v>
      </c>
      <c r="U80" s="398">
        <f t="shared" si="52"/>
        <v>2550.6711952126798</v>
      </c>
      <c r="V80" s="408" t="s">
        <v>670</v>
      </c>
    </row>
    <row r="81" spans="2:22" ht="45" x14ac:dyDescent="0.25">
      <c r="B81" s="91" t="s">
        <v>120</v>
      </c>
      <c r="C81" s="52" t="s">
        <v>121</v>
      </c>
      <c r="D81" s="53" t="s">
        <v>122</v>
      </c>
      <c r="E81" s="106">
        <v>400</v>
      </c>
      <c r="F81" s="273">
        <v>30000</v>
      </c>
      <c r="G81" s="274"/>
      <c r="H81" s="46">
        <f t="shared" si="47"/>
        <v>12000000</v>
      </c>
      <c r="I81" s="46">
        <f t="shared" si="48"/>
        <v>0</v>
      </c>
      <c r="J81" s="269">
        <f t="shared" si="49"/>
        <v>29112.081513828238</v>
      </c>
      <c r="K81" s="47"/>
      <c r="L81" s="47">
        <v>18000</v>
      </c>
      <c r="M81" s="48"/>
      <c r="N81" s="270">
        <f t="shared" si="50"/>
        <v>7200000</v>
      </c>
      <c r="O81" s="270">
        <f t="shared" si="50"/>
        <v>0</v>
      </c>
      <c r="P81" s="271">
        <f t="shared" si="51"/>
        <v>17467.248908296944</v>
      </c>
      <c r="Q81" s="137">
        <v>10000</v>
      </c>
      <c r="R81" s="79"/>
      <c r="S81" s="272">
        <f t="shared" si="20"/>
        <v>4000000</v>
      </c>
      <c r="T81" s="272">
        <f t="shared" si="12"/>
        <v>0</v>
      </c>
      <c r="U81" s="398">
        <f t="shared" si="52"/>
        <v>9704.0271712760805</v>
      </c>
      <c r="V81" s="409"/>
    </row>
    <row r="82" spans="2:22" ht="11.25" x14ac:dyDescent="0.25">
      <c r="B82" s="51" t="s">
        <v>123</v>
      </c>
      <c r="C82" s="49" t="s">
        <v>124</v>
      </c>
      <c r="D82" s="53" t="s">
        <v>122</v>
      </c>
      <c r="E82" s="106">
        <v>50</v>
      </c>
      <c r="F82" s="273">
        <v>35000</v>
      </c>
      <c r="G82" s="274"/>
      <c r="H82" s="46">
        <f t="shared" si="47"/>
        <v>1750000</v>
      </c>
      <c r="I82" s="46">
        <f t="shared" si="48"/>
        <v>0</v>
      </c>
      <c r="J82" s="269">
        <f t="shared" si="49"/>
        <v>4245.5118874332848</v>
      </c>
      <c r="K82" s="47"/>
      <c r="L82" s="47">
        <v>22000</v>
      </c>
      <c r="M82" s="48"/>
      <c r="N82" s="270">
        <f t="shared" si="50"/>
        <v>1100000</v>
      </c>
      <c r="O82" s="270">
        <f t="shared" si="50"/>
        <v>0</v>
      </c>
      <c r="P82" s="271">
        <f t="shared" si="51"/>
        <v>2668.6074721009218</v>
      </c>
      <c r="Q82" s="137">
        <v>10000</v>
      </c>
      <c r="R82" s="79"/>
      <c r="S82" s="272">
        <f t="shared" si="20"/>
        <v>500000</v>
      </c>
      <c r="T82" s="272">
        <f t="shared" si="12"/>
        <v>0</v>
      </c>
      <c r="U82" s="398">
        <f t="shared" si="52"/>
        <v>1213.0033964095101</v>
      </c>
      <c r="V82" s="409"/>
    </row>
    <row r="83" spans="2:22" ht="11.25" x14ac:dyDescent="0.25">
      <c r="B83" s="51" t="s">
        <v>125</v>
      </c>
      <c r="C83" s="49" t="s">
        <v>126</v>
      </c>
      <c r="D83" s="53" t="s">
        <v>122</v>
      </c>
      <c r="E83" s="106">
        <v>10</v>
      </c>
      <c r="F83" s="273">
        <v>40000</v>
      </c>
      <c r="G83" s="274"/>
      <c r="H83" s="46">
        <f t="shared" si="47"/>
        <v>400000</v>
      </c>
      <c r="I83" s="46">
        <f t="shared" si="48"/>
        <v>0</v>
      </c>
      <c r="J83" s="269">
        <f t="shared" si="49"/>
        <v>970.40271712760796</v>
      </c>
      <c r="K83" s="47"/>
      <c r="L83" s="47">
        <v>30000</v>
      </c>
      <c r="M83" s="48"/>
      <c r="N83" s="270">
        <f t="shared" si="50"/>
        <v>300000</v>
      </c>
      <c r="O83" s="270">
        <f t="shared" si="50"/>
        <v>0</v>
      </c>
      <c r="P83" s="271">
        <f t="shared" si="51"/>
        <v>727.80203784570597</v>
      </c>
      <c r="Q83" s="137">
        <v>23000</v>
      </c>
      <c r="R83" s="79"/>
      <c r="S83" s="272">
        <f t="shared" si="20"/>
        <v>230000</v>
      </c>
      <c r="T83" s="272">
        <f t="shared" ref="T83:T146" si="53">R83*E83</f>
        <v>0</v>
      </c>
      <c r="U83" s="398">
        <f t="shared" si="52"/>
        <v>557.98156234837461</v>
      </c>
      <c r="V83" s="409"/>
    </row>
    <row r="84" spans="2:22" ht="12" thickBot="1" x14ac:dyDescent="0.3">
      <c r="B84" s="54" t="s">
        <v>127</v>
      </c>
      <c r="C84" s="55" t="s">
        <v>128</v>
      </c>
      <c r="D84" s="83" t="s">
        <v>122</v>
      </c>
      <c r="E84" s="107">
        <v>10</v>
      </c>
      <c r="F84" s="278">
        <v>45000</v>
      </c>
      <c r="G84" s="279"/>
      <c r="H84" s="58">
        <f t="shared" si="47"/>
        <v>450000</v>
      </c>
      <c r="I84" s="58">
        <f t="shared" si="48"/>
        <v>0</v>
      </c>
      <c r="J84" s="269">
        <f t="shared" si="49"/>
        <v>1091.703056768559</v>
      </c>
      <c r="K84" s="47"/>
      <c r="L84" s="47">
        <v>35000</v>
      </c>
      <c r="M84" s="48"/>
      <c r="N84" s="270">
        <f t="shared" si="50"/>
        <v>350000</v>
      </c>
      <c r="O84" s="270">
        <f t="shared" si="50"/>
        <v>0</v>
      </c>
      <c r="P84" s="271">
        <f t="shared" si="51"/>
        <v>849.10237748665702</v>
      </c>
      <c r="Q84" s="280">
        <v>0</v>
      </c>
      <c r="R84" s="104"/>
      <c r="S84" s="281">
        <f t="shared" si="20"/>
        <v>0</v>
      </c>
      <c r="T84" s="281">
        <f t="shared" si="53"/>
        <v>0</v>
      </c>
      <c r="U84" s="403">
        <f t="shared" ref="U84:U104" si="54">T84+(S84/$K$2)</f>
        <v>0</v>
      </c>
      <c r="V84" s="409"/>
    </row>
    <row r="85" spans="2:22" ht="12" thickBot="1" x14ac:dyDescent="0.3">
      <c r="B85" s="447" t="s">
        <v>129</v>
      </c>
      <c r="C85" s="448"/>
      <c r="D85" s="173"/>
      <c r="E85" s="294"/>
      <c r="F85" s="61"/>
      <c r="G85" s="62"/>
      <c r="H85" s="63">
        <f>SUM(H77:H84)</f>
        <v>55466666.666666664</v>
      </c>
      <c r="I85" s="63">
        <f t="shared" ref="I85:J85" si="55">SUM(I77:I84)</f>
        <v>6933.333333333333</v>
      </c>
      <c r="J85" s="64">
        <f t="shared" si="55"/>
        <v>141495.843441695</v>
      </c>
      <c r="K85" s="61"/>
      <c r="L85" s="61"/>
      <c r="M85" s="62"/>
      <c r="N85" s="63">
        <f t="shared" ref="N85:P85" si="56">SUM(N77:N84)</f>
        <v>46050000</v>
      </c>
      <c r="O85" s="63">
        <f t="shared" si="56"/>
        <v>4200</v>
      </c>
      <c r="P85" s="67">
        <f t="shared" si="56"/>
        <v>115917.61280931586</v>
      </c>
      <c r="Q85" s="295"/>
      <c r="R85" s="296"/>
      <c r="S85" s="297">
        <f t="shared" ref="S85:U85" si="57">SUM(S77:S84)</f>
        <v>31496666.666666668</v>
      </c>
      <c r="T85" s="297">
        <f t="shared" si="57"/>
        <v>6933.333333333333</v>
      </c>
      <c r="U85" s="404">
        <f t="shared" si="57"/>
        <v>83344.460617823061</v>
      </c>
      <c r="V85" s="409"/>
    </row>
    <row r="86" spans="2:22" ht="22.5" x14ac:dyDescent="0.25">
      <c r="B86" s="94" t="s">
        <v>130</v>
      </c>
      <c r="C86" s="95" t="s">
        <v>131</v>
      </c>
      <c r="D86" s="108"/>
      <c r="E86" s="70"/>
      <c r="F86" s="283"/>
      <c r="G86" s="284"/>
      <c r="H86" s="71"/>
      <c r="I86" s="71"/>
      <c r="J86" s="72"/>
      <c r="K86" s="265"/>
      <c r="L86" s="265"/>
      <c r="M86" s="74"/>
      <c r="N86" s="75"/>
      <c r="O86" s="75"/>
      <c r="P86" s="285"/>
      <c r="Q86" s="265"/>
      <c r="R86" s="75"/>
      <c r="S86" s="298"/>
      <c r="T86" s="298"/>
      <c r="U86" s="405"/>
      <c r="V86" s="409"/>
    </row>
    <row r="87" spans="2:22" ht="96.75" customHeight="1" x14ac:dyDescent="0.25">
      <c r="B87" s="91" t="s">
        <v>132</v>
      </c>
      <c r="C87" s="109" t="s">
        <v>133</v>
      </c>
      <c r="D87" s="92" t="s">
        <v>122</v>
      </c>
      <c r="E87" s="37">
        <v>10</v>
      </c>
      <c r="F87" s="267">
        <v>650000</v>
      </c>
      <c r="G87" s="268"/>
      <c r="H87" s="39">
        <f>E87*F87</f>
        <v>6500000</v>
      </c>
      <c r="I87" s="39">
        <f>E87*G87</f>
        <v>0</v>
      </c>
      <c r="J87" s="269">
        <f t="shared" ref="J87:J91" si="58">(H87/412.2)+I87</f>
        <v>15769.04415332363</v>
      </c>
      <c r="K87" s="40"/>
      <c r="L87" s="40">
        <v>550000</v>
      </c>
      <c r="M87" s="41"/>
      <c r="N87" s="270">
        <f t="shared" ref="N87:O91" si="59">$E87*L87</f>
        <v>5500000</v>
      </c>
      <c r="O87" s="270">
        <f t="shared" si="59"/>
        <v>0</v>
      </c>
      <c r="P87" s="271">
        <f>O87+(N87/$K$2)</f>
        <v>13343.03736050461</v>
      </c>
      <c r="Q87" s="365">
        <f>F87</f>
        <v>650000</v>
      </c>
      <c r="R87" s="79">
        <f>G87</f>
        <v>0</v>
      </c>
      <c r="S87" s="272">
        <f t="shared" si="20"/>
        <v>6500000</v>
      </c>
      <c r="T87" s="272">
        <f t="shared" si="53"/>
        <v>0</v>
      </c>
      <c r="U87" s="398">
        <f t="shared" si="54"/>
        <v>15769.04415332363</v>
      </c>
      <c r="V87" s="408" t="s">
        <v>659</v>
      </c>
    </row>
    <row r="88" spans="2:22" ht="33.75" x14ac:dyDescent="0.25">
      <c r="B88" s="51" t="s">
        <v>134</v>
      </c>
      <c r="C88" s="110" t="s">
        <v>135</v>
      </c>
      <c r="D88" s="53" t="s">
        <v>122</v>
      </c>
      <c r="E88" s="44">
        <v>10</v>
      </c>
      <c r="F88" s="273">
        <v>500000</v>
      </c>
      <c r="G88" s="274"/>
      <c r="H88" s="46">
        <f>E88*F88</f>
        <v>5000000</v>
      </c>
      <c r="I88" s="46">
        <f>E88*G88</f>
        <v>0</v>
      </c>
      <c r="J88" s="269">
        <f t="shared" si="58"/>
        <v>12130.033964095101</v>
      </c>
      <c r="K88" s="47"/>
      <c r="L88" s="47">
        <v>600000</v>
      </c>
      <c r="M88" s="48"/>
      <c r="N88" s="270">
        <f t="shared" si="59"/>
        <v>6000000</v>
      </c>
      <c r="O88" s="270">
        <f t="shared" si="59"/>
        <v>0</v>
      </c>
      <c r="P88" s="271">
        <f>O88+(N88/$K$2)</f>
        <v>14556.040756914119</v>
      </c>
      <c r="Q88" s="365">
        <f t="shared" ref="Q88:Q90" si="60">F88</f>
        <v>500000</v>
      </c>
      <c r="R88" s="79">
        <f t="shared" ref="R88:R90" si="61">G88</f>
        <v>0</v>
      </c>
      <c r="S88" s="272">
        <f t="shared" si="20"/>
        <v>5000000</v>
      </c>
      <c r="T88" s="272">
        <f t="shared" si="53"/>
        <v>0</v>
      </c>
      <c r="U88" s="406">
        <f t="shared" si="54"/>
        <v>12130.033964095101</v>
      </c>
      <c r="V88" s="408" t="s">
        <v>659</v>
      </c>
    </row>
    <row r="89" spans="2:22" ht="33.75" x14ac:dyDescent="0.25">
      <c r="B89" s="91" t="s">
        <v>136</v>
      </c>
      <c r="C89" s="110" t="s">
        <v>137</v>
      </c>
      <c r="D89" s="53" t="s">
        <v>122</v>
      </c>
      <c r="E89" s="44">
        <v>10</v>
      </c>
      <c r="F89" s="273">
        <v>300000</v>
      </c>
      <c r="G89" s="274"/>
      <c r="H89" s="46">
        <f>E89*F89</f>
        <v>3000000</v>
      </c>
      <c r="I89" s="46">
        <f>E89*G89</f>
        <v>0</v>
      </c>
      <c r="J89" s="269">
        <f t="shared" si="58"/>
        <v>7278.0203784570595</v>
      </c>
      <c r="K89" s="47"/>
      <c r="L89" s="47">
        <v>275000</v>
      </c>
      <c r="M89" s="48"/>
      <c r="N89" s="270">
        <f t="shared" si="59"/>
        <v>2750000</v>
      </c>
      <c r="O89" s="270">
        <f t="shared" si="59"/>
        <v>0</v>
      </c>
      <c r="P89" s="271">
        <f>O89+(N89/$K$2)</f>
        <v>6671.5186802523049</v>
      </c>
      <c r="Q89" s="365">
        <f t="shared" si="60"/>
        <v>300000</v>
      </c>
      <c r="R89" s="79">
        <f t="shared" si="61"/>
        <v>0</v>
      </c>
      <c r="S89" s="272">
        <f t="shared" si="20"/>
        <v>3000000</v>
      </c>
      <c r="T89" s="272">
        <f t="shared" si="53"/>
        <v>0</v>
      </c>
      <c r="U89" s="406">
        <f t="shared" si="54"/>
        <v>7278.0203784570595</v>
      </c>
      <c r="V89" s="408" t="s">
        <v>659</v>
      </c>
    </row>
    <row r="90" spans="2:22" ht="51.6" customHeight="1" x14ac:dyDescent="0.25">
      <c r="B90" s="51" t="s">
        <v>138</v>
      </c>
      <c r="C90" s="111" t="s">
        <v>139</v>
      </c>
      <c r="D90" s="53" t="s">
        <v>122</v>
      </c>
      <c r="E90" s="44">
        <v>10</v>
      </c>
      <c r="F90" s="273">
        <v>1600000</v>
      </c>
      <c r="G90" s="274"/>
      <c r="H90" s="46">
        <f>E90*F90</f>
        <v>16000000</v>
      </c>
      <c r="I90" s="46">
        <f>E90*G90</f>
        <v>0</v>
      </c>
      <c r="J90" s="269">
        <f t="shared" si="58"/>
        <v>38816.108685104322</v>
      </c>
      <c r="K90" s="47"/>
      <c r="L90" s="47">
        <v>1355000</v>
      </c>
      <c r="M90" s="48"/>
      <c r="N90" s="270">
        <f t="shared" si="59"/>
        <v>13550000</v>
      </c>
      <c r="O90" s="270">
        <f t="shared" si="59"/>
        <v>0</v>
      </c>
      <c r="P90" s="271">
        <f>O90+(N90/$K$2)</f>
        <v>32872.39204269772</v>
      </c>
      <c r="Q90" s="365">
        <f t="shared" si="60"/>
        <v>1600000</v>
      </c>
      <c r="R90" s="79">
        <f t="shared" si="61"/>
        <v>0</v>
      </c>
      <c r="S90" s="272">
        <f t="shared" si="20"/>
        <v>16000000</v>
      </c>
      <c r="T90" s="272">
        <f t="shared" si="53"/>
        <v>0</v>
      </c>
      <c r="U90" s="406">
        <f t="shared" si="54"/>
        <v>38816.108685104322</v>
      </c>
      <c r="V90" s="408" t="s">
        <v>659</v>
      </c>
    </row>
    <row r="91" spans="2:22" ht="68.25" thickBot="1" x14ac:dyDescent="0.3">
      <c r="B91" s="91" t="s">
        <v>140</v>
      </c>
      <c r="C91" s="112" t="s">
        <v>141</v>
      </c>
      <c r="D91" s="100" t="s">
        <v>122</v>
      </c>
      <c r="E91" s="101">
        <v>10</v>
      </c>
      <c r="F91" s="289">
        <v>790000</v>
      </c>
      <c r="G91" s="290"/>
      <c r="H91" s="102">
        <f>E91*F91</f>
        <v>7900000</v>
      </c>
      <c r="I91" s="102">
        <f>E91*G91</f>
        <v>0</v>
      </c>
      <c r="J91" s="269">
        <f t="shared" si="58"/>
        <v>19165.453663270258</v>
      </c>
      <c r="K91" s="103"/>
      <c r="L91" s="103">
        <v>620000</v>
      </c>
      <c r="M91" s="105"/>
      <c r="N91" s="270">
        <f t="shared" si="59"/>
        <v>6200000</v>
      </c>
      <c r="O91" s="270">
        <f t="shared" si="59"/>
        <v>0</v>
      </c>
      <c r="P91" s="271">
        <f>O91+(N91/$K$2)</f>
        <v>15041.242115477924</v>
      </c>
      <c r="Q91" s="367">
        <f t="shared" ref="Q91" si="62">F91</f>
        <v>790000</v>
      </c>
      <c r="R91" s="104">
        <f t="shared" ref="R91" si="63">G91</f>
        <v>0</v>
      </c>
      <c r="S91" s="281">
        <f t="shared" si="20"/>
        <v>7900000</v>
      </c>
      <c r="T91" s="281">
        <f t="shared" si="53"/>
        <v>0</v>
      </c>
      <c r="U91" s="403">
        <f t="shared" si="54"/>
        <v>19165.453663270258</v>
      </c>
      <c r="V91" s="408" t="s">
        <v>659</v>
      </c>
    </row>
    <row r="92" spans="2:22" ht="12" thickBot="1" x14ac:dyDescent="0.3">
      <c r="B92" s="447" t="s">
        <v>142</v>
      </c>
      <c r="C92" s="448"/>
      <c r="D92" s="173"/>
      <c r="E92" s="286"/>
      <c r="F92" s="65"/>
      <c r="G92" s="63"/>
      <c r="H92" s="63">
        <f>SUM(H87:H91)</f>
        <v>38400000</v>
      </c>
      <c r="I92" s="63">
        <f t="shared" ref="I92:J92" si="64">SUM(I87:I91)</f>
        <v>0</v>
      </c>
      <c r="J92" s="64">
        <f t="shared" si="64"/>
        <v>93158.660844250378</v>
      </c>
      <c r="K92" s="65"/>
      <c r="L92" s="65"/>
      <c r="M92" s="63"/>
      <c r="N92" s="63">
        <f t="shared" ref="N92:P92" si="65">SUM(N87:N91)</f>
        <v>34000000</v>
      </c>
      <c r="O92" s="63">
        <f t="shared" si="65"/>
        <v>0</v>
      </c>
      <c r="P92" s="67">
        <f t="shared" si="65"/>
        <v>82484.23095584668</v>
      </c>
      <c r="Q92" s="282"/>
      <c r="R92" s="256"/>
      <c r="S92" s="63">
        <f t="shared" ref="S92:U92" si="66">SUM(S87:S91)</f>
        <v>38400000</v>
      </c>
      <c r="T92" s="63">
        <f t="shared" si="66"/>
        <v>0</v>
      </c>
      <c r="U92" s="67">
        <f t="shared" si="66"/>
        <v>93158.660844250378</v>
      </c>
      <c r="V92" s="409"/>
    </row>
    <row r="93" spans="2:22" ht="11.25" x14ac:dyDescent="0.25">
      <c r="B93" s="418" t="s">
        <v>143</v>
      </c>
      <c r="C93" s="419" t="s">
        <v>144</v>
      </c>
      <c r="D93" s="420"/>
      <c r="E93" s="70"/>
      <c r="F93" s="283"/>
      <c r="G93" s="284"/>
      <c r="H93" s="71"/>
      <c r="I93" s="71"/>
      <c r="J93" s="72"/>
      <c r="K93" s="73"/>
      <c r="L93" s="73"/>
      <c r="M93" s="74"/>
      <c r="N93" s="75"/>
      <c r="O93" s="75"/>
      <c r="P93" s="285"/>
      <c r="Q93" s="265"/>
      <c r="R93" s="75"/>
      <c r="S93" s="75"/>
      <c r="T93" s="75"/>
      <c r="U93" s="285"/>
      <c r="V93" s="409"/>
    </row>
    <row r="94" spans="2:22" ht="11.25" x14ac:dyDescent="0.25">
      <c r="B94" s="91" t="s">
        <v>145</v>
      </c>
      <c r="C94" s="113" t="s">
        <v>146</v>
      </c>
      <c r="D94" s="92" t="s">
        <v>122</v>
      </c>
      <c r="E94" s="37">
        <v>500</v>
      </c>
      <c r="F94" s="267">
        <v>5000</v>
      </c>
      <c r="G94" s="268"/>
      <c r="H94" s="39">
        <f>E94*F94</f>
        <v>2500000</v>
      </c>
      <c r="I94" s="39">
        <f>E94*G94</f>
        <v>0</v>
      </c>
      <c r="J94" s="269">
        <f t="shared" ref="J94:J97" si="67">(H94/412.2)+I94</f>
        <v>6065.0169820475503</v>
      </c>
      <c r="K94" s="40"/>
      <c r="L94" s="40">
        <v>5000</v>
      </c>
      <c r="M94" s="41"/>
      <c r="N94" s="270">
        <f t="shared" ref="N94:O97" si="68">$E94*L94</f>
        <v>2500000</v>
      </c>
      <c r="O94" s="270">
        <f t="shared" si="68"/>
        <v>0</v>
      </c>
      <c r="P94" s="271">
        <f>O94+(N94/$K$2)</f>
        <v>6065.0169820475503</v>
      </c>
      <c r="Q94" s="137">
        <v>2000</v>
      </c>
      <c r="R94" s="79"/>
      <c r="S94" s="272">
        <f t="shared" ref="S94:S157" si="69">Q94*E94</f>
        <v>1000000</v>
      </c>
      <c r="T94" s="272">
        <f t="shared" si="53"/>
        <v>0</v>
      </c>
      <c r="U94" s="398">
        <f t="shared" si="54"/>
        <v>2426.0067928190201</v>
      </c>
      <c r="V94" s="409"/>
    </row>
    <row r="95" spans="2:22" ht="11.25" x14ac:dyDescent="0.25">
      <c r="B95" s="51" t="s">
        <v>147</v>
      </c>
      <c r="C95" s="42" t="s">
        <v>148</v>
      </c>
      <c r="D95" s="53" t="s">
        <v>122</v>
      </c>
      <c r="E95" s="44">
        <v>500</v>
      </c>
      <c r="F95" s="273">
        <v>7000</v>
      </c>
      <c r="G95" s="274"/>
      <c r="H95" s="46">
        <f>E95*F95</f>
        <v>3500000</v>
      </c>
      <c r="I95" s="46">
        <f>E95*G95</f>
        <v>0</v>
      </c>
      <c r="J95" s="269">
        <f t="shared" si="67"/>
        <v>8491.0237748665695</v>
      </c>
      <c r="K95" s="47"/>
      <c r="L95" s="47">
        <v>5200</v>
      </c>
      <c r="M95" s="48"/>
      <c r="N95" s="270">
        <f t="shared" si="68"/>
        <v>2600000</v>
      </c>
      <c r="O95" s="270">
        <f t="shared" si="68"/>
        <v>0</v>
      </c>
      <c r="P95" s="271">
        <f>O95+(N95/$K$2)</f>
        <v>6307.6176613294519</v>
      </c>
      <c r="Q95" s="137">
        <v>3000</v>
      </c>
      <c r="R95" s="79"/>
      <c r="S95" s="272">
        <f t="shared" si="69"/>
        <v>1500000</v>
      </c>
      <c r="T95" s="272">
        <f t="shared" si="53"/>
        <v>0</v>
      </c>
      <c r="U95" s="406">
        <f t="shared" si="54"/>
        <v>3639.0101892285297</v>
      </c>
      <c r="V95" s="409"/>
    </row>
    <row r="96" spans="2:22" ht="11.25" x14ac:dyDescent="0.25">
      <c r="B96" s="91" t="s">
        <v>149</v>
      </c>
      <c r="C96" s="42" t="s">
        <v>150</v>
      </c>
      <c r="D96" s="53" t="s">
        <v>122</v>
      </c>
      <c r="E96" s="44">
        <v>500</v>
      </c>
      <c r="F96" s="273">
        <v>10000</v>
      </c>
      <c r="G96" s="274"/>
      <c r="H96" s="46">
        <f>E96*F96</f>
        <v>5000000</v>
      </c>
      <c r="I96" s="46">
        <f>E96*G96</f>
        <v>0</v>
      </c>
      <c r="J96" s="269">
        <f t="shared" si="67"/>
        <v>12130.033964095101</v>
      </c>
      <c r="K96" s="47"/>
      <c r="L96" s="47">
        <v>10000</v>
      </c>
      <c r="M96" s="48"/>
      <c r="N96" s="270">
        <f t="shared" si="68"/>
        <v>5000000</v>
      </c>
      <c r="O96" s="270">
        <f t="shared" si="68"/>
        <v>0</v>
      </c>
      <c r="P96" s="271">
        <f>O96+(N96/$K$2)</f>
        <v>12130.033964095101</v>
      </c>
      <c r="Q96" s="137">
        <v>3400</v>
      </c>
      <c r="R96" s="79"/>
      <c r="S96" s="272">
        <f t="shared" si="69"/>
        <v>1700000</v>
      </c>
      <c r="T96" s="272">
        <f t="shared" si="53"/>
        <v>0</v>
      </c>
      <c r="U96" s="398">
        <f t="shared" si="54"/>
        <v>4124.2115477923344</v>
      </c>
      <c r="V96" s="409"/>
    </row>
    <row r="97" spans="2:22" ht="68.25" thickBot="1" x14ac:dyDescent="0.3">
      <c r="B97" s="54" t="s">
        <v>151</v>
      </c>
      <c r="C97" s="114" t="s">
        <v>152</v>
      </c>
      <c r="D97" s="83" t="s">
        <v>122</v>
      </c>
      <c r="E97" s="57">
        <v>500</v>
      </c>
      <c r="F97" s="289">
        <v>20000</v>
      </c>
      <c r="G97" s="290"/>
      <c r="H97" s="102">
        <f>E97*F97</f>
        <v>10000000</v>
      </c>
      <c r="I97" s="102">
        <f>E97*G97</f>
        <v>0</v>
      </c>
      <c r="J97" s="269">
        <f t="shared" si="67"/>
        <v>24260.067928190201</v>
      </c>
      <c r="K97" s="59"/>
      <c r="L97" s="59">
        <v>17250</v>
      </c>
      <c r="M97" s="60"/>
      <c r="N97" s="270">
        <f t="shared" si="68"/>
        <v>8625000</v>
      </c>
      <c r="O97" s="270">
        <f t="shared" si="68"/>
        <v>0</v>
      </c>
      <c r="P97" s="271">
        <f>O97+(N97/$K$2)</f>
        <v>20924.308588064046</v>
      </c>
      <c r="Q97" s="280">
        <v>11000</v>
      </c>
      <c r="R97" s="104"/>
      <c r="S97" s="281">
        <f t="shared" si="69"/>
        <v>5500000</v>
      </c>
      <c r="T97" s="281">
        <f t="shared" si="53"/>
        <v>0</v>
      </c>
      <c r="U97" s="403">
        <f t="shared" si="54"/>
        <v>13343.03736050461</v>
      </c>
      <c r="V97" s="409"/>
    </row>
    <row r="98" spans="2:22" ht="12" thickBot="1" x14ac:dyDescent="0.3">
      <c r="B98" s="447" t="s">
        <v>153</v>
      </c>
      <c r="C98" s="448"/>
      <c r="D98" s="173"/>
      <c r="E98" s="286"/>
      <c r="F98" s="65"/>
      <c r="G98" s="63"/>
      <c r="H98" s="63">
        <f>SUM(H94:H97)</f>
        <v>21000000</v>
      </c>
      <c r="I98" s="63"/>
      <c r="J98" s="64">
        <f>SUM(J94:J97)</f>
        <v>50946.142649199421</v>
      </c>
      <c r="K98" s="65"/>
      <c r="L98" s="65"/>
      <c r="M98" s="63"/>
      <c r="N98" s="63">
        <f t="shared" ref="N98" si="70">SUM(N94:N97)</f>
        <v>18725000</v>
      </c>
      <c r="O98" s="63"/>
      <c r="P98" s="67">
        <f t="shared" ref="P98" si="71">SUM(P94:P97)</f>
        <v>45426.97719553615</v>
      </c>
      <c r="Q98" s="282"/>
      <c r="R98" s="256"/>
      <c r="S98" s="63">
        <f t="shared" ref="S98" si="72">SUM(S94:S97)</f>
        <v>9700000</v>
      </c>
      <c r="T98" s="63"/>
      <c r="U98" s="67">
        <f t="shared" ref="U98" si="73">SUM(U94:U97)</f>
        <v>23532.265890344494</v>
      </c>
      <c r="V98" s="409"/>
    </row>
    <row r="99" spans="2:22" ht="11.25" x14ac:dyDescent="0.25">
      <c r="B99" s="418" t="s">
        <v>154</v>
      </c>
      <c r="C99" s="419" t="s">
        <v>155</v>
      </c>
      <c r="D99" s="420"/>
      <c r="E99" s="70"/>
      <c r="F99" s="283"/>
      <c r="G99" s="284"/>
      <c r="H99" s="71"/>
      <c r="I99" s="71"/>
      <c r="J99" s="72"/>
      <c r="K99" s="73"/>
      <c r="L99" s="73"/>
      <c r="M99" s="74"/>
      <c r="N99" s="75"/>
      <c r="O99" s="75"/>
      <c r="P99" s="285"/>
      <c r="Q99" s="265"/>
      <c r="R99" s="75"/>
      <c r="S99" s="75"/>
      <c r="T99" s="75"/>
      <c r="U99" s="407"/>
      <c r="V99" s="409"/>
    </row>
    <row r="100" spans="2:22" ht="22.5" x14ac:dyDescent="0.25">
      <c r="B100" s="91" t="s">
        <v>156</v>
      </c>
      <c r="C100" s="113" t="s">
        <v>157</v>
      </c>
      <c r="D100" s="92" t="s">
        <v>158</v>
      </c>
      <c r="E100" s="37">
        <v>500</v>
      </c>
      <c r="F100" s="267">
        <v>15000</v>
      </c>
      <c r="G100" s="268"/>
      <c r="H100" s="39">
        <f>E100*F100</f>
        <v>7500000</v>
      </c>
      <c r="I100" s="39">
        <f>E100*G100</f>
        <v>0</v>
      </c>
      <c r="J100" s="269">
        <f t="shared" ref="J100:J102" si="74">(H100/412.2)+I100</f>
        <v>18195.050946142648</v>
      </c>
      <c r="K100" s="40"/>
      <c r="L100" s="40">
        <v>12000</v>
      </c>
      <c r="M100" s="41"/>
      <c r="N100" s="270">
        <f t="shared" ref="N100:O102" si="75">$E100*L100</f>
        <v>6000000</v>
      </c>
      <c r="O100" s="270">
        <f t="shared" si="75"/>
        <v>0</v>
      </c>
      <c r="P100" s="271">
        <f>O100+(N100/$K$2)</f>
        <v>14556.040756914119</v>
      </c>
      <c r="Q100" s="137">
        <v>5000</v>
      </c>
      <c r="R100" s="79"/>
      <c r="S100" s="272">
        <f t="shared" si="69"/>
        <v>2500000</v>
      </c>
      <c r="T100" s="272">
        <f t="shared" si="53"/>
        <v>0</v>
      </c>
      <c r="U100" s="406">
        <f t="shared" si="54"/>
        <v>6065.0169820475503</v>
      </c>
      <c r="V100" s="409"/>
    </row>
    <row r="101" spans="2:22" ht="11.25" x14ac:dyDescent="0.25">
      <c r="B101" s="51" t="s">
        <v>159</v>
      </c>
      <c r="C101" s="52" t="s">
        <v>160</v>
      </c>
      <c r="D101" s="53" t="s">
        <v>158</v>
      </c>
      <c r="E101" s="44">
        <v>500</v>
      </c>
      <c r="F101" s="273">
        <v>25000</v>
      </c>
      <c r="G101" s="274"/>
      <c r="H101" s="46">
        <f>E101*F101</f>
        <v>12500000</v>
      </c>
      <c r="I101" s="46">
        <f>E101*G101</f>
        <v>0</v>
      </c>
      <c r="J101" s="269">
        <f t="shared" si="74"/>
        <v>30325.084910237751</v>
      </c>
      <c r="K101" s="47"/>
      <c r="L101" s="47">
        <v>16000</v>
      </c>
      <c r="M101" s="48"/>
      <c r="N101" s="270">
        <f t="shared" si="75"/>
        <v>8000000</v>
      </c>
      <c r="O101" s="270">
        <f t="shared" si="75"/>
        <v>0</v>
      </c>
      <c r="P101" s="271">
        <f>O101+(N101/$K$2)</f>
        <v>19408.054342552161</v>
      </c>
      <c r="Q101" s="137">
        <v>21000</v>
      </c>
      <c r="R101" s="79"/>
      <c r="S101" s="272">
        <f t="shared" si="69"/>
        <v>10500000</v>
      </c>
      <c r="T101" s="272">
        <f t="shared" si="53"/>
        <v>0</v>
      </c>
      <c r="U101" s="406">
        <f t="shared" si="54"/>
        <v>25473.07132459971</v>
      </c>
      <c r="V101" s="409"/>
    </row>
    <row r="102" spans="2:22" ht="68.25" thickBot="1" x14ac:dyDescent="0.3">
      <c r="B102" s="54" t="s">
        <v>161</v>
      </c>
      <c r="C102" s="115" t="s">
        <v>162</v>
      </c>
      <c r="D102" s="83" t="s">
        <v>158</v>
      </c>
      <c r="E102" s="57">
        <v>500</v>
      </c>
      <c r="F102" s="289">
        <v>15000</v>
      </c>
      <c r="G102" s="290"/>
      <c r="H102" s="102">
        <f>E102*F102</f>
        <v>7500000</v>
      </c>
      <c r="I102" s="102">
        <f>E102*G102</f>
        <v>0</v>
      </c>
      <c r="J102" s="269">
        <f t="shared" si="74"/>
        <v>18195.050946142648</v>
      </c>
      <c r="K102" s="59"/>
      <c r="L102" s="59">
        <v>15000</v>
      </c>
      <c r="M102" s="60"/>
      <c r="N102" s="270">
        <f t="shared" si="75"/>
        <v>7500000</v>
      </c>
      <c r="O102" s="270">
        <f t="shared" si="75"/>
        <v>0</v>
      </c>
      <c r="P102" s="271">
        <f>O102+(N102/$K$2)</f>
        <v>18195.050946142648</v>
      </c>
      <c r="Q102" s="372">
        <f>F102</f>
        <v>15000</v>
      </c>
      <c r="R102" s="296">
        <f>G102</f>
        <v>0</v>
      </c>
      <c r="S102" s="299">
        <f t="shared" si="69"/>
        <v>7500000</v>
      </c>
      <c r="T102" s="299"/>
      <c r="U102" s="403">
        <f t="shared" si="54"/>
        <v>18195.050946142648</v>
      </c>
      <c r="V102" s="408" t="s">
        <v>660</v>
      </c>
    </row>
    <row r="103" spans="2:22" ht="12" thickBot="1" x14ac:dyDescent="0.3">
      <c r="B103" s="447" t="s">
        <v>163</v>
      </c>
      <c r="C103" s="448"/>
      <c r="D103" s="173"/>
      <c r="E103" s="286"/>
      <c r="F103" s="65"/>
      <c r="G103" s="63"/>
      <c r="H103" s="63">
        <f>SUM(H100:H102)</f>
        <v>27500000</v>
      </c>
      <c r="I103" s="63">
        <f t="shared" ref="I103:J103" si="76">SUM(I100:I102)</f>
        <v>0</v>
      </c>
      <c r="J103" s="64">
        <f t="shared" si="76"/>
        <v>66715.186802523036</v>
      </c>
      <c r="K103" s="65"/>
      <c r="L103" s="65"/>
      <c r="M103" s="63"/>
      <c r="N103" s="63">
        <f t="shared" ref="N103:P103" si="77">SUM(N100:N102)</f>
        <v>21500000</v>
      </c>
      <c r="O103" s="63">
        <f t="shared" si="77"/>
        <v>0</v>
      </c>
      <c r="P103" s="67">
        <f t="shared" si="77"/>
        <v>52159.146045608926</v>
      </c>
      <c r="Q103" s="282"/>
      <c r="R103" s="256"/>
      <c r="S103" s="63">
        <f t="shared" ref="S103:U103" si="78">SUM(S100:S102)</f>
        <v>20500000</v>
      </c>
      <c r="T103" s="63">
        <f t="shared" si="78"/>
        <v>0</v>
      </c>
      <c r="U103" s="67">
        <f t="shared" si="78"/>
        <v>49733.139252789908</v>
      </c>
      <c r="V103" s="409"/>
    </row>
    <row r="104" spans="2:22" ht="11.25" x14ac:dyDescent="0.25">
      <c r="B104" s="418" t="s">
        <v>164</v>
      </c>
      <c r="C104" s="419" t="s">
        <v>165</v>
      </c>
      <c r="D104" s="420"/>
      <c r="E104" s="70"/>
      <c r="F104" s="283"/>
      <c r="G104" s="284"/>
      <c r="H104" s="71"/>
      <c r="I104" s="71"/>
      <c r="J104" s="72"/>
      <c r="K104" s="73"/>
      <c r="L104" s="73"/>
      <c r="M104" s="74"/>
      <c r="N104" s="75"/>
      <c r="O104" s="75"/>
      <c r="P104" s="285"/>
      <c r="Q104" s="265"/>
      <c r="R104" s="75"/>
      <c r="S104" s="75"/>
      <c r="T104" s="75"/>
      <c r="U104" s="407">
        <f t="shared" si="54"/>
        <v>0</v>
      </c>
      <c r="V104" s="409"/>
    </row>
    <row r="105" spans="2:22" ht="106.5" customHeight="1" x14ac:dyDescent="0.25">
      <c r="B105" s="91" t="s">
        <v>166</v>
      </c>
      <c r="C105" s="35" t="s">
        <v>167</v>
      </c>
      <c r="D105" s="92" t="s">
        <v>158</v>
      </c>
      <c r="E105" s="37">
        <v>500</v>
      </c>
      <c r="F105" s="267">
        <v>100000</v>
      </c>
      <c r="G105" s="268"/>
      <c r="H105" s="39">
        <f>E105*F105</f>
        <v>50000000</v>
      </c>
      <c r="I105" s="39">
        <f>E105*G105</f>
        <v>0</v>
      </c>
      <c r="J105" s="269">
        <f t="shared" ref="J105:J106" si="79">(H105/412.2)+I105</f>
        <v>121300.339640951</v>
      </c>
      <c r="K105" s="40"/>
      <c r="L105" s="40">
        <v>32000</v>
      </c>
      <c r="M105" s="41"/>
      <c r="N105" s="270">
        <f t="shared" ref="N105:O106" si="80">$E105*L105</f>
        <v>16000000</v>
      </c>
      <c r="O105" s="270">
        <f t="shared" si="80"/>
        <v>0</v>
      </c>
      <c r="P105" s="271">
        <f>O105+(N105/$K$2)</f>
        <v>38816.108685104322</v>
      </c>
      <c r="Q105" s="137">
        <v>10000</v>
      </c>
      <c r="R105" s="79"/>
      <c r="S105" s="272">
        <f t="shared" si="69"/>
        <v>5000000</v>
      </c>
      <c r="T105" s="272">
        <f t="shared" si="53"/>
        <v>0</v>
      </c>
      <c r="U105" s="398">
        <f>T105+(S105/$K$2)</f>
        <v>12130.033964095101</v>
      </c>
      <c r="V105" s="409"/>
    </row>
    <row r="106" spans="2:22" ht="12" thickBot="1" x14ac:dyDescent="0.3">
      <c r="B106" s="98" t="s">
        <v>168</v>
      </c>
      <c r="C106" s="116" t="s">
        <v>169</v>
      </c>
      <c r="D106" s="100" t="s">
        <v>158</v>
      </c>
      <c r="E106" s="101">
        <v>100</v>
      </c>
      <c r="F106" s="289">
        <v>125000</v>
      </c>
      <c r="G106" s="290"/>
      <c r="H106" s="102">
        <f>E106*F106</f>
        <v>12500000</v>
      </c>
      <c r="I106" s="102">
        <f>E106*G106</f>
        <v>0</v>
      </c>
      <c r="J106" s="269">
        <f t="shared" si="79"/>
        <v>30325.084910237751</v>
      </c>
      <c r="K106" s="103"/>
      <c r="L106" s="103">
        <v>115000</v>
      </c>
      <c r="M106" s="105"/>
      <c r="N106" s="270">
        <f t="shared" si="80"/>
        <v>11500000</v>
      </c>
      <c r="O106" s="270">
        <f t="shared" si="80"/>
        <v>0</v>
      </c>
      <c r="P106" s="271">
        <f>O106+(N106/$K$2)</f>
        <v>27899.078117418729</v>
      </c>
      <c r="Q106" s="300">
        <v>10000</v>
      </c>
      <c r="R106" s="258"/>
      <c r="S106" s="301">
        <f t="shared" si="69"/>
        <v>1000000</v>
      </c>
      <c r="T106" s="301">
        <f t="shared" si="53"/>
        <v>0</v>
      </c>
      <c r="U106" s="397">
        <f>T106+(S106/$K$2)</f>
        <v>2426.0067928190201</v>
      </c>
      <c r="V106" s="409"/>
    </row>
    <row r="107" spans="2:22" ht="12" thickBot="1" x14ac:dyDescent="0.3">
      <c r="B107" s="447" t="s">
        <v>170</v>
      </c>
      <c r="C107" s="448"/>
      <c r="D107" s="173"/>
      <c r="E107" s="286"/>
      <c r="F107" s="65"/>
      <c r="G107" s="63"/>
      <c r="H107" s="63">
        <f>SUM(H105:H106)</f>
        <v>62500000</v>
      </c>
      <c r="I107" s="63">
        <f t="shared" ref="I107:J107" si="81">SUM(I105:I106)</f>
        <v>0</v>
      </c>
      <c r="J107" s="64">
        <f t="shared" si="81"/>
        <v>151625.42455118874</v>
      </c>
      <c r="K107" s="65"/>
      <c r="L107" s="65"/>
      <c r="M107" s="63"/>
      <c r="N107" s="63">
        <f t="shared" ref="N107:P107" si="82">SUM(N105:N106)</f>
        <v>27500000</v>
      </c>
      <c r="O107" s="63">
        <f t="shared" si="82"/>
        <v>0</v>
      </c>
      <c r="P107" s="67">
        <f t="shared" si="82"/>
        <v>66715.186802523051</v>
      </c>
      <c r="Q107" s="282"/>
      <c r="R107" s="256"/>
      <c r="S107" s="63">
        <f t="shared" ref="S107:U107" si="83">SUM(S105:S106)</f>
        <v>6000000</v>
      </c>
      <c r="T107" s="63">
        <f t="shared" si="83"/>
        <v>0</v>
      </c>
      <c r="U107" s="67">
        <f t="shared" si="83"/>
        <v>14556.040756914121</v>
      </c>
      <c r="V107" s="409"/>
    </row>
    <row r="108" spans="2:22" ht="11.25" x14ac:dyDescent="0.25">
      <c r="B108" s="418" t="s">
        <v>171</v>
      </c>
      <c r="C108" s="419" t="s">
        <v>172</v>
      </c>
      <c r="D108" s="420"/>
      <c r="E108" s="70"/>
      <c r="F108" s="283"/>
      <c r="G108" s="284"/>
      <c r="H108" s="71"/>
      <c r="I108" s="71"/>
      <c r="J108" s="72"/>
      <c r="K108" s="73"/>
      <c r="L108" s="73"/>
      <c r="M108" s="74"/>
      <c r="N108" s="75"/>
      <c r="O108" s="75"/>
      <c r="P108" s="285"/>
      <c r="Q108" s="275"/>
      <c r="R108" s="88"/>
      <c r="S108" s="88"/>
      <c r="T108" s="88"/>
      <c r="U108" s="287"/>
      <c r="V108" s="409"/>
    </row>
    <row r="109" spans="2:22" ht="11.25" x14ac:dyDescent="0.25">
      <c r="B109" s="91" t="s">
        <v>173</v>
      </c>
      <c r="C109" s="117" t="s">
        <v>174</v>
      </c>
      <c r="D109" s="118"/>
      <c r="E109" s="37"/>
      <c r="F109" s="267"/>
      <c r="G109" s="268"/>
      <c r="H109" s="86"/>
      <c r="I109" s="86"/>
      <c r="J109" s="87"/>
      <c r="K109" s="40"/>
      <c r="L109" s="40"/>
      <c r="M109" s="41"/>
      <c r="N109" s="88"/>
      <c r="O109" s="88"/>
      <c r="P109" s="287"/>
      <c r="Q109" s="137"/>
      <c r="R109" s="79"/>
      <c r="S109" s="79"/>
      <c r="T109" s="79"/>
      <c r="U109" s="287"/>
      <c r="V109" s="409"/>
    </row>
    <row r="110" spans="2:22" ht="11.25" x14ac:dyDescent="0.25">
      <c r="B110" s="51" t="s">
        <v>175</v>
      </c>
      <c r="C110" s="42" t="s">
        <v>176</v>
      </c>
      <c r="D110" s="53" t="s">
        <v>177</v>
      </c>
      <c r="E110" s="44">
        <v>2000</v>
      </c>
      <c r="F110" s="273">
        <v>1500</v>
      </c>
      <c r="G110" s="274"/>
      <c r="H110" s="46">
        <f>E110*F110</f>
        <v>3000000</v>
      </c>
      <c r="I110" s="46">
        <f>E110*G110</f>
        <v>0</v>
      </c>
      <c r="J110" s="269">
        <f t="shared" ref="J110:J120" si="84">(H110/412.2)+I110</f>
        <v>7278.0203784570595</v>
      </c>
      <c r="K110" s="47"/>
      <c r="L110" s="47">
        <v>1200</v>
      </c>
      <c r="M110" s="48"/>
      <c r="N110" s="270">
        <f t="shared" ref="N110:O120" si="85">$E110*L110</f>
        <v>2400000</v>
      </c>
      <c r="O110" s="270">
        <f t="shared" si="85"/>
        <v>0</v>
      </c>
      <c r="P110" s="271">
        <f t="shared" ref="P110:P120" si="86">O110+(N110/$K$2)</f>
        <v>5822.4163027656477</v>
      </c>
      <c r="Q110" s="137">
        <v>450</v>
      </c>
      <c r="R110" s="79"/>
      <c r="S110" s="272">
        <f t="shared" si="69"/>
        <v>900000</v>
      </c>
      <c r="T110" s="272">
        <f t="shared" si="53"/>
        <v>0</v>
      </c>
      <c r="U110" s="399">
        <f>T110+(S110/$K$2)</f>
        <v>2183.406113537118</v>
      </c>
      <c r="V110" s="409"/>
    </row>
    <row r="111" spans="2:22" ht="11.25" x14ac:dyDescent="0.25">
      <c r="B111" s="51" t="s">
        <v>178</v>
      </c>
      <c r="C111" s="42" t="s">
        <v>179</v>
      </c>
      <c r="D111" s="53" t="s">
        <v>177</v>
      </c>
      <c r="E111" s="44">
        <v>2000</v>
      </c>
      <c r="F111" s="273">
        <v>1500</v>
      </c>
      <c r="G111" s="274"/>
      <c r="H111" s="46">
        <f>E111*F111</f>
        <v>3000000</v>
      </c>
      <c r="I111" s="46">
        <f>E111*G111</f>
        <v>0</v>
      </c>
      <c r="J111" s="269">
        <f t="shared" si="84"/>
        <v>7278.0203784570595</v>
      </c>
      <c r="K111" s="47"/>
      <c r="L111" s="47">
        <v>1250</v>
      </c>
      <c r="M111" s="48"/>
      <c r="N111" s="270">
        <f t="shared" si="85"/>
        <v>2500000</v>
      </c>
      <c r="O111" s="270">
        <f t="shared" si="85"/>
        <v>0</v>
      </c>
      <c r="P111" s="271">
        <f t="shared" si="86"/>
        <v>6065.0169820475503</v>
      </c>
      <c r="Q111" s="137">
        <v>450</v>
      </c>
      <c r="R111" s="79"/>
      <c r="S111" s="272">
        <f t="shared" si="69"/>
        <v>900000</v>
      </c>
      <c r="T111" s="272">
        <f t="shared" si="53"/>
        <v>0</v>
      </c>
      <c r="U111" s="399">
        <f t="shared" ref="U111:U120" si="87">T111+(S111/$K$2)</f>
        <v>2183.406113537118</v>
      </c>
      <c r="V111" s="409"/>
    </row>
    <row r="112" spans="2:22" ht="11.25" x14ac:dyDescent="0.25">
      <c r="B112" s="51" t="s">
        <v>180</v>
      </c>
      <c r="C112" s="42" t="s">
        <v>181</v>
      </c>
      <c r="D112" s="53" t="s">
        <v>177</v>
      </c>
      <c r="E112" s="44">
        <v>2000</v>
      </c>
      <c r="F112" s="273">
        <v>1500</v>
      </c>
      <c r="G112" s="274"/>
      <c r="H112" s="46">
        <f>E112*F112</f>
        <v>3000000</v>
      </c>
      <c r="I112" s="46">
        <f>E112*G112</f>
        <v>0</v>
      </c>
      <c r="J112" s="269">
        <f t="shared" si="84"/>
        <v>7278.0203784570595</v>
      </c>
      <c r="K112" s="47"/>
      <c r="L112" s="47">
        <v>1200</v>
      </c>
      <c r="M112" s="48"/>
      <c r="N112" s="270">
        <f t="shared" si="85"/>
        <v>2400000</v>
      </c>
      <c r="O112" s="270">
        <f t="shared" si="85"/>
        <v>0</v>
      </c>
      <c r="P112" s="271">
        <f t="shared" si="86"/>
        <v>5822.4163027656477</v>
      </c>
      <c r="Q112" s="137">
        <v>450</v>
      </c>
      <c r="R112" s="79"/>
      <c r="S112" s="272">
        <f t="shared" si="69"/>
        <v>900000</v>
      </c>
      <c r="T112" s="272">
        <f t="shared" si="53"/>
        <v>0</v>
      </c>
      <c r="U112" s="399">
        <f t="shared" si="87"/>
        <v>2183.406113537118</v>
      </c>
      <c r="V112" s="409"/>
    </row>
    <row r="113" spans="2:22" ht="11.25" x14ac:dyDescent="0.25">
      <c r="B113" s="51" t="s">
        <v>182</v>
      </c>
      <c r="C113" s="42" t="s">
        <v>183</v>
      </c>
      <c r="D113" s="53" t="s">
        <v>177</v>
      </c>
      <c r="E113" s="44">
        <v>2000</v>
      </c>
      <c r="F113" s="273">
        <v>1500</v>
      </c>
      <c r="G113" s="274"/>
      <c r="H113" s="46">
        <f>E113*F113</f>
        <v>3000000</v>
      </c>
      <c r="I113" s="46">
        <f>E113*G113</f>
        <v>0</v>
      </c>
      <c r="J113" s="269">
        <f t="shared" si="84"/>
        <v>7278.0203784570595</v>
      </c>
      <c r="K113" s="47"/>
      <c r="L113" s="47">
        <v>1250</v>
      </c>
      <c r="M113" s="48"/>
      <c r="N113" s="270">
        <f t="shared" si="85"/>
        <v>2500000</v>
      </c>
      <c r="O113" s="270">
        <f t="shared" si="85"/>
        <v>0</v>
      </c>
      <c r="P113" s="271">
        <f t="shared" si="86"/>
        <v>6065.0169820475503</v>
      </c>
      <c r="Q113" s="137">
        <v>720</v>
      </c>
      <c r="R113" s="79"/>
      <c r="S113" s="272">
        <f t="shared" si="69"/>
        <v>1440000</v>
      </c>
      <c r="T113" s="272">
        <f t="shared" si="53"/>
        <v>0</v>
      </c>
      <c r="U113" s="397">
        <f t="shared" si="87"/>
        <v>3493.4497816593889</v>
      </c>
      <c r="V113" s="409"/>
    </row>
    <row r="114" spans="2:22" ht="11.25" x14ac:dyDescent="0.25">
      <c r="B114" s="51" t="s">
        <v>184</v>
      </c>
      <c r="C114" s="119" t="s">
        <v>185</v>
      </c>
      <c r="D114" s="120"/>
      <c r="E114" s="44"/>
      <c r="F114" s="273"/>
      <c r="G114" s="274"/>
      <c r="H114" s="46"/>
      <c r="I114" s="46"/>
      <c r="J114" s="269">
        <f t="shared" si="84"/>
        <v>0</v>
      </c>
      <c r="K114" s="47"/>
      <c r="L114" s="47"/>
      <c r="M114" s="48"/>
      <c r="N114" s="270">
        <f t="shared" si="85"/>
        <v>0</v>
      </c>
      <c r="O114" s="270">
        <f t="shared" si="85"/>
        <v>0</v>
      </c>
      <c r="P114" s="271">
        <f t="shared" si="86"/>
        <v>0</v>
      </c>
      <c r="Q114" s="275"/>
      <c r="R114" s="88"/>
      <c r="S114" s="276">
        <f t="shared" si="69"/>
        <v>0</v>
      </c>
      <c r="T114" s="276">
        <f t="shared" si="53"/>
        <v>0</v>
      </c>
      <c r="U114" s="406">
        <f t="shared" si="87"/>
        <v>0</v>
      </c>
      <c r="V114" s="409"/>
    </row>
    <row r="115" spans="2:22" ht="11.25" x14ac:dyDescent="0.25">
      <c r="B115" s="51" t="s">
        <v>186</v>
      </c>
      <c r="C115" s="42" t="s">
        <v>187</v>
      </c>
      <c r="D115" s="53" t="s">
        <v>177</v>
      </c>
      <c r="E115" s="44">
        <v>2000</v>
      </c>
      <c r="F115" s="273">
        <v>1500</v>
      </c>
      <c r="G115" s="274"/>
      <c r="H115" s="46">
        <f>E115*F115</f>
        <v>3000000</v>
      </c>
      <c r="I115" s="46">
        <f>E115*G115</f>
        <v>0</v>
      </c>
      <c r="J115" s="269">
        <f t="shared" si="84"/>
        <v>7278.0203784570595</v>
      </c>
      <c r="K115" s="47"/>
      <c r="L115" s="47">
        <v>1200</v>
      </c>
      <c r="M115" s="48"/>
      <c r="N115" s="270">
        <f t="shared" si="85"/>
        <v>2400000</v>
      </c>
      <c r="O115" s="270">
        <f t="shared" si="85"/>
        <v>0</v>
      </c>
      <c r="P115" s="271">
        <f t="shared" si="86"/>
        <v>5822.4163027656477</v>
      </c>
      <c r="Q115" s="137">
        <v>450</v>
      </c>
      <c r="R115" s="79"/>
      <c r="S115" s="272">
        <f t="shared" si="69"/>
        <v>900000</v>
      </c>
      <c r="T115" s="272">
        <f t="shared" si="53"/>
        <v>0</v>
      </c>
      <c r="U115" s="398">
        <f t="shared" si="87"/>
        <v>2183.406113537118</v>
      </c>
      <c r="V115" s="409"/>
    </row>
    <row r="116" spans="2:22" ht="11.25" x14ac:dyDescent="0.25">
      <c r="B116" s="51" t="s">
        <v>188</v>
      </c>
      <c r="C116" s="42" t="s">
        <v>189</v>
      </c>
      <c r="D116" s="53" t="s">
        <v>177</v>
      </c>
      <c r="E116" s="44">
        <v>2000</v>
      </c>
      <c r="F116" s="273">
        <v>1500</v>
      </c>
      <c r="G116" s="274"/>
      <c r="H116" s="46">
        <f>E116*F116</f>
        <v>3000000</v>
      </c>
      <c r="I116" s="46">
        <f>E116*G116</f>
        <v>0</v>
      </c>
      <c r="J116" s="269">
        <f t="shared" si="84"/>
        <v>7278.0203784570595</v>
      </c>
      <c r="K116" s="47"/>
      <c r="L116" s="47">
        <v>1250</v>
      </c>
      <c r="M116" s="48"/>
      <c r="N116" s="270">
        <f t="shared" si="85"/>
        <v>2500000</v>
      </c>
      <c r="O116" s="270">
        <f t="shared" si="85"/>
        <v>0</v>
      </c>
      <c r="P116" s="271">
        <f t="shared" si="86"/>
        <v>6065.0169820475503</v>
      </c>
      <c r="Q116" s="137">
        <v>450</v>
      </c>
      <c r="R116" s="79"/>
      <c r="S116" s="272">
        <f t="shared" si="69"/>
        <v>900000</v>
      </c>
      <c r="T116" s="272">
        <f t="shared" si="53"/>
        <v>0</v>
      </c>
      <c r="U116" s="399">
        <f t="shared" si="87"/>
        <v>2183.406113537118</v>
      </c>
      <c r="V116" s="409"/>
    </row>
    <row r="117" spans="2:22" ht="11.25" x14ac:dyDescent="0.25">
      <c r="B117" s="51" t="s">
        <v>190</v>
      </c>
      <c r="C117" s="42" t="s">
        <v>191</v>
      </c>
      <c r="D117" s="53" t="s">
        <v>177</v>
      </c>
      <c r="E117" s="44">
        <v>2000</v>
      </c>
      <c r="F117" s="273">
        <v>1500</v>
      </c>
      <c r="G117" s="274"/>
      <c r="H117" s="46">
        <f>E117*F117</f>
        <v>3000000</v>
      </c>
      <c r="I117" s="46">
        <f>E117*G117</f>
        <v>0</v>
      </c>
      <c r="J117" s="269">
        <f t="shared" si="84"/>
        <v>7278.0203784570595</v>
      </c>
      <c r="K117" s="47"/>
      <c r="L117" s="47">
        <v>1200</v>
      </c>
      <c r="M117" s="48"/>
      <c r="N117" s="270">
        <f t="shared" si="85"/>
        <v>2400000</v>
      </c>
      <c r="O117" s="270">
        <f t="shared" si="85"/>
        <v>0</v>
      </c>
      <c r="P117" s="271">
        <f t="shared" si="86"/>
        <v>5822.4163027656477</v>
      </c>
      <c r="Q117" s="137">
        <v>450</v>
      </c>
      <c r="R117" s="79"/>
      <c r="S117" s="272">
        <f t="shared" si="69"/>
        <v>900000</v>
      </c>
      <c r="T117" s="272">
        <f t="shared" si="53"/>
        <v>0</v>
      </c>
      <c r="U117" s="397">
        <f t="shared" si="87"/>
        <v>2183.406113537118</v>
      </c>
      <c r="V117" s="409"/>
    </row>
    <row r="118" spans="2:22" ht="11.25" x14ac:dyDescent="0.25">
      <c r="B118" s="51" t="s">
        <v>192</v>
      </c>
      <c r="C118" s="119" t="s">
        <v>193</v>
      </c>
      <c r="D118" s="120"/>
      <c r="E118" s="44"/>
      <c r="F118" s="273"/>
      <c r="G118" s="274"/>
      <c r="H118" s="46"/>
      <c r="I118" s="46"/>
      <c r="J118" s="269">
        <f t="shared" si="84"/>
        <v>0</v>
      </c>
      <c r="K118" s="47"/>
      <c r="L118" s="47"/>
      <c r="M118" s="48"/>
      <c r="N118" s="270">
        <f t="shared" si="85"/>
        <v>0</v>
      </c>
      <c r="O118" s="270">
        <f t="shared" si="85"/>
        <v>0</v>
      </c>
      <c r="P118" s="271">
        <f t="shared" si="86"/>
        <v>0</v>
      </c>
      <c r="Q118" s="275"/>
      <c r="R118" s="88"/>
      <c r="S118" s="276">
        <f t="shared" si="69"/>
        <v>0</v>
      </c>
      <c r="T118" s="276">
        <f t="shared" si="53"/>
        <v>0</v>
      </c>
      <c r="U118" s="406">
        <f t="shared" si="87"/>
        <v>0</v>
      </c>
      <c r="V118" s="409"/>
    </row>
    <row r="119" spans="2:22" ht="11.25" x14ac:dyDescent="0.25">
      <c r="B119" s="51" t="s">
        <v>194</v>
      </c>
      <c r="C119" s="42" t="s">
        <v>195</v>
      </c>
      <c r="D119" s="53" t="s">
        <v>177</v>
      </c>
      <c r="E119" s="44">
        <v>2000</v>
      </c>
      <c r="F119" s="273">
        <v>1500</v>
      </c>
      <c r="G119" s="274"/>
      <c r="H119" s="46">
        <f>E119*F119</f>
        <v>3000000</v>
      </c>
      <c r="I119" s="46">
        <f>E119*G119</f>
        <v>0</v>
      </c>
      <c r="J119" s="269">
        <f t="shared" si="84"/>
        <v>7278.0203784570595</v>
      </c>
      <c r="K119" s="47"/>
      <c r="L119" s="47">
        <v>1500</v>
      </c>
      <c r="M119" s="48"/>
      <c r="N119" s="270">
        <f t="shared" si="85"/>
        <v>3000000</v>
      </c>
      <c r="O119" s="270">
        <f t="shared" si="85"/>
        <v>0</v>
      </c>
      <c r="P119" s="271">
        <f t="shared" si="86"/>
        <v>7278.0203784570595</v>
      </c>
      <c r="Q119" s="137">
        <v>450</v>
      </c>
      <c r="R119" s="79"/>
      <c r="S119" s="272">
        <f t="shared" si="69"/>
        <v>900000</v>
      </c>
      <c r="T119" s="272">
        <f t="shared" si="53"/>
        <v>0</v>
      </c>
      <c r="U119" s="398">
        <f t="shared" si="87"/>
        <v>2183.406113537118</v>
      </c>
      <c r="V119" s="409"/>
    </row>
    <row r="120" spans="2:22" ht="12" thickBot="1" x14ac:dyDescent="0.3">
      <c r="B120" s="98" t="s">
        <v>196</v>
      </c>
      <c r="C120" s="116" t="s">
        <v>191</v>
      </c>
      <c r="D120" s="100" t="s">
        <v>177</v>
      </c>
      <c r="E120" s="101">
        <v>2000</v>
      </c>
      <c r="F120" s="289">
        <v>1500</v>
      </c>
      <c r="G120" s="290"/>
      <c r="H120" s="102">
        <f>E120*F120</f>
        <v>3000000</v>
      </c>
      <c r="I120" s="102">
        <f>E120*G120</f>
        <v>0</v>
      </c>
      <c r="J120" s="269">
        <f t="shared" si="84"/>
        <v>7278.0203784570595</v>
      </c>
      <c r="K120" s="103"/>
      <c r="L120" s="103">
        <v>1500</v>
      </c>
      <c r="M120" s="105"/>
      <c r="N120" s="270">
        <f t="shared" si="85"/>
        <v>3000000</v>
      </c>
      <c r="O120" s="270">
        <f t="shared" si="85"/>
        <v>0</v>
      </c>
      <c r="P120" s="271">
        <f t="shared" si="86"/>
        <v>7278.0203784570595</v>
      </c>
      <c r="Q120" s="280">
        <v>450</v>
      </c>
      <c r="R120" s="104"/>
      <c r="S120" s="281">
        <f t="shared" si="69"/>
        <v>900000</v>
      </c>
      <c r="T120" s="281">
        <f t="shared" si="53"/>
        <v>0</v>
      </c>
      <c r="U120" s="400">
        <f t="shared" si="87"/>
        <v>2183.406113537118</v>
      </c>
      <c r="V120" s="409"/>
    </row>
    <row r="121" spans="2:22" ht="12" thickBot="1" x14ac:dyDescent="0.3">
      <c r="B121" s="447" t="s">
        <v>197</v>
      </c>
      <c r="C121" s="448"/>
      <c r="D121" s="121"/>
      <c r="E121" s="122"/>
      <c r="F121" s="65"/>
      <c r="G121" s="63"/>
      <c r="H121" s="63">
        <f>SUM(H110:H120)</f>
        <v>27000000</v>
      </c>
      <c r="I121" s="63">
        <f t="shared" ref="I121:J121" si="88">SUM(I110:I120)</f>
        <v>0</v>
      </c>
      <c r="J121" s="64">
        <f t="shared" si="88"/>
        <v>65502.183406113545</v>
      </c>
      <c r="K121" s="65"/>
      <c r="L121" s="65"/>
      <c r="M121" s="63"/>
      <c r="N121" s="63">
        <f t="shared" ref="N121:P121" si="89">SUM(N110:N120)</f>
        <v>23100000</v>
      </c>
      <c r="O121" s="63">
        <f t="shared" si="89"/>
        <v>0</v>
      </c>
      <c r="P121" s="67">
        <f t="shared" si="89"/>
        <v>56040.756914119367</v>
      </c>
      <c r="Q121" s="282"/>
      <c r="R121" s="256"/>
      <c r="S121" s="63">
        <f t="shared" ref="S121:U121" si="90">SUM(S110:S120)</f>
        <v>8640000</v>
      </c>
      <c r="T121" s="63">
        <f t="shared" si="90"/>
        <v>0</v>
      </c>
      <c r="U121" s="67">
        <f t="shared" si="90"/>
        <v>20960.698689956334</v>
      </c>
      <c r="V121" s="409"/>
    </row>
    <row r="122" spans="2:22" ht="11.25" x14ac:dyDescent="0.25">
      <c r="B122" s="418" t="s">
        <v>198</v>
      </c>
      <c r="C122" s="419" t="s">
        <v>199</v>
      </c>
      <c r="D122" s="420"/>
      <c r="E122" s="70"/>
      <c r="F122" s="283"/>
      <c r="G122" s="284"/>
      <c r="H122" s="71"/>
      <c r="I122" s="71"/>
      <c r="J122" s="72"/>
      <c r="K122" s="73"/>
      <c r="L122" s="73"/>
      <c r="M122" s="74"/>
      <c r="N122" s="75"/>
      <c r="O122" s="75"/>
      <c r="P122" s="285"/>
      <c r="Q122" s="265"/>
      <c r="R122" s="75"/>
      <c r="S122" s="75"/>
      <c r="T122" s="75"/>
      <c r="U122" s="285"/>
      <c r="V122" s="409"/>
    </row>
    <row r="123" spans="2:22" ht="11.25" x14ac:dyDescent="0.25">
      <c r="B123" s="51" t="s">
        <v>200</v>
      </c>
      <c r="C123" s="123" t="s">
        <v>201</v>
      </c>
      <c r="D123" s="120"/>
      <c r="E123" s="44"/>
      <c r="F123" s="273"/>
      <c r="G123" s="274"/>
      <c r="H123" s="77"/>
      <c r="I123" s="77"/>
      <c r="J123" s="78"/>
      <c r="K123" s="47"/>
      <c r="L123" s="47"/>
      <c r="M123" s="48"/>
      <c r="N123" s="79"/>
      <c r="O123" s="79"/>
      <c r="P123" s="277"/>
      <c r="Q123" s="137"/>
      <c r="R123" s="79"/>
      <c r="S123" s="79"/>
      <c r="T123" s="79"/>
      <c r="U123" s="277"/>
      <c r="V123" s="409"/>
    </row>
    <row r="124" spans="2:22" ht="11.25" x14ac:dyDescent="0.25">
      <c r="B124" s="449" t="s">
        <v>202</v>
      </c>
      <c r="C124" s="42" t="s">
        <v>203</v>
      </c>
      <c r="D124" s="124"/>
      <c r="E124" s="44"/>
      <c r="F124" s="273"/>
      <c r="G124" s="274"/>
      <c r="H124" s="77"/>
      <c r="I124" s="77"/>
      <c r="J124" s="78"/>
      <c r="K124" s="47"/>
      <c r="L124" s="47"/>
      <c r="M124" s="48"/>
      <c r="N124" s="79"/>
      <c r="O124" s="79"/>
      <c r="P124" s="277"/>
      <c r="Q124" s="137"/>
      <c r="R124" s="79"/>
      <c r="S124" s="79"/>
      <c r="T124" s="79"/>
      <c r="U124" s="277"/>
      <c r="V124" s="409"/>
    </row>
    <row r="125" spans="2:22" ht="13.5" customHeight="1" x14ac:dyDescent="0.25">
      <c r="B125" s="449"/>
      <c r="C125" s="42" t="s">
        <v>204</v>
      </c>
      <c r="D125" s="53" t="s">
        <v>177</v>
      </c>
      <c r="E125" s="44">
        <v>20000</v>
      </c>
      <c r="F125" s="273">
        <v>12000</v>
      </c>
      <c r="G125" s="274">
        <v>10</v>
      </c>
      <c r="H125" s="46">
        <f>E125*F125</f>
        <v>240000000</v>
      </c>
      <c r="I125" s="46">
        <f>E125*G125</f>
        <v>200000</v>
      </c>
      <c r="J125" s="269">
        <f t="shared" ref="J125:J164" si="91">(H125/412.2)+I125</f>
        <v>782241.63027656474</v>
      </c>
      <c r="K125" s="47"/>
      <c r="L125" s="47">
        <v>8000</v>
      </c>
      <c r="M125" s="48">
        <v>9</v>
      </c>
      <c r="N125" s="270">
        <f t="shared" ref="N125:O125" si="92">$E125*L125</f>
        <v>160000000</v>
      </c>
      <c r="O125" s="270">
        <f t="shared" si="92"/>
        <v>180000</v>
      </c>
      <c r="P125" s="271">
        <f>O125+(N125/$K$2)</f>
        <v>568161.08685104316</v>
      </c>
      <c r="Q125" s="137">
        <v>8500</v>
      </c>
      <c r="R125" s="88">
        <v>0</v>
      </c>
      <c r="S125" s="272">
        <f t="shared" si="69"/>
        <v>170000000</v>
      </c>
      <c r="T125" s="272">
        <f t="shared" si="53"/>
        <v>0</v>
      </c>
      <c r="U125" s="397">
        <f>T125+(S125/$K$2)</f>
        <v>412421.15477923339</v>
      </c>
      <c r="V125" s="409"/>
    </row>
    <row r="126" spans="2:22" ht="11.25" x14ac:dyDescent="0.25">
      <c r="B126" s="51" t="s">
        <v>205</v>
      </c>
      <c r="C126" s="123" t="s">
        <v>206</v>
      </c>
      <c r="D126" s="120"/>
      <c r="E126" s="44"/>
      <c r="F126" s="273"/>
      <c r="G126" s="274"/>
      <c r="H126" s="46"/>
      <c r="I126" s="46"/>
      <c r="J126" s="269">
        <f t="shared" si="91"/>
        <v>0</v>
      </c>
      <c r="K126" s="47"/>
      <c r="L126" s="47"/>
      <c r="M126" s="48"/>
      <c r="N126" s="302"/>
      <c r="O126" s="302"/>
      <c r="P126" s="303"/>
      <c r="Q126" s="275"/>
      <c r="R126" s="88"/>
      <c r="S126" s="276"/>
      <c r="T126" s="276"/>
      <c r="U126" s="406">
        <f>T126+(S126/$K$2)</f>
        <v>0</v>
      </c>
      <c r="V126" s="409"/>
    </row>
    <row r="127" spans="2:22" ht="22.5" x14ac:dyDescent="0.25">
      <c r="B127" s="51" t="s">
        <v>207</v>
      </c>
      <c r="C127" s="42" t="s">
        <v>208</v>
      </c>
      <c r="D127" s="53" t="s">
        <v>177</v>
      </c>
      <c r="E127" s="44">
        <v>75000</v>
      </c>
      <c r="F127" s="273">
        <v>12000</v>
      </c>
      <c r="G127" s="274">
        <v>10</v>
      </c>
      <c r="H127" s="46">
        <f>E127*F127</f>
        <v>900000000</v>
      </c>
      <c r="I127" s="46">
        <f>E127*G127</f>
        <v>750000</v>
      </c>
      <c r="J127" s="269">
        <f t="shared" si="91"/>
        <v>2933406.1135371178</v>
      </c>
      <c r="K127" s="47"/>
      <c r="L127" s="47">
        <v>8500</v>
      </c>
      <c r="M127" s="48">
        <v>5</v>
      </c>
      <c r="N127" s="270">
        <f t="shared" ref="N127:O127" si="93">$E127*L127</f>
        <v>637500000</v>
      </c>
      <c r="O127" s="270">
        <f t="shared" si="93"/>
        <v>375000</v>
      </c>
      <c r="P127" s="271">
        <f>O127+(N127/$K$2)</f>
        <v>1921579.3304221253</v>
      </c>
      <c r="Q127" s="137">
        <v>10000</v>
      </c>
      <c r="R127" s="88">
        <v>0</v>
      </c>
      <c r="S127" s="272">
        <f t="shared" si="69"/>
        <v>750000000</v>
      </c>
      <c r="T127" s="272">
        <f t="shared" si="53"/>
        <v>0</v>
      </c>
      <c r="U127" s="398">
        <f t="shared" ref="U127:U164" si="94">T127+(S127/$K$2)</f>
        <v>1819505.094614265</v>
      </c>
      <c r="V127" s="409"/>
    </row>
    <row r="128" spans="2:22" ht="15.6" customHeight="1" x14ac:dyDescent="0.25">
      <c r="B128" s="51" t="s">
        <v>209</v>
      </c>
      <c r="C128" s="123" t="s">
        <v>210</v>
      </c>
      <c r="D128" s="120"/>
      <c r="E128" s="44"/>
      <c r="F128" s="273"/>
      <c r="G128" s="274"/>
      <c r="H128" s="46"/>
      <c r="I128" s="46"/>
      <c r="J128" s="269">
        <f t="shared" si="91"/>
        <v>0</v>
      </c>
      <c r="K128" s="47"/>
      <c r="L128" s="47"/>
      <c r="M128" s="48"/>
      <c r="N128" s="302"/>
      <c r="O128" s="302"/>
      <c r="P128" s="303"/>
      <c r="Q128" s="275"/>
      <c r="R128" s="88"/>
      <c r="S128" s="276"/>
      <c r="T128" s="276"/>
      <c r="U128" s="398"/>
      <c r="V128" s="409"/>
    </row>
    <row r="129" spans="2:22" ht="45.95" customHeight="1" x14ac:dyDescent="0.25">
      <c r="B129" s="51" t="s">
        <v>211</v>
      </c>
      <c r="C129" s="42" t="s">
        <v>212</v>
      </c>
      <c r="D129" s="53" t="s">
        <v>177</v>
      </c>
      <c r="E129" s="44">
        <v>75000</v>
      </c>
      <c r="F129" s="273">
        <v>12000</v>
      </c>
      <c r="G129" s="274">
        <v>10</v>
      </c>
      <c r="H129" s="46">
        <f>E129*F129</f>
        <v>900000000</v>
      </c>
      <c r="I129" s="46">
        <f>E129*G129</f>
        <v>750000</v>
      </c>
      <c r="J129" s="269">
        <f t="shared" si="91"/>
        <v>2933406.1135371178</v>
      </c>
      <c r="K129" s="47"/>
      <c r="L129" s="47">
        <v>8500</v>
      </c>
      <c r="M129" s="48">
        <v>4</v>
      </c>
      <c r="N129" s="270">
        <f t="shared" ref="N129:O129" si="95">$E129*L129</f>
        <v>637500000</v>
      </c>
      <c r="O129" s="270">
        <f t="shared" si="95"/>
        <v>300000</v>
      </c>
      <c r="P129" s="271">
        <f>O129+(N129/$K$2)</f>
        <v>1846579.3304221253</v>
      </c>
      <c r="Q129" s="137">
        <v>10000</v>
      </c>
      <c r="R129" s="88">
        <v>0</v>
      </c>
      <c r="S129" s="272">
        <f t="shared" si="69"/>
        <v>750000000</v>
      </c>
      <c r="T129" s="272">
        <f t="shared" si="53"/>
        <v>0</v>
      </c>
      <c r="U129" s="397">
        <f t="shared" si="94"/>
        <v>1819505.094614265</v>
      </c>
      <c r="V129" s="409"/>
    </row>
    <row r="130" spans="2:22" ht="11.25" x14ac:dyDescent="0.25">
      <c r="B130" s="51" t="s">
        <v>213</v>
      </c>
      <c r="C130" s="123" t="s">
        <v>214</v>
      </c>
      <c r="D130" s="120"/>
      <c r="E130" s="44"/>
      <c r="F130" s="273"/>
      <c r="G130" s="274"/>
      <c r="H130" s="46"/>
      <c r="I130" s="46"/>
      <c r="J130" s="269">
        <f t="shared" si="91"/>
        <v>0</v>
      </c>
      <c r="K130" s="47"/>
      <c r="L130" s="47"/>
      <c r="M130" s="48"/>
      <c r="N130" s="302"/>
      <c r="O130" s="302"/>
      <c r="P130" s="303"/>
      <c r="Q130" s="275"/>
      <c r="R130" s="88"/>
      <c r="S130" s="276"/>
      <c r="T130" s="276"/>
      <c r="U130" s="398"/>
      <c r="V130" s="409"/>
    </row>
    <row r="131" spans="2:22" ht="22.5" x14ac:dyDescent="0.25">
      <c r="B131" s="51" t="s">
        <v>215</v>
      </c>
      <c r="C131" s="42" t="s">
        <v>216</v>
      </c>
      <c r="D131" s="53" t="s">
        <v>177</v>
      </c>
      <c r="E131" s="44">
        <v>20000</v>
      </c>
      <c r="F131" s="273">
        <v>20000</v>
      </c>
      <c r="G131" s="274">
        <v>20</v>
      </c>
      <c r="H131" s="46">
        <f>E131*F131</f>
        <v>400000000</v>
      </c>
      <c r="I131" s="46">
        <f>E131*G131</f>
        <v>400000</v>
      </c>
      <c r="J131" s="269">
        <f t="shared" si="91"/>
        <v>1370402.7171276081</v>
      </c>
      <c r="K131" s="47"/>
      <c r="L131" s="47">
        <v>12000</v>
      </c>
      <c r="M131" s="48">
        <v>12</v>
      </c>
      <c r="N131" s="270">
        <f t="shared" ref="N131:O133" si="96">$E131*L131</f>
        <v>240000000</v>
      </c>
      <c r="O131" s="270">
        <f t="shared" si="96"/>
        <v>240000</v>
      </c>
      <c r="P131" s="271">
        <f>O131+(N131/$K$2)</f>
        <v>822241.63027656474</v>
      </c>
      <c r="Q131" s="137">
        <v>25000</v>
      </c>
      <c r="R131" s="88">
        <v>0</v>
      </c>
      <c r="S131" s="272">
        <f t="shared" si="69"/>
        <v>500000000</v>
      </c>
      <c r="T131" s="272">
        <f t="shared" si="53"/>
        <v>0</v>
      </c>
      <c r="U131" s="399">
        <f t="shared" si="94"/>
        <v>1213003.3964095099</v>
      </c>
      <c r="V131" s="409"/>
    </row>
    <row r="132" spans="2:22" ht="16.5" customHeight="1" x14ac:dyDescent="0.25">
      <c r="B132" s="51" t="s">
        <v>217</v>
      </c>
      <c r="C132" s="42" t="s">
        <v>218</v>
      </c>
      <c r="D132" s="53" t="s">
        <v>177</v>
      </c>
      <c r="E132" s="44">
        <v>75000</v>
      </c>
      <c r="F132" s="273">
        <v>10000</v>
      </c>
      <c r="G132" s="274"/>
      <c r="H132" s="46">
        <f>E132*F132</f>
        <v>750000000</v>
      </c>
      <c r="I132" s="46">
        <f>E132*G132</f>
        <v>0</v>
      </c>
      <c r="J132" s="269">
        <f t="shared" si="91"/>
        <v>1819505.094614265</v>
      </c>
      <c r="K132" s="47"/>
      <c r="L132" s="47">
        <v>8000</v>
      </c>
      <c r="M132" s="48"/>
      <c r="N132" s="270">
        <f t="shared" si="96"/>
        <v>600000000</v>
      </c>
      <c r="O132" s="270"/>
      <c r="P132" s="271">
        <f>O132+(N132/$K$2)</f>
        <v>1455604.075691412</v>
      </c>
      <c r="Q132" s="137">
        <v>7000</v>
      </c>
      <c r="R132" s="79"/>
      <c r="S132" s="272">
        <f t="shared" si="69"/>
        <v>525000000</v>
      </c>
      <c r="T132" s="272">
        <f t="shared" si="53"/>
        <v>0</v>
      </c>
      <c r="U132" s="397">
        <f t="shared" si="94"/>
        <v>1273653.5662299856</v>
      </c>
      <c r="V132" s="409"/>
    </row>
    <row r="133" spans="2:22" ht="18.600000000000001" customHeight="1" x14ac:dyDescent="0.25">
      <c r="B133" s="51" t="s">
        <v>219</v>
      </c>
      <c r="C133" s="42" t="s">
        <v>220</v>
      </c>
      <c r="D133" s="53" t="s">
        <v>177</v>
      </c>
      <c r="E133" s="44">
        <v>75000</v>
      </c>
      <c r="F133" s="273">
        <v>15000</v>
      </c>
      <c r="G133" s="274">
        <v>100</v>
      </c>
      <c r="H133" s="46">
        <f>E133*F133</f>
        <v>1125000000</v>
      </c>
      <c r="I133" s="46">
        <f>G133*E133</f>
        <v>7500000</v>
      </c>
      <c r="J133" s="269">
        <f t="shared" si="91"/>
        <v>10229257.641921397</v>
      </c>
      <c r="K133" s="47"/>
      <c r="L133" s="47">
        <v>6000</v>
      </c>
      <c r="M133" s="48">
        <v>25</v>
      </c>
      <c r="N133" s="270">
        <f t="shared" si="96"/>
        <v>450000000</v>
      </c>
      <c r="O133" s="270">
        <f t="shared" si="96"/>
        <v>1875000</v>
      </c>
      <c r="P133" s="271">
        <f>O133+(N133/$K$2)</f>
        <v>2966703.0567685589</v>
      </c>
      <c r="Q133" s="368">
        <f>F133</f>
        <v>15000</v>
      </c>
      <c r="R133" s="88">
        <f>G133</f>
        <v>100</v>
      </c>
      <c r="S133" s="276">
        <f t="shared" ref="S133" si="97">$E133*Q133</f>
        <v>1125000000</v>
      </c>
      <c r="T133" s="276">
        <f t="shared" ref="T133" si="98">$E133*R133</f>
        <v>7500000</v>
      </c>
      <c r="U133" s="398">
        <f t="shared" si="94"/>
        <v>10229257.641921397</v>
      </c>
      <c r="V133" s="408" t="s">
        <v>668</v>
      </c>
    </row>
    <row r="134" spans="2:22" ht="11.25" x14ac:dyDescent="0.25">
      <c r="B134" s="51" t="s">
        <v>221</v>
      </c>
      <c r="C134" s="123" t="s">
        <v>222</v>
      </c>
      <c r="D134" s="120"/>
      <c r="E134" s="44"/>
      <c r="F134" s="273"/>
      <c r="G134" s="274"/>
      <c r="H134" s="46"/>
      <c r="I134" s="46"/>
      <c r="J134" s="269">
        <f t="shared" si="91"/>
        <v>0</v>
      </c>
      <c r="K134" s="47"/>
      <c r="L134" s="47"/>
      <c r="M134" s="48"/>
      <c r="N134" s="302"/>
      <c r="O134" s="302"/>
      <c r="P134" s="303"/>
      <c r="Q134" s="137"/>
      <c r="R134" s="79"/>
      <c r="S134" s="272"/>
      <c r="T134" s="272"/>
      <c r="U134" s="398"/>
      <c r="V134" s="409"/>
    </row>
    <row r="135" spans="2:22" ht="11.25" x14ac:dyDescent="0.25">
      <c r="B135" s="51" t="s">
        <v>223</v>
      </c>
      <c r="C135" s="42" t="s">
        <v>224</v>
      </c>
      <c r="D135" s="53" t="s">
        <v>177</v>
      </c>
      <c r="E135" s="44">
        <v>15000</v>
      </c>
      <c r="F135" s="273">
        <v>1500</v>
      </c>
      <c r="G135" s="274"/>
      <c r="H135" s="46">
        <f>E135*F135</f>
        <v>22500000</v>
      </c>
      <c r="I135" s="46">
        <f>E135*G135</f>
        <v>0</v>
      </c>
      <c r="J135" s="269">
        <f t="shared" si="91"/>
        <v>54585.152838427952</v>
      </c>
      <c r="K135" s="47"/>
      <c r="L135" s="47">
        <v>1100</v>
      </c>
      <c r="M135" s="48"/>
      <c r="N135" s="270">
        <f t="shared" ref="N135:O139" si="99">$E135*L135</f>
        <v>16500000</v>
      </c>
      <c r="O135" s="270">
        <f t="shared" si="99"/>
        <v>0</v>
      </c>
      <c r="P135" s="271">
        <f>O135+(N135/$K$2)</f>
        <v>40029.112081513827</v>
      </c>
      <c r="Q135" s="137">
        <v>900</v>
      </c>
      <c r="R135" s="79"/>
      <c r="S135" s="272">
        <f t="shared" si="69"/>
        <v>13500000</v>
      </c>
      <c r="T135" s="272">
        <f t="shared" si="53"/>
        <v>0</v>
      </c>
      <c r="U135" s="399">
        <f t="shared" si="94"/>
        <v>32751.091703056769</v>
      </c>
      <c r="V135" s="409"/>
    </row>
    <row r="136" spans="2:22" ht="11.25" x14ac:dyDescent="0.25">
      <c r="B136" s="51" t="s">
        <v>225</v>
      </c>
      <c r="C136" s="42" t="s">
        <v>226</v>
      </c>
      <c r="D136" s="53" t="s">
        <v>177</v>
      </c>
      <c r="E136" s="44">
        <v>15000</v>
      </c>
      <c r="F136" s="273">
        <v>1500</v>
      </c>
      <c r="G136" s="274"/>
      <c r="H136" s="46">
        <f>E136*F136</f>
        <v>22500000</v>
      </c>
      <c r="I136" s="46">
        <f>E136*G136</f>
        <v>0</v>
      </c>
      <c r="J136" s="269">
        <f t="shared" si="91"/>
        <v>54585.152838427952</v>
      </c>
      <c r="K136" s="47"/>
      <c r="L136" s="47">
        <v>1100</v>
      </c>
      <c r="M136" s="48"/>
      <c r="N136" s="270">
        <f t="shared" si="99"/>
        <v>16500000</v>
      </c>
      <c r="O136" s="270">
        <f t="shared" si="99"/>
        <v>0</v>
      </c>
      <c r="P136" s="271">
        <f>O136+(N136/$K$2)</f>
        <v>40029.112081513827</v>
      </c>
      <c r="Q136" s="137">
        <v>900</v>
      </c>
      <c r="R136" s="79"/>
      <c r="S136" s="272">
        <f t="shared" si="69"/>
        <v>13500000</v>
      </c>
      <c r="T136" s="272">
        <f t="shared" si="53"/>
        <v>0</v>
      </c>
      <c r="U136" s="399">
        <f t="shared" si="94"/>
        <v>32751.091703056769</v>
      </c>
      <c r="V136" s="409"/>
    </row>
    <row r="137" spans="2:22" ht="11.25" x14ac:dyDescent="0.25">
      <c r="B137" s="51" t="s">
        <v>227</v>
      </c>
      <c r="C137" s="42" t="s">
        <v>228</v>
      </c>
      <c r="D137" s="53" t="s">
        <v>177</v>
      </c>
      <c r="E137" s="44">
        <v>15000</v>
      </c>
      <c r="F137" s="273">
        <v>1500</v>
      </c>
      <c r="G137" s="274"/>
      <c r="H137" s="46">
        <f>E137*F137</f>
        <v>22500000</v>
      </c>
      <c r="I137" s="46">
        <f>E137*G137</f>
        <v>0</v>
      </c>
      <c r="J137" s="269">
        <f t="shared" si="91"/>
        <v>54585.152838427952</v>
      </c>
      <c r="K137" s="47"/>
      <c r="L137" s="47">
        <v>1100</v>
      </c>
      <c r="M137" s="48"/>
      <c r="N137" s="270">
        <f t="shared" si="99"/>
        <v>16500000</v>
      </c>
      <c r="O137" s="270">
        <f t="shared" si="99"/>
        <v>0</v>
      </c>
      <c r="P137" s="271">
        <f>O137+(N137/$K$2)</f>
        <v>40029.112081513827</v>
      </c>
      <c r="Q137" s="137">
        <v>900</v>
      </c>
      <c r="R137" s="79"/>
      <c r="S137" s="272">
        <f t="shared" si="69"/>
        <v>13500000</v>
      </c>
      <c r="T137" s="272">
        <f t="shared" si="53"/>
        <v>0</v>
      </c>
      <c r="U137" s="399">
        <f t="shared" si="94"/>
        <v>32751.091703056769</v>
      </c>
      <c r="V137" s="409"/>
    </row>
    <row r="138" spans="2:22" ht="11.25" x14ac:dyDescent="0.25">
      <c r="B138" s="51" t="s">
        <v>229</v>
      </c>
      <c r="C138" s="42" t="s">
        <v>230</v>
      </c>
      <c r="D138" s="53" t="s">
        <v>177</v>
      </c>
      <c r="E138" s="44">
        <v>15000</v>
      </c>
      <c r="F138" s="273">
        <v>1500</v>
      </c>
      <c r="G138" s="274"/>
      <c r="H138" s="46">
        <f>E138*F138</f>
        <v>22500000</v>
      </c>
      <c r="I138" s="46">
        <f>E138*G138</f>
        <v>0</v>
      </c>
      <c r="J138" s="269">
        <f t="shared" si="91"/>
        <v>54585.152838427952</v>
      </c>
      <c r="K138" s="47"/>
      <c r="L138" s="47">
        <v>1100</v>
      </c>
      <c r="M138" s="48"/>
      <c r="N138" s="270">
        <f t="shared" si="99"/>
        <v>16500000</v>
      </c>
      <c r="O138" s="270">
        <f t="shared" si="99"/>
        <v>0</v>
      </c>
      <c r="P138" s="271">
        <f>O138+(N138/$K$2)</f>
        <v>40029.112081513827</v>
      </c>
      <c r="Q138" s="137">
        <v>900</v>
      </c>
      <c r="R138" s="79"/>
      <c r="S138" s="272">
        <f t="shared" si="69"/>
        <v>13500000</v>
      </c>
      <c r="T138" s="272">
        <f t="shared" si="53"/>
        <v>0</v>
      </c>
      <c r="U138" s="399">
        <f t="shared" si="94"/>
        <v>32751.091703056769</v>
      </c>
      <c r="V138" s="409"/>
    </row>
    <row r="139" spans="2:22" ht="22.5" x14ac:dyDescent="0.25">
      <c r="B139" s="51" t="s">
        <v>231</v>
      </c>
      <c r="C139" s="42" t="s">
        <v>232</v>
      </c>
      <c r="D139" s="53" t="s">
        <v>233</v>
      </c>
      <c r="E139" s="44">
        <v>15000</v>
      </c>
      <c r="F139" s="273">
        <v>18000</v>
      </c>
      <c r="G139" s="274"/>
      <c r="H139" s="46">
        <f>E139*F139</f>
        <v>270000000</v>
      </c>
      <c r="I139" s="46">
        <f>E139*G139</f>
        <v>0</v>
      </c>
      <c r="J139" s="269">
        <f t="shared" si="91"/>
        <v>655021.83406113542</v>
      </c>
      <c r="K139" s="47"/>
      <c r="L139" s="47">
        <v>1200</v>
      </c>
      <c r="M139" s="48"/>
      <c r="N139" s="270">
        <f t="shared" si="99"/>
        <v>18000000</v>
      </c>
      <c r="O139" s="270">
        <f t="shared" si="99"/>
        <v>0</v>
      </c>
      <c r="P139" s="271">
        <f>O139+(N139/$K$2)</f>
        <v>43668.122270742359</v>
      </c>
      <c r="Q139" s="137">
        <v>900</v>
      </c>
      <c r="R139" s="79"/>
      <c r="S139" s="272">
        <f t="shared" si="69"/>
        <v>13500000</v>
      </c>
      <c r="T139" s="272">
        <f t="shared" si="53"/>
        <v>0</v>
      </c>
      <c r="U139" s="397">
        <f t="shared" si="94"/>
        <v>32751.091703056769</v>
      </c>
      <c r="V139" s="409"/>
    </row>
    <row r="140" spans="2:22" ht="11.25" x14ac:dyDescent="0.25">
      <c r="B140" s="51" t="s">
        <v>234</v>
      </c>
      <c r="C140" s="123" t="s">
        <v>235</v>
      </c>
      <c r="D140" s="120"/>
      <c r="E140" s="44"/>
      <c r="F140" s="273"/>
      <c r="G140" s="274"/>
      <c r="H140" s="46"/>
      <c r="I140" s="46"/>
      <c r="J140" s="269">
        <f t="shared" si="91"/>
        <v>0</v>
      </c>
      <c r="K140" s="47"/>
      <c r="L140" s="47"/>
      <c r="M140" s="48"/>
      <c r="N140" s="302"/>
      <c r="O140" s="302"/>
      <c r="P140" s="303"/>
      <c r="Q140" s="275"/>
      <c r="R140" s="88"/>
      <c r="S140" s="276"/>
      <c r="T140" s="276"/>
      <c r="U140" s="398"/>
      <c r="V140" s="409"/>
    </row>
    <row r="141" spans="2:22" ht="33.75" x14ac:dyDescent="0.25">
      <c r="B141" s="51" t="s">
        <v>236</v>
      </c>
      <c r="C141" s="42" t="s">
        <v>237</v>
      </c>
      <c r="D141" s="53" t="s">
        <v>177</v>
      </c>
      <c r="E141" s="44">
        <v>20000</v>
      </c>
      <c r="F141" s="273">
        <v>17000</v>
      </c>
      <c r="G141" s="274">
        <v>10</v>
      </c>
      <c r="H141" s="46">
        <f>E141*F141</f>
        <v>340000000</v>
      </c>
      <c r="I141" s="46">
        <f>E141*G141</f>
        <v>200000</v>
      </c>
      <c r="J141" s="269">
        <f t="shared" si="91"/>
        <v>1024842.3095584668</v>
      </c>
      <c r="K141" s="47"/>
      <c r="L141" s="47">
        <v>11000</v>
      </c>
      <c r="M141" s="48">
        <v>10</v>
      </c>
      <c r="N141" s="270">
        <f t="shared" ref="N141:O141" si="100">$E141*L141</f>
        <v>220000000</v>
      </c>
      <c r="O141" s="270">
        <f t="shared" si="100"/>
        <v>200000</v>
      </c>
      <c r="P141" s="271">
        <f>O141+(N141/$K$2)</f>
        <v>733721.4944201844</v>
      </c>
      <c r="Q141" s="137">
        <v>10000</v>
      </c>
      <c r="R141" s="88">
        <v>0</v>
      </c>
      <c r="S141" s="272">
        <f t="shared" si="69"/>
        <v>200000000</v>
      </c>
      <c r="T141" s="272">
        <f t="shared" si="53"/>
        <v>0</v>
      </c>
      <c r="U141" s="397">
        <f t="shared" si="94"/>
        <v>485201.35856380401</v>
      </c>
      <c r="V141" s="409"/>
    </row>
    <row r="142" spans="2:22" ht="11.25" x14ac:dyDescent="0.25">
      <c r="B142" s="51" t="s">
        <v>238</v>
      </c>
      <c r="C142" s="123" t="s">
        <v>239</v>
      </c>
      <c r="D142" s="120"/>
      <c r="E142" s="44"/>
      <c r="F142" s="273"/>
      <c r="G142" s="274"/>
      <c r="H142" s="46"/>
      <c r="I142" s="46"/>
      <c r="J142" s="269">
        <f t="shared" si="91"/>
        <v>0</v>
      </c>
      <c r="K142" s="47"/>
      <c r="L142" s="47"/>
      <c r="M142" s="48"/>
      <c r="N142" s="302"/>
      <c r="O142" s="302"/>
      <c r="P142" s="303"/>
      <c r="Q142" s="275"/>
      <c r="R142" s="88"/>
      <c r="S142" s="276"/>
      <c r="T142" s="276"/>
      <c r="U142" s="398"/>
      <c r="V142" s="409"/>
    </row>
    <row r="143" spans="2:22" ht="22.5" x14ac:dyDescent="0.25">
      <c r="B143" s="51" t="s">
        <v>240</v>
      </c>
      <c r="C143" s="42" t="s">
        <v>208</v>
      </c>
      <c r="D143" s="53" t="s">
        <v>177</v>
      </c>
      <c r="E143" s="44">
        <v>20000</v>
      </c>
      <c r="F143" s="273">
        <v>16000</v>
      </c>
      <c r="G143" s="274">
        <v>10</v>
      </c>
      <c r="H143" s="46">
        <f>E143*F143</f>
        <v>320000000</v>
      </c>
      <c r="I143" s="46">
        <f>E143*G143</f>
        <v>200000</v>
      </c>
      <c r="J143" s="269">
        <f t="shared" si="91"/>
        <v>976322.17370208644</v>
      </c>
      <c r="K143" s="47"/>
      <c r="L143" s="47">
        <v>11000</v>
      </c>
      <c r="M143" s="48">
        <v>10</v>
      </c>
      <c r="N143" s="270">
        <f t="shared" ref="N143:O143" si="101">$E143*L143</f>
        <v>220000000</v>
      </c>
      <c r="O143" s="270">
        <f t="shared" si="101"/>
        <v>200000</v>
      </c>
      <c r="P143" s="271">
        <f>O143+(N143/$K$2)</f>
        <v>733721.4944201844</v>
      </c>
      <c r="Q143" s="137">
        <v>10000</v>
      </c>
      <c r="R143" s="88">
        <v>0</v>
      </c>
      <c r="S143" s="272">
        <f t="shared" si="69"/>
        <v>200000000</v>
      </c>
      <c r="T143" s="272">
        <f t="shared" si="53"/>
        <v>0</v>
      </c>
      <c r="U143" s="397">
        <f t="shared" si="94"/>
        <v>485201.35856380401</v>
      </c>
      <c r="V143" s="409"/>
    </row>
    <row r="144" spans="2:22" ht="11.25" x14ac:dyDescent="0.25">
      <c r="B144" s="51" t="s">
        <v>241</v>
      </c>
      <c r="C144" s="123" t="s">
        <v>242</v>
      </c>
      <c r="D144" s="120"/>
      <c r="E144" s="44"/>
      <c r="F144" s="273"/>
      <c r="G144" s="274"/>
      <c r="H144" s="46"/>
      <c r="I144" s="46"/>
      <c r="J144" s="269">
        <f t="shared" si="91"/>
        <v>0</v>
      </c>
      <c r="K144" s="47"/>
      <c r="L144" s="47"/>
      <c r="M144" s="48"/>
      <c r="N144" s="302"/>
      <c r="O144" s="302"/>
      <c r="P144" s="303"/>
      <c r="Q144" s="275"/>
      <c r="R144" s="88"/>
      <c r="S144" s="276">
        <f t="shared" si="69"/>
        <v>0</v>
      </c>
      <c r="T144" s="276">
        <f t="shared" si="53"/>
        <v>0</v>
      </c>
      <c r="U144" s="398">
        <f t="shared" si="94"/>
        <v>0</v>
      </c>
      <c r="V144" s="409"/>
    </row>
    <row r="145" spans="2:22" ht="45" x14ac:dyDescent="0.25">
      <c r="B145" s="51" t="s">
        <v>243</v>
      </c>
      <c r="C145" s="42" t="s">
        <v>212</v>
      </c>
      <c r="D145" s="53" t="s">
        <v>177</v>
      </c>
      <c r="E145" s="44">
        <v>20000</v>
      </c>
      <c r="F145" s="273">
        <v>17000</v>
      </c>
      <c r="G145" s="274">
        <v>10</v>
      </c>
      <c r="H145" s="46">
        <f>E145*F145</f>
        <v>340000000</v>
      </c>
      <c r="I145" s="46">
        <f>E145*G145</f>
        <v>200000</v>
      </c>
      <c r="J145" s="269">
        <f t="shared" si="91"/>
        <v>1024842.3095584668</v>
      </c>
      <c r="K145" s="47"/>
      <c r="L145" s="47">
        <v>11000</v>
      </c>
      <c r="M145" s="48">
        <v>8</v>
      </c>
      <c r="N145" s="270">
        <f t="shared" ref="N145:O145" si="102">$E145*L145</f>
        <v>220000000</v>
      </c>
      <c r="O145" s="270">
        <f t="shared" si="102"/>
        <v>160000</v>
      </c>
      <c r="P145" s="271">
        <f>O145+(N145/$K$2)</f>
        <v>693721.4944201844</v>
      </c>
      <c r="Q145" s="137">
        <v>11000</v>
      </c>
      <c r="R145" s="88">
        <v>0</v>
      </c>
      <c r="S145" s="272">
        <f t="shared" si="69"/>
        <v>220000000</v>
      </c>
      <c r="T145" s="272">
        <f t="shared" si="53"/>
        <v>0</v>
      </c>
      <c r="U145" s="397">
        <f t="shared" si="94"/>
        <v>533721.4944201844</v>
      </c>
      <c r="V145" s="409"/>
    </row>
    <row r="146" spans="2:22" ht="11.25" x14ac:dyDescent="0.25">
      <c r="B146" s="51" t="s">
        <v>244</v>
      </c>
      <c r="C146" s="123" t="s">
        <v>245</v>
      </c>
      <c r="D146" s="120"/>
      <c r="E146" s="44"/>
      <c r="F146" s="273"/>
      <c r="G146" s="274"/>
      <c r="H146" s="46"/>
      <c r="I146" s="46"/>
      <c r="J146" s="269">
        <f t="shared" si="91"/>
        <v>0</v>
      </c>
      <c r="K146" s="47"/>
      <c r="L146" s="47"/>
      <c r="M146" s="48"/>
      <c r="N146" s="302"/>
      <c r="O146" s="302"/>
      <c r="P146" s="303"/>
      <c r="Q146" s="275"/>
      <c r="R146" s="88"/>
      <c r="S146" s="276">
        <f t="shared" si="69"/>
        <v>0</v>
      </c>
      <c r="T146" s="276">
        <f t="shared" si="53"/>
        <v>0</v>
      </c>
      <c r="U146" s="398">
        <f t="shared" si="94"/>
        <v>0</v>
      </c>
      <c r="V146" s="409"/>
    </row>
    <row r="147" spans="2:22" ht="22.5" x14ac:dyDescent="0.25">
      <c r="B147" s="51" t="s">
        <v>246</v>
      </c>
      <c r="C147" s="42" t="s">
        <v>247</v>
      </c>
      <c r="D147" s="53" t="s">
        <v>177</v>
      </c>
      <c r="E147" s="44">
        <v>20000</v>
      </c>
      <c r="F147" s="273">
        <v>18000</v>
      </c>
      <c r="G147" s="274">
        <v>20</v>
      </c>
      <c r="H147" s="46">
        <f>E147*F147</f>
        <v>360000000</v>
      </c>
      <c r="I147" s="46">
        <f>E147*G147</f>
        <v>400000</v>
      </c>
      <c r="J147" s="269">
        <f t="shared" si="91"/>
        <v>1273362.4454148472</v>
      </c>
      <c r="K147" s="47"/>
      <c r="L147" s="47">
        <v>16000</v>
      </c>
      <c r="M147" s="48">
        <v>10</v>
      </c>
      <c r="N147" s="270">
        <f t="shared" ref="N147:O148" si="103">$E147*L147</f>
        <v>320000000</v>
      </c>
      <c r="O147" s="270">
        <f t="shared" si="103"/>
        <v>200000</v>
      </c>
      <c r="P147" s="271">
        <f>O147+(N147/$K$2)</f>
        <v>976322.17370208644</v>
      </c>
      <c r="Q147" s="137">
        <v>25000</v>
      </c>
      <c r="R147" s="88">
        <v>0</v>
      </c>
      <c r="S147" s="272">
        <f t="shared" si="69"/>
        <v>500000000</v>
      </c>
      <c r="T147" s="272">
        <f t="shared" ref="T147:T194" si="104">R147*E147</f>
        <v>0</v>
      </c>
      <c r="U147" s="399">
        <f t="shared" si="94"/>
        <v>1213003.3964095099</v>
      </c>
      <c r="V147" s="409"/>
    </row>
    <row r="148" spans="2:22" ht="11.25" x14ac:dyDescent="0.25">
      <c r="B148" s="51" t="s">
        <v>248</v>
      </c>
      <c r="C148" s="42" t="s">
        <v>218</v>
      </c>
      <c r="D148" s="53" t="s">
        <v>177</v>
      </c>
      <c r="E148" s="44">
        <v>40000</v>
      </c>
      <c r="F148" s="273">
        <v>16000</v>
      </c>
      <c r="G148" s="274"/>
      <c r="H148" s="46">
        <f>E148*F148</f>
        <v>640000000</v>
      </c>
      <c r="I148" s="46">
        <f>E148*G148</f>
        <v>0</v>
      </c>
      <c r="J148" s="269">
        <f t="shared" si="91"/>
        <v>1552644.3474041729</v>
      </c>
      <c r="K148" s="47"/>
      <c r="L148" s="47">
        <v>11050</v>
      </c>
      <c r="M148" s="48"/>
      <c r="N148" s="270">
        <f t="shared" si="103"/>
        <v>442000000</v>
      </c>
      <c r="O148" s="270">
        <f t="shared" si="103"/>
        <v>0</v>
      </c>
      <c r="P148" s="271">
        <f>O148+(N148/$K$2)</f>
        <v>1072295.0024260068</v>
      </c>
      <c r="Q148" s="137">
        <v>9000</v>
      </c>
      <c r="R148" s="79"/>
      <c r="S148" s="272">
        <f t="shared" si="69"/>
        <v>360000000</v>
      </c>
      <c r="T148" s="272">
        <f t="shared" si="104"/>
        <v>0</v>
      </c>
      <c r="U148" s="397">
        <f t="shared" si="94"/>
        <v>873362.44541484723</v>
      </c>
      <c r="V148" s="409"/>
    </row>
    <row r="149" spans="2:22" ht="11.25" x14ac:dyDescent="0.25">
      <c r="B149" s="51" t="s">
        <v>249</v>
      </c>
      <c r="C149" s="42" t="s">
        <v>250</v>
      </c>
      <c r="D149" s="53"/>
      <c r="E149" s="44"/>
      <c r="F149" s="273"/>
      <c r="G149" s="274"/>
      <c r="H149" s="46"/>
      <c r="I149" s="46"/>
      <c r="J149" s="269">
        <f t="shared" si="91"/>
        <v>0</v>
      </c>
      <c r="K149" s="47"/>
      <c r="L149" s="47"/>
      <c r="M149" s="48"/>
      <c r="N149" s="302"/>
      <c r="O149" s="302"/>
      <c r="P149" s="303"/>
      <c r="Q149" s="275"/>
      <c r="R149" s="88"/>
      <c r="S149" s="276">
        <f t="shared" si="69"/>
        <v>0</v>
      </c>
      <c r="T149" s="276">
        <f t="shared" si="104"/>
        <v>0</v>
      </c>
      <c r="U149" s="398">
        <f t="shared" si="94"/>
        <v>0</v>
      </c>
      <c r="V149" s="409"/>
    </row>
    <row r="150" spans="2:22" ht="11.25" x14ac:dyDescent="0.25">
      <c r="B150" s="51" t="s">
        <v>251</v>
      </c>
      <c r="C150" s="42" t="s">
        <v>252</v>
      </c>
      <c r="D150" s="53" t="s">
        <v>177</v>
      </c>
      <c r="E150" s="44">
        <v>2000</v>
      </c>
      <c r="F150" s="273">
        <v>1500</v>
      </c>
      <c r="G150" s="274"/>
      <c r="H150" s="46">
        <f t="shared" ref="H150:H158" si="105">E150*F150</f>
        <v>3000000</v>
      </c>
      <c r="I150" s="46">
        <f t="shared" ref="I150:I158" si="106">E150*G150</f>
        <v>0</v>
      </c>
      <c r="J150" s="269">
        <f t="shared" si="91"/>
        <v>7278.0203784570595</v>
      </c>
      <c r="K150" s="47"/>
      <c r="L150" s="47">
        <v>1000</v>
      </c>
      <c r="M150" s="48"/>
      <c r="N150" s="270">
        <f t="shared" ref="N150:O158" si="107">$E150*L150</f>
        <v>2000000</v>
      </c>
      <c r="O150" s="270">
        <f t="shared" si="107"/>
        <v>0</v>
      </c>
      <c r="P150" s="271">
        <f t="shared" ref="P150:P158" si="108">O150+(N150/$K$2)</f>
        <v>4852.0135856380402</v>
      </c>
      <c r="Q150" s="137">
        <v>550</v>
      </c>
      <c r="R150" s="79"/>
      <c r="S150" s="272">
        <f t="shared" si="69"/>
        <v>1100000</v>
      </c>
      <c r="T150" s="272"/>
      <c r="U150" s="399">
        <f t="shared" si="94"/>
        <v>2668.6074721009218</v>
      </c>
      <c r="V150" s="409"/>
    </row>
    <row r="151" spans="2:22" ht="11.25" x14ac:dyDescent="0.25">
      <c r="B151" s="51" t="s">
        <v>253</v>
      </c>
      <c r="C151" s="49" t="s">
        <v>254</v>
      </c>
      <c r="D151" s="53" t="s">
        <v>177</v>
      </c>
      <c r="E151" s="44">
        <v>2000</v>
      </c>
      <c r="F151" s="273">
        <v>1500</v>
      </c>
      <c r="G151" s="274"/>
      <c r="H151" s="46">
        <f t="shared" si="105"/>
        <v>3000000</v>
      </c>
      <c r="I151" s="46">
        <f t="shared" si="106"/>
        <v>0</v>
      </c>
      <c r="J151" s="269">
        <f t="shared" si="91"/>
        <v>7278.0203784570595</v>
      </c>
      <c r="K151" s="47"/>
      <c r="L151" s="47">
        <v>1050</v>
      </c>
      <c r="M151" s="48"/>
      <c r="N151" s="270">
        <f t="shared" si="107"/>
        <v>2100000</v>
      </c>
      <c r="O151" s="270">
        <f t="shared" si="107"/>
        <v>0</v>
      </c>
      <c r="P151" s="271">
        <f t="shared" si="108"/>
        <v>5094.6142649199419</v>
      </c>
      <c r="Q151" s="137">
        <v>550</v>
      </c>
      <c r="R151" s="79"/>
      <c r="S151" s="272">
        <f t="shared" si="69"/>
        <v>1100000</v>
      </c>
      <c r="T151" s="272"/>
      <c r="U151" s="399">
        <f t="shared" si="94"/>
        <v>2668.6074721009218</v>
      </c>
      <c r="V151" s="409"/>
    </row>
    <row r="152" spans="2:22" ht="11.25" x14ac:dyDescent="0.25">
      <c r="B152" s="51" t="s">
        <v>255</v>
      </c>
      <c r="C152" s="49" t="s">
        <v>256</v>
      </c>
      <c r="D152" s="53" t="s">
        <v>177</v>
      </c>
      <c r="E152" s="44">
        <v>2000</v>
      </c>
      <c r="F152" s="273">
        <v>1500</v>
      </c>
      <c r="G152" s="274"/>
      <c r="H152" s="46">
        <f t="shared" si="105"/>
        <v>3000000</v>
      </c>
      <c r="I152" s="46">
        <f t="shared" si="106"/>
        <v>0</v>
      </c>
      <c r="J152" s="269">
        <f t="shared" si="91"/>
        <v>7278.0203784570595</v>
      </c>
      <c r="K152" s="47"/>
      <c r="L152" s="47">
        <v>1200</v>
      </c>
      <c r="M152" s="48"/>
      <c r="N152" s="270">
        <f t="shared" si="107"/>
        <v>2400000</v>
      </c>
      <c r="O152" s="270">
        <f t="shared" si="107"/>
        <v>0</v>
      </c>
      <c r="P152" s="271">
        <f t="shared" si="108"/>
        <v>5822.4163027656477</v>
      </c>
      <c r="Q152" s="137">
        <v>550</v>
      </c>
      <c r="R152" s="79"/>
      <c r="S152" s="272">
        <f t="shared" si="69"/>
        <v>1100000</v>
      </c>
      <c r="T152" s="272"/>
      <c r="U152" s="399">
        <f t="shared" si="94"/>
        <v>2668.6074721009218</v>
      </c>
      <c r="V152" s="409"/>
    </row>
    <row r="153" spans="2:22" ht="11.25" x14ac:dyDescent="0.25">
      <c r="B153" s="51" t="s">
        <v>257</v>
      </c>
      <c r="C153" s="49" t="s">
        <v>258</v>
      </c>
      <c r="D153" s="53" t="s">
        <v>177</v>
      </c>
      <c r="E153" s="44">
        <v>2000</v>
      </c>
      <c r="F153" s="273">
        <v>1500</v>
      </c>
      <c r="G153" s="274"/>
      <c r="H153" s="46">
        <f t="shared" si="105"/>
        <v>3000000</v>
      </c>
      <c r="I153" s="46">
        <f t="shared" si="106"/>
        <v>0</v>
      </c>
      <c r="J153" s="269">
        <f t="shared" si="91"/>
        <v>7278.0203784570595</v>
      </c>
      <c r="K153" s="47"/>
      <c r="L153" s="47">
        <v>1200</v>
      </c>
      <c r="M153" s="48"/>
      <c r="N153" s="270">
        <f t="shared" si="107"/>
        <v>2400000</v>
      </c>
      <c r="O153" s="270">
        <f t="shared" si="107"/>
        <v>0</v>
      </c>
      <c r="P153" s="271">
        <f t="shared" si="108"/>
        <v>5822.4163027656477</v>
      </c>
      <c r="Q153" s="137">
        <v>550</v>
      </c>
      <c r="R153" s="79"/>
      <c r="S153" s="272">
        <f t="shared" si="69"/>
        <v>1100000</v>
      </c>
      <c r="T153" s="272"/>
      <c r="U153" s="399">
        <f t="shared" si="94"/>
        <v>2668.6074721009218</v>
      </c>
      <c r="V153" s="409"/>
    </row>
    <row r="154" spans="2:22" ht="11.25" x14ac:dyDescent="0.25">
      <c r="B154" s="51" t="s">
        <v>259</v>
      </c>
      <c r="C154" s="42" t="s">
        <v>260</v>
      </c>
      <c r="D154" s="53" t="s">
        <v>177</v>
      </c>
      <c r="E154" s="44">
        <v>2000</v>
      </c>
      <c r="F154" s="273">
        <v>1500</v>
      </c>
      <c r="G154" s="274"/>
      <c r="H154" s="46">
        <f t="shared" si="105"/>
        <v>3000000</v>
      </c>
      <c r="I154" s="46">
        <f t="shared" si="106"/>
        <v>0</v>
      </c>
      <c r="J154" s="269">
        <f t="shared" si="91"/>
        <v>7278.0203784570595</v>
      </c>
      <c r="K154" s="47"/>
      <c r="L154" s="47">
        <v>1200</v>
      </c>
      <c r="M154" s="48"/>
      <c r="N154" s="270">
        <f t="shared" si="107"/>
        <v>2400000</v>
      </c>
      <c r="O154" s="270">
        <f t="shared" si="107"/>
        <v>0</v>
      </c>
      <c r="P154" s="271">
        <f t="shared" si="108"/>
        <v>5822.4163027656477</v>
      </c>
      <c r="Q154" s="137">
        <v>550</v>
      </c>
      <c r="R154" s="79"/>
      <c r="S154" s="272">
        <f t="shared" si="69"/>
        <v>1100000</v>
      </c>
      <c r="T154" s="272"/>
      <c r="U154" s="399">
        <f t="shared" si="94"/>
        <v>2668.6074721009218</v>
      </c>
      <c r="V154" s="409"/>
    </row>
    <row r="155" spans="2:22" ht="11.25" x14ac:dyDescent="0.25">
      <c r="B155" s="51" t="s">
        <v>261</v>
      </c>
      <c r="C155" s="52" t="s">
        <v>262</v>
      </c>
      <c r="D155" s="53" t="s">
        <v>177</v>
      </c>
      <c r="E155" s="44">
        <v>2000</v>
      </c>
      <c r="F155" s="273">
        <v>1500</v>
      </c>
      <c r="G155" s="274"/>
      <c r="H155" s="46">
        <f t="shared" si="105"/>
        <v>3000000</v>
      </c>
      <c r="I155" s="46">
        <f t="shared" si="106"/>
        <v>0</v>
      </c>
      <c r="J155" s="269">
        <f t="shared" si="91"/>
        <v>7278.0203784570595</v>
      </c>
      <c r="K155" s="47"/>
      <c r="L155" s="47">
        <v>1150</v>
      </c>
      <c r="M155" s="48"/>
      <c r="N155" s="270">
        <f t="shared" si="107"/>
        <v>2300000</v>
      </c>
      <c r="O155" s="270">
        <f t="shared" si="107"/>
        <v>0</v>
      </c>
      <c r="P155" s="271">
        <f t="shared" si="108"/>
        <v>5579.8156234837461</v>
      </c>
      <c r="Q155" s="137">
        <v>550</v>
      </c>
      <c r="R155" s="79"/>
      <c r="S155" s="272">
        <f t="shared" si="69"/>
        <v>1100000</v>
      </c>
      <c r="T155" s="272"/>
      <c r="U155" s="399">
        <f t="shared" si="94"/>
        <v>2668.6074721009218</v>
      </c>
      <c r="V155" s="409"/>
    </row>
    <row r="156" spans="2:22" ht="11.25" x14ac:dyDescent="0.25">
      <c r="B156" s="51" t="s">
        <v>263</v>
      </c>
      <c r="C156" s="52" t="s">
        <v>264</v>
      </c>
      <c r="D156" s="53" t="s">
        <v>177</v>
      </c>
      <c r="E156" s="44">
        <v>2000</v>
      </c>
      <c r="F156" s="273">
        <v>1500</v>
      </c>
      <c r="G156" s="274"/>
      <c r="H156" s="46">
        <f t="shared" si="105"/>
        <v>3000000</v>
      </c>
      <c r="I156" s="46">
        <f t="shared" si="106"/>
        <v>0</v>
      </c>
      <c r="J156" s="269">
        <f t="shared" si="91"/>
        <v>7278.0203784570595</v>
      </c>
      <c r="K156" s="47"/>
      <c r="L156" s="47">
        <v>1100</v>
      </c>
      <c r="M156" s="48"/>
      <c r="N156" s="270">
        <f t="shared" si="107"/>
        <v>2200000</v>
      </c>
      <c r="O156" s="270">
        <f t="shared" si="107"/>
        <v>0</v>
      </c>
      <c r="P156" s="271">
        <f t="shared" si="108"/>
        <v>5337.2149442018435</v>
      </c>
      <c r="Q156" s="137">
        <v>550</v>
      </c>
      <c r="R156" s="79"/>
      <c r="S156" s="272">
        <f t="shared" si="69"/>
        <v>1100000</v>
      </c>
      <c r="T156" s="272"/>
      <c r="U156" s="399">
        <f t="shared" si="94"/>
        <v>2668.6074721009218</v>
      </c>
      <c r="V156" s="409"/>
    </row>
    <row r="157" spans="2:22" ht="11.25" x14ac:dyDescent="0.25">
      <c r="B157" s="51" t="s">
        <v>265</v>
      </c>
      <c r="C157" s="52" t="s">
        <v>266</v>
      </c>
      <c r="D157" s="53" t="s">
        <v>177</v>
      </c>
      <c r="E157" s="44">
        <v>2000</v>
      </c>
      <c r="F157" s="273">
        <v>1500</v>
      </c>
      <c r="G157" s="274"/>
      <c r="H157" s="46">
        <f t="shared" si="105"/>
        <v>3000000</v>
      </c>
      <c r="I157" s="46">
        <f t="shared" si="106"/>
        <v>0</v>
      </c>
      <c r="J157" s="269">
        <f t="shared" si="91"/>
        <v>7278.0203784570595</v>
      </c>
      <c r="K157" s="47"/>
      <c r="L157" s="47">
        <v>1200</v>
      </c>
      <c r="M157" s="48"/>
      <c r="N157" s="270">
        <f t="shared" si="107"/>
        <v>2400000</v>
      </c>
      <c r="O157" s="270">
        <f t="shared" si="107"/>
        <v>0</v>
      </c>
      <c r="P157" s="271">
        <f t="shared" si="108"/>
        <v>5822.4163027656477</v>
      </c>
      <c r="Q157" s="137">
        <v>550</v>
      </c>
      <c r="R157" s="79"/>
      <c r="S157" s="272">
        <f t="shared" si="69"/>
        <v>1100000</v>
      </c>
      <c r="T157" s="272"/>
      <c r="U157" s="399">
        <f t="shared" si="94"/>
        <v>2668.6074721009218</v>
      </c>
      <c r="V157" s="409"/>
    </row>
    <row r="158" spans="2:22" ht="11.25" x14ac:dyDescent="0.25">
      <c r="B158" s="51" t="s">
        <v>267</v>
      </c>
      <c r="C158" s="52" t="s">
        <v>268</v>
      </c>
      <c r="D158" s="53" t="s">
        <v>177</v>
      </c>
      <c r="E158" s="44">
        <v>2000</v>
      </c>
      <c r="F158" s="273">
        <v>1500</v>
      </c>
      <c r="G158" s="274"/>
      <c r="H158" s="46">
        <f t="shared" si="105"/>
        <v>3000000</v>
      </c>
      <c r="I158" s="46">
        <f t="shared" si="106"/>
        <v>0</v>
      </c>
      <c r="J158" s="269">
        <f t="shared" si="91"/>
        <v>7278.0203784570595</v>
      </c>
      <c r="K158" s="47"/>
      <c r="L158" s="47">
        <v>1200</v>
      </c>
      <c r="M158" s="48"/>
      <c r="N158" s="270">
        <f t="shared" si="107"/>
        <v>2400000</v>
      </c>
      <c r="O158" s="270">
        <f t="shared" si="107"/>
        <v>0</v>
      </c>
      <c r="P158" s="271">
        <f t="shared" si="108"/>
        <v>5822.4163027656477</v>
      </c>
      <c r="Q158" s="137">
        <v>550</v>
      </c>
      <c r="R158" s="79"/>
      <c r="S158" s="272">
        <f t="shared" ref="S158:S192" si="109">Q158*E158</f>
        <v>1100000</v>
      </c>
      <c r="T158" s="272"/>
      <c r="U158" s="397">
        <f t="shared" si="94"/>
        <v>2668.6074721009218</v>
      </c>
      <c r="V158" s="409"/>
    </row>
    <row r="159" spans="2:22" ht="11.25" x14ac:dyDescent="0.25">
      <c r="B159" s="51" t="s">
        <v>269</v>
      </c>
      <c r="C159" s="123" t="s">
        <v>270</v>
      </c>
      <c r="D159" s="53"/>
      <c r="E159" s="44"/>
      <c r="F159" s="273"/>
      <c r="G159" s="274"/>
      <c r="H159" s="46"/>
      <c r="I159" s="46"/>
      <c r="J159" s="269">
        <f t="shared" si="91"/>
        <v>0</v>
      </c>
      <c r="K159" s="47"/>
      <c r="L159" s="47"/>
      <c r="M159" s="48"/>
      <c r="N159" s="302"/>
      <c r="O159" s="302"/>
      <c r="P159" s="303"/>
      <c r="Q159" s="275"/>
      <c r="R159" s="88"/>
      <c r="S159" s="276">
        <f t="shared" si="109"/>
        <v>0</v>
      </c>
      <c r="T159" s="276"/>
      <c r="U159" s="398">
        <f t="shared" si="94"/>
        <v>0</v>
      </c>
      <c r="V159" s="409"/>
    </row>
    <row r="160" spans="2:22" ht="33.75" x14ac:dyDescent="0.25">
      <c r="B160" s="51" t="s">
        <v>271</v>
      </c>
      <c r="C160" s="52" t="s">
        <v>272</v>
      </c>
      <c r="D160" s="53" t="s">
        <v>177</v>
      </c>
      <c r="E160" s="44">
        <v>2000</v>
      </c>
      <c r="F160" s="273">
        <v>17998</v>
      </c>
      <c r="G160" s="274">
        <v>59</v>
      </c>
      <c r="H160" s="46">
        <f>E160*F160</f>
        <v>35996000</v>
      </c>
      <c r="I160" s="46">
        <f>E160*G160</f>
        <v>118000</v>
      </c>
      <c r="J160" s="269">
        <f t="shared" si="91"/>
        <v>205326.54051431344</v>
      </c>
      <c r="K160" s="47"/>
      <c r="L160" s="47">
        <v>12000</v>
      </c>
      <c r="M160" s="48">
        <v>32</v>
      </c>
      <c r="N160" s="270">
        <f t="shared" ref="N160:O164" si="110">$E160*L160</f>
        <v>24000000</v>
      </c>
      <c r="O160" s="270">
        <f t="shared" si="110"/>
        <v>64000</v>
      </c>
      <c r="P160" s="271">
        <f>O160+(N160/$K$2)</f>
        <v>122224.16302765647</v>
      </c>
      <c r="Q160" s="137">
        <v>1900</v>
      </c>
      <c r="R160" s="79">
        <v>65</v>
      </c>
      <c r="S160" s="272">
        <f t="shared" si="109"/>
        <v>3800000</v>
      </c>
      <c r="T160" s="272">
        <f t="shared" si="104"/>
        <v>130000</v>
      </c>
      <c r="U160" s="399">
        <f t="shared" si="94"/>
        <v>139218.82581271228</v>
      </c>
      <c r="V160" s="409"/>
    </row>
    <row r="161" spans="2:22" ht="33.75" x14ac:dyDescent="0.25">
      <c r="B161" s="51" t="s">
        <v>273</v>
      </c>
      <c r="C161" s="52" t="s">
        <v>274</v>
      </c>
      <c r="D161" s="53" t="s">
        <v>177</v>
      </c>
      <c r="E161" s="44">
        <v>3000</v>
      </c>
      <c r="F161" s="273">
        <v>13819</v>
      </c>
      <c r="G161" s="274">
        <v>45.31</v>
      </c>
      <c r="H161" s="46">
        <f>E161*F161</f>
        <v>41457000</v>
      </c>
      <c r="I161" s="46">
        <f>E161*G161</f>
        <v>135930</v>
      </c>
      <c r="J161" s="269">
        <f t="shared" si="91"/>
        <v>236504.96360989811</v>
      </c>
      <c r="K161" s="47"/>
      <c r="L161" s="47">
        <v>1100</v>
      </c>
      <c r="M161" s="48">
        <v>37</v>
      </c>
      <c r="N161" s="270">
        <f t="shared" si="110"/>
        <v>3300000</v>
      </c>
      <c r="O161" s="270">
        <f t="shared" si="110"/>
        <v>111000</v>
      </c>
      <c r="P161" s="271">
        <f>O161+(N161/$K$2)</f>
        <v>119005.82241630276</v>
      </c>
      <c r="Q161" s="137">
        <v>1900</v>
      </c>
      <c r="R161" s="79">
        <v>65</v>
      </c>
      <c r="S161" s="272">
        <f t="shared" si="109"/>
        <v>5700000</v>
      </c>
      <c r="T161" s="272">
        <f t="shared" si="104"/>
        <v>195000</v>
      </c>
      <c r="U161" s="399">
        <f t="shared" si="94"/>
        <v>208828.23871906841</v>
      </c>
      <c r="V161" s="409"/>
    </row>
    <row r="162" spans="2:22" ht="33.75" x14ac:dyDescent="0.25">
      <c r="B162" s="51" t="s">
        <v>275</v>
      </c>
      <c r="C162" s="52" t="s">
        <v>276</v>
      </c>
      <c r="D162" s="53"/>
      <c r="E162" s="44">
        <v>200</v>
      </c>
      <c r="F162" s="273">
        <v>19064.5</v>
      </c>
      <c r="G162" s="274">
        <v>62.5</v>
      </c>
      <c r="H162" s="46">
        <f>E162*F162</f>
        <v>3812900</v>
      </c>
      <c r="I162" s="46">
        <f>E162*G162</f>
        <v>12500</v>
      </c>
      <c r="J162" s="269">
        <f t="shared" si="91"/>
        <v>21750.121300339641</v>
      </c>
      <c r="K162" s="47"/>
      <c r="L162" s="47">
        <v>16000</v>
      </c>
      <c r="M162" s="48">
        <v>42</v>
      </c>
      <c r="N162" s="270">
        <f t="shared" si="110"/>
        <v>3200000</v>
      </c>
      <c r="O162" s="270">
        <f t="shared" si="110"/>
        <v>8400</v>
      </c>
      <c r="P162" s="271">
        <f>O162+(N162/$K$2)</f>
        <v>16163.221737020864</v>
      </c>
      <c r="Q162" s="137">
        <v>1900</v>
      </c>
      <c r="R162" s="79">
        <v>65</v>
      </c>
      <c r="S162" s="272">
        <f t="shared" si="109"/>
        <v>380000</v>
      </c>
      <c r="T162" s="272">
        <f t="shared" si="104"/>
        <v>13000</v>
      </c>
      <c r="U162" s="399">
        <f t="shared" si="94"/>
        <v>13921.882581271228</v>
      </c>
      <c r="V162" s="409"/>
    </row>
    <row r="163" spans="2:22" ht="33.75" x14ac:dyDescent="0.25">
      <c r="B163" s="51" t="s">
        <v>277</v>
      </c>
      <c r="C163" s="52" t="s">
        <v>278</v>
      </c>
      <c r="D163" s="53"/>
      <c r="E163" s="44">
        <v>200</v>
      </c>
      <c r="F163" s="273">
        <v>19064.5</v>
      </c>
      <c r="G163" s="274">
        <v>62.5</v>
      </c>
      <c r="H163" s="46">
        <f>E163*F163</f>
        <v>3812900</v>
      </c>
      <c r="I163" s="46">
        <f>E163*G163</f>
        <v>12500</v>
      </c>
      <c r="J163" s="269">
        <f t="shared" si="91"/>
        <v>21750.121300339641</v>
      </c>
      <c r="K163" s="47"/>
      <c r="L163" s="47">
        <v>15000</v>
      </c>
      <c r="M163" s="48">
        <v>48</v>
      </c>
      <c r="N163" s="270">
        <f t="shared" si="110"/>
        <v>3000000</v>
      </c>
      <c r="O163" s="270">
        <f t="shared" si="110"/>
        <v>9600</v>
      </c>
      <c r="P163" s="271">
        <f>O163+(N163/$K$2)</f>
        <v>16878.020378457059</v>
      </c>
      <c r="Q163" s="137">
        <v>1900</v>
      </c>
      <c r="R163" s="79">
        <v>65</v>
      </c>
      <c r="S163" s="272">
        <f t="shared" si="109"/>
        <v>380000</v>
      </c>
      <c r="T163" s="272">
        <f t="shared" si="104"/>
        <v>13000</v>
      </c>
      <c r="U163" s="399">
        <f t="shared" si="94"/>
        <v>13921.882581271228</v>
      </c>
      <c r="V163" s="409"/>
    </row>
    <row r="164" spans="2:22" ht="34.5" thickBot="1" x14ac:dyDescent="0.3">
      <c r="B164" s="54" t="s">
        <v>279</v>
      </c>
      <c r="C164" s="115" t="s">
        <v>280</v>
      </c>
      <c r="D164" s="83"/>
      <c r="E164" s="57">
        <v>200</v>
      </c>
      <c r="F164" s="289">
        <v>2577.5</v>
      </c>
      <c r="G164" s="290">
        <v>84.5</v>
      </c>
      <c r="H164" s="102">
        <f>E164*F164</f>
        <v>515500</v>
      </c>
      <c r="I164" s="102">
        <f>E164*G164</f>
        <v>16900</v>
      </c>
      <c r="J164" s="269">
        <f t="shared" si="91"/>
        <v>18150.606501698203</v>
      </c>
      <c r="K164" s="59"/>
      <c r="L164" s="59">
        <v>1500</v>
      </c>
      <c r="M164" s="60">
        <v>52.5</v>
      </c>
      <c r="N164" s="270">
        <f t="shared" si="110"/>
        <v>300000</v>
      </c>
      <c r="O164" s="270">
        <f t="shared" si="110"/>
        <v>10500</v>
      </c>
      <c r="P164" s="271">
        <f>O164+(N164/$K$2)</f>
        <v>11227.802037845706</v>
      </c>
      <c r="Q164" s="280">
        <v>1900</v>
      </c>
      <c r="R164" s="104">
        <v>65</v>
      </c>
      <c r="S164" s="281">
        <f t="shared" si="109"/>
        <v>380000</v>
      </c>
      <c r="T164" s="281">
        <f t="shared" si="104"/>
        <v>13000</v>
      </c>
      <c r="U164" s="400">
        <f t="shared" si="94"/>
        <v>13921.882581271228</v>
      </c>
      <c r="V164" s="409"/>
    </row>
    <row r="165" spans="2:22" ht="12" thickBot="1" x14ac:dyDescent="0.3">
      <c r="B165" s="447" t="s">
        <v>281</v>
      </c>
      <c r="C165" s="448"/>
      <c r="D165" s="173"/>
      <c r="E165" s="286"/>
      <c r="F165" s="65"/>
      <c r="G165" s="63"/>
      <c r="H165" s="63">
        <f>SUM(H125:H164)</f>
        <v>6787594300</v>
      </c>
      <c r="I165" s="63">
        <f t="shared" ref="I165:J165" si="111">SUM(I125:I164)</f>
        <v>10895830</v>
      </c>
      <c r="J165" s="64">
        <f t="shared" si="111"/>
        <v>27362579.878699645</v>
      </c>
      <c r="K165" s="65"/>
      <c r="L165" s="65"/>
      <c r="M165" s="63"/>
      <c r="N165" s="63">
        <f t="shared" ref="N165:P165" si="112">SUM(N125:N164)</f>
        <v>4285400000</v>
      </c>
      <c r="O165" s="63">
        <f t="shared" si="112"/>
        <v>3933500</v>
      </c>
      <c r="P165" s="67">
        <f t="shared" si="112"/>
        <v>14329909.509946631</v>
      </c>
      <c r="Q165" s="282"/>
      <c r="R165" s="256"/>
      <c r="S165" s="63">
        <f t="shared" ref="S165:U165" si="113">SUM(S125:S164)</f>
        <v>5388040000</v>
      </c>
      <c r="T165" s="63">
        <f t="shared" si="113"/>
        <v>7864000</v>
      </c>
      <c r="U165" s="67">
        <f t="shared" si="113"/>
        <v>20935421.639980584</v>
      </c>
      <c r="V165" s="409"/>
    </row>
    <row r="166" spans="2:22" ht="11.25" x14ac:dyDescent="0.25">
      <c r="B166" s="418" t="s">
        <v>282</v>
      </c>
      <c r="C166" s="419" t="s">
        <v>283</v>
      </c>
      <c r="D166" s="420"/>
      <c r="E166" s="70"/>
      <c r="F166" s="283"/>
      <c r="G166" s="284"/>
      <c r="H166" s="71"/>
      <c r="I166" s="71"/>
      <c r="J166" s="72"/>
      <c r="K166" s="73"/>
      <c r="L166" s="73"/>
      <c r="M166" s="74"/>
      <c r="N166" s="75"/>
      <c r="O166" s="75"/>
      <c r="P166" s="285"/>
      <c r="Q166" s="265"/>
      <c r="R166" s="75"/>
      <c r="S166" s="75"/>
      <c r="T166" s="75"/>
      <c r="U166" s="285"/>
      <c r="V166" s="409"/>
    </row>
    <row r="167" spans="2:22" ht="11.25" x14ac:dyDescent="0.25">
      <c r="B167" s="91" t="s">
        <v>284</v>
      </c>
      <c r="C167" s="113" t="s">
        <v>285</v>
      </c>
      <c r="D167" s="92"/>
      <c r="E167" s="37"/>
      <c r="F167" s="267"/>
      <c r="G167" s="268"/>
      <c r="H167" s="86"/>
      <c r="I167" s="86"/>
      <c r="J167" s="87"/>
      <c r="K167" s="40"/>
      <c r="L167" s="40"/>
      <c r="M167" s="41"/>
      <c r="N167" s="88"/>
      <c r="O167" s="88"/>
      <c r="P167" s="287"/>
      <c r="Q167" s="137"/>
      <c r="R167" s="79"/>
      <c r="S167" s="79"/>
      <c r="T167" s="79"/>
      <c r="U167" s="277"/>
      <c r="V167" s="409"/>
    </row>
    <row r="168" spans="2:22" ht="47.1" customHeight="1" x14ac:dyDescent="0.25">
      <c r="B168" s="51" t="s">
        <v>286</v>
      </c>
      <c r="C168" s="42" t="s">
        <v>287</v>
      </c>
      <c r="D168" s="53" t="s">
        <v>233</v>
      </c>
      <c r="E168" s="44">
        <v>500</v>
      </c>
      <c r="F168" s="273">
        <v>90000</v>
      </c>
      <c r="G168" s="274">
        <v>200</v>
      </c>
      <c r="H168" s="46">
        <f t="shared" ref="H168:H173" si="114">E168*F168</f>
        <v>45000000</v>
      </c>
      <c r="I168" s="46">
        <f t="shared" ref="I168:I173" si="115">E168*G168</f>
        <v>100000</v>
      </c>
      <c r="J168" s="269">
        <f t="shared" ref="J168:J178" si="116">(H168/412.2)+I168</f>
        <v>209170.3056768559</v>
      </c>
      <c r="K168" s="47"/>
      <c r="L168" s="47">
        <v>68000</v>
      </c>
      <c r="M168" s="48">
        <v>200</v>
      </c>
      <c r="N168" s="270">
        <f t="shared" ref="N168:O173" si="117">$E168*L168</f>
        <v>34000000</v>
      </c>
      <c r="O168" s="270">
        <f t="shared" si="117"/>
        <v>100000</v>
      </c>
      <c r="P168" s="271">
        <f t="shared" ref="P168:P173" si="118">O168+(N168/$K$2)</f>
        <v>182484.23095584667</v>
      </c>
      <c r="Q168" s="137">
        <v>55000</v>
      </c>
      <c r="R168" s="79">
        <v>0</v>
      </c>
      <c r="S168" s="272">
        <f t="shared" si="109"/>
        <v>27500000</v>
      </c>
      <c r="T168" s="272">
        <f t="shared" si="104"/>
        <v>0</v>
      </c>
      <c r="U168" s="399">
        <f>T168+(S168/$K$2)</f>
        <v>66715.186802523051</v>
      </c>
      <c r="V168" s="409"/>
    </row>
    <row r="169" spans="2:22" ht="31.5" customHeight="1" x14ac:dyDescent="0.25">
      <c r="B169" s="51" t="s">
        <v>288</v>
      </c>
      <c r="C169" s="42" t="s">
        <v>289</v>
      </c>
      <c r="D169" s="53" t="s">
        <v>122</v>
      </c>
      <c r="E169" s="44">
        <v>500</v>
      </c>
      <c r="F169" s="273">
        <v>800</v>
      </c>
      <c r="G169" s="274">
        <v>3</v>
      </c>
      <c r="H169" s="46">
        <f t="shared" si="114"/>
        <v>400000</v>
      </c>
      <c r="I169" s="46">
        <f t="shared" si="115"/>
        <v>1500</v>
      </c>
      <c r="J169" s="269">
        <f t="shared" si="116"/>
        <v>2470.402717127608</v>
      </c>
      <c r="K169" s="47"/>
      <c r="L169" s="47">
        <v>450</v>
      </c>
      <c r="M169" s="48">
        <v>5</v>
      </c>
      <c r="N169" s="270">
        <f t="shared" si="117"/>
        <v>225000</v>
      </c>
      <c r="O169" s="270">
        <f t="shared" si="117"/>
        <v>2500</v>
      </c>
      <c r="P169" s="271">
        <f t="shared" si="118"/>
        <v>3045.8515283842794</v>
      </c>
      <c r="Q169" s="137">
        <v>500</v>
      </c>
      <c r="R169" s="79">
        <v>0</v>
      </c>
      <c r="S169" s="272">
        <f t="shared" si="109"/>
        <v>250000</v>
      </c>
      <c r="T169" s="272">
        <f t="shared" si="104"/>
        <v>0</v>
      </c>
      <c r="U169" s="399">
        <f t="shared" ref="U169:U178" si="119">T169+(S169/$K$2)</f>
        <v>606.50169820475503</v>
      </c>
      <c r="V169" s="409"/>
    </row>
    <row r="170" spans="2:22" ht="29.1" customHeight="1" x14ac:dyDescent="0.25">
      <c r="B170" s="51" t="s">
        <v>290</v>
      </c>
      <c r="C170" s="42" t="s">
        <v>291</v>
      </c>
      <c r="D170" s="53" t="s">
        <v>122</v>
      </c>
      <c r="E170" s="44">
        <v>500</v>
      </c>
      <c r="F170" s="273">
        <v>1360</v>
      </c>
      <c r="G170" s="274">
        <v>3</v>
      </c>
      <c r="H170" s="46">
        <f t="shared" si="114"/>
        <v>680000</v>
      </c>
      <c r="I170" s="46">
        <f t="shared" si="115"/>
        <v>1500</v>
      </c>
      <c r="J170" s="269">
        <f t="shared" si="116"/>
        <v>3149.6846191169334</v>
      </c>
      <c r="K170" s="47"/>
      <c r="L170" s="47">
        <v>4800</v>
      </c>
      <c r="M170" s="48">
        <v>4</v>
      </c>
      <c r="N170" s="270">
        <f t="shared" si="117"/>
        <v>2400000</v>
      </c>
      <c r="O170" s="270">
        <f t="shared" si="117"/>
        <v>2000</v>
      </c>
      <c r="P170" s="271">
        <f t="shared" si="118"/>
        <v>7822.4163027656477</v>
      </c>
      <c r="Q170" s="137">
        <v>850</v>
      </c>
      <c r="R170" s="79">
        <v>0</v>
      </c>
      <c r="S170" s="272">
        <f t="shared" si="109"/>
        <v>425000</v>
      </c>
      <c r="T170" s="272">
        <f t="shared" si="104"/>
        <v>0</v>
      </c>
      <c r="U170" s="399">
        <f t="shared" si="119"/>
        <v>1031.0528869480836</v>
      </c>
      <c r="V170" s="409"/>
    </row>
    <row r="171" spans="2:22" ht="33.75" x14ac:dyDescent="0.25">
      <c r="B171" s="51" t="s">
        <v>292</v>
      </c>
      <c r="C171" s="42" t="s">
        <v>293</v>
      </c>
      <c r="D171" s="53" t="s">
        <v>122</v>
      </c>
      <c r="E171" s="44">
        <v>500</v>
      </c>
      <c r="F171" s="273">
        <v>4000</v>
      </c>
      <c r="G171" s="274">
        <v>13.5</v>
      </c>
      <c r="H171" s="46">
        <f t="shared" si="114"/>
        <v>2000000</v>
      </c>
      <c r="I171" s="46">
        <f t="shared" si="115"/>
        <v>6750</v>
      </c>
      <c r="J171" s="269">
        <f t="shared" si="116"/>
        <v>11602.01358563804</v>
      </c>
      <c r="K171" s="47"/>
      <c r="L171" s="47">
        <v>3250</v>
      </c>
      <c r="M171" s="48">
        <v>10</v>
      </c>
      <c r="N171" s="270">
        <f t="shared" si="117"/>
        <v>1625000</v>
      </c>
      <c r="O171" s="270">
        <f t="shared" si="117"/>
        <v>5000</v>
      </c>
      <c r="P171" s="271">
        <f t="shared" si="118"/>
        <v>8942.2610383309075</v>
      </c>
      <c r="Q171" s="137">
        <v>2500</v>
      </c>
      <c r="R171" s="79">
        <v>0</v>
      </c>
      <c r="S171" s="272">
        <f t="shared" si="109"/>
        <v>1250000</v>
      </c>
      <c r="T171" s="272">
        <f t="shared" si="104"/>
        <v>0</v>
      </c>
      <c r="U171" s="399">
        <f t="shared" si="119"/>
        <v>3032.5084910237752</v>
      </c>
      <c r="V171" s="409"/>
    </row>
    <row r="172" spans="2:22" ht="34.5" customHeight="1" x14ac:dyDescent="0.25">
      <c r="B172" s="51" t="s">
        <v>294</v>
      </c>
      <c r="C172" s="42" t="s">
        <v>295</v>
      </c>
      <c r="D172" s="53" t="s">
        <v>122</v>
      </c>
      <c r="E172" s="44">
        <v>500</v>
      </c>
      <c r="F172" s="273">
        <v>3200</v>
      </c>
      <c r="G172" s="274">
        <v>8.5</v>
      </c>
      <c r="H172" s="46">
        <f t="shared" si="114"/>
        <v>1600000</v>
      </c>
      <c r="I172" s="46">
        <f t="shared" si="115"/>
        <v>4250</v>
      </c>
      <c r="J172" s="269">
        <f t="shared" si="116"/>
        <v>8131.6108685104318</v>
      </c>
      <c r="K172" s="47"/>
      <c r="L172" s="47">
        <v>120000</v>
      </c>
      <c r="M172" s="48">
        <v>8</v>
      </c>
      <c r="N172" s="270">
        <f t="shared" si="117"/>
        <v>60000000</v>
      </c>
      <c r="O172" s="270">
        <f t="shared" si="117"/>
        <v>4000</v>
      </c>
      <c r="P172" s="271">
        <f t="shared" si="118"/>
        <v>149560.40756914119</v>
      </c>
      <c r="Q172" s="137">
        <v>2000</v>
      </c>
      <c r="R172" s="79">
        <v>0</v>
      </c>
      <c r="S172" s="272">
        <f t="shared" si="109"/>
        <v>1000000</v>
      </c>
      <c r="T172" s="272">
        <f t="shared" si="104"/>
        <v>0</v>
      </c>
      <c r="U172" s="399">
        <f t="shared" si="119"/>
        <v>2426.0067928190201</v>
      </c>
      <c r="V172" s="409"/>
    </row>
    <row r="173" spans="2:22" ht="33" customHeight="1" x14ac:dyDescent="0.25">
      <c r="B173" s="51" t="s">
        <v>296</v>
      </c>
      <c r="C173" s="42" t="s">
        <v>297</v>
      </c>
      <c r="D173" s="53" t="s">
        <v>122</v>
      </c>
      <c r="E173" s="44">
        <v>500</v>
      </c>
      <c r="F173" s="273">
        <v>3200</v>
      </c>
      <c r="G173" s="274">
        <v>13.6</v>
      </c>
      <c r="H173" s="46">
        <f t="shared" si="114"/>
        <v>1600000</v>
      </c>
      <c r="I173" s="46">
        <f t="shared" si="115"/>
        <v>6800</v>
      </c>
      <c r="J173" s="269">
        <f t="shared" si="116"/>
        <v>10681.610868510432</v>
      </c>
      <c r="K173" s="47"/>
      <c r="L173" s="47">
        <v>2200</v>
      </c>
      <c r="M173" s="48">
        <v>8</v>
      </c>
      <c r="N173" s="270">
        <f t="shared" si="117"/>
        <v>1100000</v>
      </c>
      <c r="O173" s="270">
        <f t="shared" si="117"/>
        <v>4000</v>
      </c>
      <c r="P173" s="271">
        <f t="shared" si="118"/>
        <v>6668.6074721009218</v>
      </c>
      <c r="Q173" s="137">
        <v>2000</v>
      </c>
      <c r="R173" s="79">
        <v>0</v>
      </c>
      <c r="S173" s="272">
        <f t="shared" si="109"/>
        <v>1000000</v>
      </c>
      <c r="T173" s="272">
        <f t="shared" si="104"/>
        <v>0</v>
      </c>
      <c r="U173" s="397">
        <f t="shared" si="119"/>
        <v>2426.0067928190201</v>
      </c>
      <c r="V173" s="409"/>
    </row>
    <row r="174" spans="2:22" ht="11.25" x14ac:dyDescent="0.25">
      <c r="B174" s="51" t="s">
        <v>298</v>
      </c>
      <c r="C174" s="42" t="s">
        <v>299</v>
      </c>
      <c r="D174" s="53"/>
      <c r="E174" s="44"/>
      <c r="F174" s="273"/>
      <c r="G174" s="274"/>
      <c r="H174" s="46"/>
      <c r="I174" s="46"/>
      <c r="J174" s="269">
        <f t="shared" si="116"/>
        <v>0</v>
      </c>
      <c r="K174" s="47"/>
      <c r="L174" s="47"/>
      <c r="M174" s="48"/>
      <c r="N174" s="302"/>
      <c r="O174" s="302"/>
      <c r="P174" s="303"/>
      <c r="Q174" s="275"/>
      <c r="R174" s="88">
        <v>0</v>
      </c>
      <c r="S174" s="276">
        <f t="shared" si="109"/>
        <v>0</v>
      </c>
      <c r="T174" s="276">
        <f t="shared" si="104"/>
        <v>0</v>
      </c>
      <c r="U174" s="398">
        <f t="shared" si="119"/>
        <v>0</v>
      </c>
      <c r="V174" s="409"/>
    </row>
    <row r="175" spans="2:22" ht="24.6" customHeight="1" x14ac:dyDescent="0.25">
      <c r="B175" s="51" t="s">
        <v>300</v>
      </c>
      <c r="C175" s="42" t="s">
        <v>301</v>
      </c>
      <c r="D175" s="53" t="s">
        <v>233</v>
      </c>
      <c r="E175" s="106">
        <v>500</v>
      </c>
      <c r="F175" s="273">
        <v>40000</v>
      </c>
      <c r="G175" s="274">
        <v>85</v>
      </c>
      <c r="H175" s="46">
        <f>E175*F175</f>
        <v>20000000</v>
      </c>
      <c r="I175" s="46">
        <f>E175*G175</f>
        <v>42500</v>
      </c>
      <c r="J175" s="269">
        <f t="shared" si="116"/>
        <v>91020.135856380395</v>
      </c>
      <c r="K175" s="47"/>
      <c r="L175" s="47">
        <v>32000</v>
      </c>
      <c r="M175" s="48">
        <v>75</v>
      </c>
      <c r="N175" s="270">
        <f t="shared" ref="N175:O176" si="120">$E175*L175</f>
        <v>16000000</v>
      </c>
      <c r="O175" s="270">
        <f t="shared" si="120"/>
        <v>37500</v>
      </c>
      <c r="P175" s="271">
        <f>O175+(N175/$K$2)</f>
        <v>76316.108685104322</v>
      </c>
      <c r="Q175" s="137">
        <v>25000</v>
      </c>
      <c r="R175" s="79">
        <v>0</v>
      </c>
      <c r="S175" s="272">
        <f t="shared" si="109"/>
        <v>12500000</v>
      </c>
      <c r="T175" s="272">
        <f t="shared" si="104"/>
        <v>0</v>
      </c>
      <c r="U175" s="399">
        <f t="shared" si="119"/>
        <v>30325.084910237751</v>
      </c>
      <c r="V175" s="409"/>
    </row>
    <row r="176" spans="2:22" ht="53.45" customHeight="1" x14ac:dyDescent="0.25">
      <c r="B176" s="51" t="s">
        <v>302</v>
      </c>
      <c r="C176" s="42" t="s">
        <v>303</v>
      </c>
      <c r="D176" s="53" t="s">
        <v>233</v>
      </c>
      <c r="E176" s="106">
        <v>500</v>
      </c>
      <c r="F176" s="273">
        <v>56000</v>
      </c>
      <c r="G176" s="274">
        <v>155</v>
      </c>
      <c r="H176" s="46">
        <f>E176*F176</f>
        <v>28000000</v>
      </c>
      <c r="I176" s="46">
        <f>E176*G176</f>
        <v>77500</v>
      </c>
      <c r="J176" s="269">
        <f t="shared" si="116"/>
        <v>145428.19019893254</v>
      </c>
      <c r="K176" s="47"/>
      <c r="L176" s="47">
        <v>45000</v>
      </c>
      <c r="M176" s="48">
        <v>110</v>
      </c>
      <c r="N176" s="270">
        <f t="shared" si="120"/>
        <v>22500000</v>
      </c>
      <c r="O176" s="270">
        <f t="shared" si="120"/>
        <v>55000</v>
      </c>
      <c r="P176" s="271">
        <f>O176+(N176/$K$2)</f>
        <v>109585.15283842795</v>
      </c>
      <c r="Q176" s="137">
        <v>35000</v>
      </c>
      <c r="R176" s="79">
        <v>0</v>
      </c>
      <c r="S176" s="272">
        <f t="shared" si="109"/>
        <v>17500000</v>
      </c>
      <c r="T176" s="272">
        <f t="shared" si="104"/>
        <v>0</v>
      </c>
      <c r="U176" s="397">
        <f t="shared" si="119"/>
        <v>42455.118874332846</v>
      </c>
      <c r="V176" s="409"/>
    </row>
    <row r="177" spans="2:22" ht="11.25" x14ac:dyDescent="0.25">
      <c r="B177" s="51" t="s">
        <v>304</v>
      </c>
      <c r="C177" s="42" t="s">
        <v>305</v>
      </c>
      <c r="D177" s="53"/>
      <c r="E177" s="44"/>
      <c r="F177" s="273"/>
      <c r="G177" s="274"/>
      <c r="H177" s="46"/>
      <c r="I177" s="46"/>
      <c r="J177" s="269">
        <f t="shared" si="116"/>
        <v>0</v>
      </c>
      <c r="K177" s="47"/>
      <c r="L177" s="47"/>
      <c r="M177" s="48"/>
      <c r="N177" s="302"/>
      <c r="O177" s="302"/>
      <c r="P177" s="303"/>
      <c r="Q177" s="275"/>
      <c r="R177" s="88">
        <v>0</v>
      </c>
      <c r="S177" s="276">
        <f t="shared" si="109"/>
        <v>0</v>
      </c>
      <c r="T177" s="276">
        <f t="shared" si="104"/>
        <v>0</v>
      </c>
      <c r="U177" s="398">
        <f t="shared" si="119"/>
        <v>0</v>
      </c>
      <c r="V177" s="409"/>
    </row>
    <row r="178" spans="2:22" ht="23.25" thickBot="1" x14ac:dyDescent="0.3">
      <c r="B178" s="54" t="s">
        <v>306</v>
      </c>
      <c r="C178" s="125" t="s">
        <v>307</v>
      </c>
      <c r="D178" s="83" t="s">
        <v>233</v>
      </c>
      <c r="E178" s="57">
        <v>500</v>
      </c>
      <c r="F178" s="278">
        <v>100000</v>
      </c>
      <c r="G178" s="279">
        <v>100</v>
      </c>
      <c r="H178" s="58">
        <f>E178*F178</f>
        <v>50000000</v>
      </c>
      <c r="I178" s="58">
        <f>E178*G178</f>
        <v>50000</v>
      </c>
      <c r="J178" s="269">
        <f t="shared" si="116"/>
        <v>171300.33964095102</v>
      </c>
      <c r="K178" s="59"/>
      <c r="L178" s="59">
        <v>105250</v>
      </c>
      <c r="M178" s="60">
        <v>90</v>
      </c>
      <c r="N178" s="270">
        <f t="shared" ref="N178:O178" si="121">$E178*L178</f>
        <v>52625000</v>
      </c>
      <c r="O178" s="270">
        <f t="shared" si="121"/>
        <v>45000</v>
      </c>
      <c r="P178" s="271">
        <f>O178+(N178/$K$2)</f>
        <v>172668.60747210094</v>
      </c>
      <c r="Q178" s="280">
        <v>60000</v>
      </c>
      <c r="R178" s="104">
        <v>0</v>
      </c>
      <c r="S178" s="281">
        <f t="shared" si="109"/>
        <v>30000000</v>
      </c>
      <c r="T178" s="281">
        <f t="shared" si="104"/>
        <v>0</v>
      </c>
      <c r="U178" s="400">
        <f t="shared" si="119"/>
        <v>72780.203784570593</v>
      </c>
      <c r="V178" s="409"/>
    </row>
    <row r="179" spans="2:22" ht="12" thickBot="1" x14ac:dyDescent="0.3">
      <c r="B179" s="447" t="s">
        <v>308</v>
      </c>
      <c r="C179" s="448"/>
      <c r="D179" s="173"/>
      <c r="E179" s="286"/>
      <c r="F179" s="65"/>
      <c r="G179" s="63"/>
      <c r="H179" s="63">
        <f>SUM(H168:H178)</f>
        <v>149280000</v>
      </c>
      <c r="I179" s="63">
        <f t="shared" ref="I179:J179" si="122">SUM(I168:I178)</f>
        <v>290800</v>
      </c>
      <c r="J179" s="64">
        <f t="shared" si="122"/>
        <v>652954.29403202329</v>
      </c>
      <c r="K179" s="65"/>
      <c r="L179" s="65"/>
      <c r="M179" s="63"/>
      <c r="N179" s="63">
        <f t="shared" ref="N179:P179" si="123">SUM(N168:N178)</f>
        <v>190475000</v>
      </c>
      <c r="O179" s="63">
        <f t="shared" si="123"/>
        <v>255000</v>
      </c>
      <c r="P179" s="67">
        <f t="shared" si="123"/>
        <v>717093.64386220276</v>
      </c>
      <c r="Q179" s="282"/>
      <c r="R179" s="256"/>
      <c r="S179" s="63">
        <f t="shared" ref="S179:U179" si="124">SUM(S168:S178)</f>
        <v>91425000</v>
      </c>
      <c r="T179" s="63">
        <f t="shared" si="124"/>
        <v>0</v>
      </c>
      <c r="U179" s="67">
        <f t="shared" si="124"/>
        <v>221797.67103347889</v>
      </c>
      <c r="V179" s="409"/>
    </row>
    <row r="180" spans="2:22" ht="11.25" x14ac:dyDescent="0.25">
      <c r="B180" s="418" t="s">
        <v>309</v>
      </c>
      <c r="C180" s="419" t="s">
        <v>310</v>
      </c>
      <c r="D180" s="420"/>
      <c r="E180" s="70"/>
      <c r="F180" s="267"/>
      <c r="G180" s="268"/>
      <c r="H180" s="86"/>
      <c r="I180" s="86"/>
      <c r="J180" s="87"/>
      <c r="K180" s="73"/>
      <c r="L180" s="73"/>
      <c r="M180" s="74"/>
      <c r="N180" s="75"/>
      <c r="O180" s="75"/>
      <c r="P180" s="285"/>
      <c r="Q180" s="265"/>
      <c r="R180" s="75"/>
      <c r="S180" s="75"/>
      <c r="T180" s="75"/>
      <c r="U180" s="285"/>
      <c r="V180" s="409"/>
    </row>
    <row r="181" spans="2:22" ht="11.25" x14ac:dyDescent="0.25">
      <c r="B181" s="126" t="s">
        <v>311</v>
      </c>
      <c r="C181" s="127" t="s">
        <v>312</v>
      </c>
      <c r="D181" s="118"/>
      <c r="E181" s="37"/>
      <c r="F181" s="267"/>
      <c r="G181" s="268"/>
      <c r="H181" s="86"/>
      <c r="I181" s="86"/>
      <c r="J181" s="87"/>
      <c r="K181" s="40"/>
      <c r="L181" s="40"/>
      <c r="M181" s="41"/>
      <c r="N181" s="88"/>
      <c r="O181" s="88"/>
      <c r="P181" s="287"/>
      <c r="Q181" s="137"/>
      <c r="R181" s="79"/>
      <c r="S181" s="79"/>
      <c r="T181" s="79"/>
      <c r="U181" s="277"/>
      <c r="V181" s="409"/>
    </row>
    <row r="182" spans="2:22" ht="107.45" customHeight="1" x14ac:dyDescent="0.25">
      <c r="B182" s="128" t="s">
        <v>313</v>
      </c>
      <c r="C182" s="42" t="s">
        <v>314</v>
      </c>
      <c r="D182" s="43" t="s">
        <v>233</v>
      </c>
      <c r="E182" s="44">
        <v>600</v>
      </c>
      <c r="F182" s="273">
        <v>240000</v>
      </c>
      <c r="G182" s="274">
        <v>200</v>
      </c>
      <c r="H182" s="46">
        <f>E182*F182</f>
        <v>144000000</v>
      </c>
      <c r="I182" s="46">
        <f>E182*G182</f>
        <v>120000</v>
      </c>
      <c r="J182" s="269">
        <f t="shared" ref="J182:J192" si="125">(H182/412.2)+I182</f>
        <v>469344.97816593887</v>
      </c>
      <c r="K182" s="47"/>
      <c r="L182" s="47">
        <v>175000</v>
      </c>
      <c r="M182" s="48">
        <v>125</v>
      </c>
      <c r="N182" s="270">
        <f t="shared" ref="N182:O192" si="126">$E182*L182</f>
        <v>105000000</v>
      </c>
      <c r="O182" s="270">
        <f t="shared" si="126"/>
        <v>75000</v>
      </c>
      <c r="P182" s="271">
        <f t="shared" ref="P182:P192" si="127">O182+(N182/$K$2)</f>
        <v>329730.71324599709</v>
      </c>
      <c r="Q182" s="137">
        <v>240000</v>
      </c>
      <c r="R182" s="79">
        <v>450</v>
      </c>
      <c r="S182" s="272">
        <f t="shared" si="109"/>
        <v>144000000</v>
      </c>
      <c r="T182" s="272">
        <f t="shared" si="104"/>
        <v>270000</v>
      </c>
      <c r="U182" s="399">
        <f>T182+(S182/$K$2)</f>
        <v>619344.97816593887</v>
      </c>
      <c r="V182" s="409"/>
    </row>
    <row r="183" spans="2:22" ht="106.5" customHeight="1" x14ac:dyDescent="0.25">
      <c r="B183" s="128" t="s">
        <v>315</v>
      </c>
      <c r="C183" s="42" t="s">
        <v>316</v>
      </c>
      <c r="D183" s="53" t="s">
        <v>233</v>
      </c>
      <c r="E183" s="44">
        <v>100</v>
      </c>
      <c r="F183" s="273">
        <v>420000</v>
      </c>
      <c r="G183" s="274">
        <v>350</v>
      </c>
      <c r="H183" s="46">
        <f>E183*F183</f>
        <v>42000000</v>
      </c>
      <c r="I183" s="46">
        <f>E183*G183</f>
        <v>35000</v>
      </c>
      <c r="J183" s="269">
        <f t="shared" si="125"/>
        <v>136892.28529839884</v>
      </c>
      <c r="K183" s="47"/>
      <c r="L183" s="47">
        <v>400000</v>
      </c>
      <c r="M183" s="48">
        <v>185</v>
      </c>
      <c r="N183" s="270">
        <f t="shared" si="126"/>
        <v>40000000</v>
      </c>
      <c r="O183" s="270">
        <f t="shared" si="126"/>
        <v>18500</v>
      </c>
      <c r="P183" s="271">
        <f t="shared" si="127"/>
        <v>115540.2717127608</v>
      </c>
      <c r="Q183" s="137">
        <v>240000</v>
      </c>
      <c r="R183" s="79">
        <v>450</v>
      </c>
      <c r="S183" s="272">
        <f t="shared" si="109"/>
        <v>24000000</v>
      </c>
      <c r="T183" s="272">
        <f t="shared" si="104"/>
        <v>45000</v>
      </c>
      <c r="U183" s="397">
        <f t="shared" ref="U183:U192" si="128">T183+(S183/$K$2)</f>
        <v>103224.16302765647</v>
      </c>
      <c r="V183" s="409"/>
    </row>
    <row r="184" spans="2:22" ht="11.25" x14ac:dyDescent="0.25">
      <c r="B184" s="128" t="s">
        <v>317</v>
      </c>
      <c r="C184" s="123" t="s">
        <v>318</v>
      </c>
      <c r="D184" s="120"/>
      <c r="E184" s="44"/>
      <c r="F184" s="273"/>
      <c r="G184" s="274"/>
      <c r="H184" s="77"/>
      <c r="I184" s="77"/>
      <c r="J184" s="87">
        <f t="shared" si="125"/>
        <v>0</v>
      </c>
      <c r="K184" s="47"/>
      <c r="L184" s="47"/>
      <c r="M184" s="48"/>
      <c r="N184" s="88">
        <f t="shared" si="126"/>
        <v>0</v>
      </c>
      <c r="O184" s="88">
        <f t="shared" si="126"/>
        <v>0</v>
      </c>
      <c r="P184" s="287">
        <f t="shared" si="127"/>
        <v>0</v>
      </c>
      <c r="Q184" s="275"/>
      <c r="R184" s="88"/>
      <c r="S184" s="88">
        <f t="shared" si="109"/>
        <v>0</v>
      </c>
      <c r="T184" s="88">
        <f t="shared" si="104"/>
        <v>0</v>
      </c>
      <c r="U184" s="277">
        <f t="shared" si="128"/>
        <v>0</v>
      </c>
      <c r="V184" s="409"/>
    </row>
    <row r="185" spans="2:22" ht="57.95" customHeight="1" x14ac:dyDescent="0.25">
      <c r="B185" s="128" t="s">
        <v>319</v>
      </c>
      <c r="C185" s="42" t="s">
        <v>320</v>
      </c>
      <c r="D185" s="53" t="s">
        <v>233</v>
      </c>
      <c r="E185" s="44">
        <v>10</v>
      </c>
      <c r="F185" s="273">
        <v>200000</v>
      </c>
      <c r="G185" s="274">
        <v>350</v>
      </c>
      <c r="H185" s="46">
        <f t="shared" ref="H185:H192" si="129">E185*F185</f>
        <v>2000000</v>
      </c>
      <c r="I185" s="46">
        <f t="shared" ref="I185:I192" si="130">E185*G185</f>
        <v>3500</v>
      </c>
      <c r="J185" s="269">
        <f t="shared" si="125"/>
        <v>8352.0135856380402</v>
      </c>
      <c r="K185" s="47"/>
      <c r="L185" s="47">
        <v>175000</v>
      </c>
      <c r="M185" s="48">
        <v>220</v>
      </c>
      <c r="N185" s="270">
        <f t="shared" si="126"/>
        <v>1750000</v>
      </c>
      <c r="O185" s="270">
        <f t="shared" si="126"/>
        <v>2200</v>
      </c>
      <c r="P185" s="271">
        <f t="shared" si="127"/>
        <v>6445.5118874332848</v>
      </c>
      <c r="Q185" s="137">
        <v>240000</v>
      </c>
      <c r="R185" s="79">
        <v>50</v>
      </c>
      <c r="S185" s="272">
        <f t="shared" si="109"/>
        <v>2400000</v>
      </c>
      <c r="T185" s="272">
        <f t="shared" si="104"/>
        <v>500</v>
      </c>
      <c r="U185" s="399">
        <f t="shared" si="128"/>
        <v>6322.4163027656477</v>
      </c>
      <c r="V185" s="409"/>
    </row>
    <row r="186" spans="2:22" ht="11.25" x14ac:dyDescent="0.25">
      <c r="B186" s="128" t="s">
        <v>321</v>
      </c>
      <c r="C186" s="42" t="s">
        <v>25</v>
      </c>
      <c r="D186" s="53" t="s">
        <v>233</v>
      </c>
      <c r="E186" s="44">
        <v>10</v>
      </c>
      <c r="F186" s="273">
        <v>240000</v>
      </c>
      <c r="G186" s="274">
        <v>450</v>
      </c>
      <c r="H186" s="46">
        <f t="shared" si="129"/>
        <v>2400000</v>
      </c>
      <c r="I186" s="46">
        <f t="shared" si="130"/>
        <v>4500</v>
      </c>
      <c r="J186" s="269">
        <f t="shared" si="125"/>
        <v>10322.416302765647</v>
      </c>
      <c r="K186" s="47"/>
      <c r="L186" s="47">
        <v>180000</v>
      </c>
      <c r="M186" s="48">
        <v>250</v>
      </c>
      <c r="N186" s="270">
        <f t="shared" si="126"/>
        <v>1800000</v>
      </c>
      <c r="O186" s="270">
        <f t="shared" si="126"/>
        <v>2500</v>
      </c>
      <c r="P186" s="271">
        <f t="shared" si="127"/>
        <v>6866.812227074236</v>
      </c>
      <c r="Q186" s="137">
        <v>400000</v>
      </c>
      <c r="R186" s="79">
        <v>50</v>
      </c>
      <c r="S186" s="272">
        <f t="shared" si="109"/>
        <v>4000000</v>
      </c>
      <c r="T186" s="272">
        <f t="shared" si="104"/>
        <v>500</v>
      </c>
      <c r="U186" s="399">
        <f t="shared" si="128"/>
        <v>10204.02717127608</v>
      </c>
      <c r="V186" s="409"/>
    </row>
    <row r="187" spans="2:22" ht="11.25" x14ac:dyDescent="0.25">
      <c r="B187" s="128" t="s">
        <v>322</v>
      </c>
      <c r="C187" s="42" t="s">
        <v>27</v>
      </c>
      <c r="D187" s="53" t="s">
        <v>233</v>
      </c>
      <c r="E187" s="44">
        <v>10</v>
      </c>
      <c r="F187" s="273">
        <v>260000</v>
      </c>
      <c r="G187" s="274">
        <v>550</v>
      </c>
      <c r="H187" s="46">
        <f t="shared" si="129"/>
        <v>2600000</v>
      </c>
      <c r="I187" s="46">
        <f t="shared" si="130"/>
        <v>5500</v>
      </c>
      <c r="J187" s="269">
        <f t="shared" si="125"/>
        <v>11807.617661329452</v>
      </c>
      <c r="K187" s="47"/>
      <c r="L187" s="47">
        <v>185000</v>
      </c>
      <c r="M187" s="48">
        <v>350</v>
      </c>
      <c r="N187" s="270">
        <f t="shared" si="126"/>
        <v>1850000</v>
      </c>
      <c r="O187" s="270">
        <f t="shared" si="126"/>
        <v>3500</v>
      </c>
      <c r="P187" s="271">
        <f t="shared" si="127"/>
        <v>7988.1125667151873</v>
      </c>
      <c r="Q187" s="137">
        <v>450000</v>
      </c>
      <c r="R187" s="79">
        <v>50</v>
      </c>
      <c r="S187" s="272">
        <f t="shared" si="109"/>
        <v>4500000</v>
      </c>
      <c r="T187" s="272">
        <f t="shared" si="104"/>
        <v>500</v>
      </c>
      <c r="U187" s="399">
        <f t="shared" si="128"/>
        <v>11417.03056768559</v>
      </c>
      <c r="V187" s="409"/>
    </row>
    <row r="188" spans="2:22" ht="11.25" x14ac:dyDescent="0.25">
      <c r="B188" s="128" t="s">
        <v>323</v>
      </c>
      <c r="C188" s="42" t="s">
        <v>29</v>
      </c>
      <c r="D188" s="53" t="s">
        <v>233</v>
      </c>
      <c r="E188" s="44">
        <v>10</v>
      </c>
      <c r="F188" s="273">
        <v>280000</v>
      </c>
      <c r="G188" s="274">
        <v>650</v>
      </c>
      <c r="H188" s="46">
        <f t="shared" si="129"/>
        <v>2800000</v>
      </c>
      <c r="I188" s="46">
        <f t="shared" si="130"/>
        <v>6500</v>
      </c>
      <c r="J188" s="269">
        <f t="shared" si="125"/>
        <v>13292.819019893257</v>
      </c>
      <c r="K188" s="47"/>
      <c r="L188" s="47">
        <v>190000</v>
      </c>
      <c r="M188" s="48">
        <v>450</v>
      </c>
      <c r="N188" s="270">
        <f t="shared" si="126"/>
        <v>1900000</v>
      </c>
      <c r="O188" s="270">
        <f t="shared" si="126"/>
        <v>4500</v>
      </c>
      <c r="P188" s="271">
        <f t="shared" si="127"/>
        <v>9109.4129063561377</v>
      </c>
      <c r="Q188" s="137">
        <v>450000</v>
      </c>
      <c r="R188" s="79">
        <v>50</v>
      </c>
      <c r="S188" s="272">
        <f t="shared" si="109"/>
        <v>4500000</v>
      </c>
      <c r="T188" s="272">
        <f t="shared" si="104"/>
        <v>500</v>
      </c>
      <c r="U188" s="399">
        <f t="shared" si="128"/>
        <v>11417.03056768559</v>
      </c>
      <c r="V188" s="409"/>
    </row>
    <row r="189" spans="2:22" ht="11.25" x14ac:dyDescent="0.25">
      <c r="B189" s="128" t="s">
        <v>324</v>
      </c>
      <c r="C189" s="42" t="s">
        <v>31</v>
      </c>
      <c r="D189" s="53" t="s">
        <v>233</v>
      </c>
      <c r="E189" s="44">
        <v>10</v>
      </c>
      <c r="F189" s="273">
        <v>300000</v>
      </c>
      <c r="G189" s="274">
        <v>750</v>
      </c>
      <c r="H189" s="46">
        <f t="shared" si="129"/>
        <v>3000000</v>
      </c>
      <c r="I189" s="46">
        <f t="shared" si="130"/>
        <v>7500</v>
      </c>
      <c r="J189" s="269">
        <f t="shared" si="125"/>
        <v>14778.020378457059</v>
      </c>
      <c r="K189" s="47"/>
      <c r="L189" s="47">
        <v>195000</v>
      </c>
      <c r="M189" s="48">
        <v>600</v>
      </c>
      <c r="N189" s="270">
        <f t="shared" si="126"/>
        <v>1950000</v>
      </c>
      <c r="O189" s="270">
        <f t="shared" si="126"/>
        <v>6000</v>
      </c>
      <c r="P189" s="271">
        <f t="shared" si="127"/>
        <v>10730.713245997089</v>
      </c>
      <c r="Q189" s="137">
        <v>450000</v>
      </c>
      <c r="R189" s="79">
        <v>50</v>
      </c>
      <c r="S189" s="272">
        <f t="shared" si="109"/>
        <v>4500000</v>
      </c>
      <c r="T189" s="272">
        <f t="shared" si="104"/>
        <v>500</v>
      </c>
      <c r="U189" s="399">
        <f t="shared" si="128"/>
        <v>11417.03056768559</v>
      </c>
      <c r="V189" s="409"/>
    </row>
    <row r="190" spans="2:22" ht="11.25" x14ac:dyDescent="0.25">
      <c r="B190" s="128" t="s">
        <v>325</v>
      </c>
      <c r="C190" s="42" t="s">
        <v>33</v>
      </c>
      <c r="D190" s="53" t="s">
        <v>233</v>
      </c>
      <c r="E190" s="44">
        <v>10</v>
      </c>
      <c r="F190" s="273">
        <v>320000</v>
      </c>
      <c r="G190" s="274">
        <v>850</v>
      </c>
      <c r="H190" s="46">
        <f t="shared" si="129"/>
        <v>3200000</v>
      </c>
      <c r="I190" s="46">
        <f t="shared" si="130"/>
        <v>8500</v>
      </c>
      <c r="J190" s="269">
        <f t="shared" si="125"/>
        <v>16263.221737020864</v>
      </c>
      <c r="K190" s="47"/>
      <c r="L190" s="47">
        <v>200000</v>
      </c>
      <c r="M190" s="48">
        <v>650</v>
      </c>
      <c r="N190" s="270">
        <f t="shared" si="126"/>
        <v>2000000</v>
      </c>
      <c r="O190" s="270">
        <f t="shared" si="126"/>
        <v>6500</v>
      </c>
      <c r="P190" s="271">
        <f t="shared" si="127"/>
        <v>11352.01358563804</v>
      </c>
      <c r="Q190" s="137">
        <v>450000</v>
      </c>
      <c r="R190" s="79">
        <v>50</v>
      </c>
      <c r="S190" s="272">
        <f t="shared" si="109"/>
        <v>4500000</v>
      </c>
      <c r="T190" s="272">
        <f t="shared" si="104"/>
        <v>500</v>
      </c>
      <c r="U190" s="399">
        <f t="shared" si="128"/>
        <v>11417.03056768559</v>
      </c>
      <c r="V190" s="409"/>
    </row>
    <row r="191" spans="2:22" ht="11.25" x14ac:dyDescent="0.25">
      <c r="B191" s="128" t="s">
        <v>326</v>
      </c>
      <c r="C191" s="49" t="s">
        <v>35</v>
      </c>
      <c r="D191" s="53" t="s">
        <v>233</v>
      </c>
      <c r="E191" s="44">
        <v>10</v>
      </c>
      <c r="F191" s="273">
        <v>340000</v>
      </c>
      <c r="G191" s="274">
        <v>950</v>
      </c>
      <c r="H191" s="46">
        <f t="shared" si="129"/>
        <v>3400000</v>
      </c>
      <c r="I191" s="46">
        <f t="shared" si="130"/>
        <v>9500</v>
      </c>
      <c r="J191" s="269">
        <f t="shared" si="125"/>
        <v>17748.423095584669</v>
      </c>
      <c r="K191" s="47"/>
      <c r="L191" s="47">
        <v>210000</v>
      </c>
      <c r="M191" s="48">
        <v>720</v>
      </c>
      <c r="N191" s="270">
        <f t="shared" si="126"/>
        <v>2100000</v>
      </c>
      <c r="O191" s="270">
        <f t="shared" si="126"/>
        <v>7200</v>
      </c>
      <c r="P191" s="271">
        <f t="shared" si="127"/>
        <v>12294.614264919943</v>
      </c>
      <c r="Q191" s="137">
        <v>450000</v>
      </c>
      <c r="R191" s="79">
        <v>50</v>
      </c>
      <c r="S191" s="272">
        <f t="shared" si="109"/>
        <v>4500000</v>
      </c>
      <c r="T191" s="272">
        <f t="shared" si="104"/>
        <v>500</v>
      </c>
      <c r="U191" s="399">
        <f t="shared" si="128"/>
        <v>11417.03056768559</v>
      </c>
      <c r="V191" s="409"/>
    </row>
    <row r="192" spans="2:22" ht="12" thickBot="1" x14ac:dyDescent="0.3">
      <c r="B192" s="129" t="s">
        <v>327</v>
      </c>
      <c r="C192" s="55" t="s">
        <v>37</v>
      </c>
      <c r="D192" s="83" t="s">
        <v>233</v>
      </c>
      <c r="E192" s="57">
        <v>10</v>
      </c>
      <c r="F192" s="304">
        <v>360000</v>
      </c>
      <c r="G192" s="305">
        <v>1050</v>
      </c>
      <c r="H192" s="130">
        <f t="shared" si="129"/>
        <v>3600000</v>
      </c>
      <c r="I192" s="130">
        <f t="shared" si="130"/>
        <v>10500</v>
      </c>
      <c r="J192" s="269">
        <f t="shared" si="125"/>
        <v>19233.62445414847</v>
      </c>
      <c r="K192" s="59"/>
      <c r="L192" s="59">
        <v>220000</v>
      </c>
      <c r="M192" s="60">
        <v>780</v>
      </c>
      <c r="N192" s="270">
        <f t="shared" si="126"/>
        <v>2200000</v>
      </c>
      <c r="O192" s="270">
        <f t="shared" si="126"/>
        <v>7800</v>
      </c>
      <c r="P192" s="271">
        <f t="shared" si="127"/>
        <v>13137.214944201844</v>
      </c>
      <c r="Q192" s="280">
        <v>450000</v>
      </c>
      <c r="R192" s="104">
        <v>50</v>
      </c>
      <c r="S192" s="281">
        <f t="shared" si="109"/>
        <v>4500000</v>
      </c>
      <c r="T192" s="281">
        <f t="shared" si="104"/>
        <v>500</v>
      </c>
      <c r="U192" s="400">
        <f t="shared" si="128"/>
        <v>11417.03056768559</v>
      </c>
      <c r="V192" s="409"/>
    </row>
    <row r="193" spans="2:22" ht="15.75" thickBot="1" x14ac:dyDescent="0.3">
      <c r="B193" s="447" t="s">
        <v>328</v>
      </c>
      <c r="C193" s="448"/>
      <c r="D193" s="173"/>
      <c r="E193" s="286"/>
      <c r="F193" s="65"/>
      <c r="G193" s="63"/>
      <c r="H193" s="63">
        <f>SUM(H182:H192)</f>
        <v>209000000</v>
      </c>
      <c r="I193" s="63">
        <f t="shared" ref="I193:J193" si="131">SUM(I182:I192)</f>
        <v>211000</v>
      </c>
      <c r="J193" s="64">
        <f t="shared" si="131"/>
        <v>718035.41969917505</v>
      </c>
      <c r="K193" s="65"/>
      <c r="L193" s="65"/>
      <c r="M193" s="63"/>
      <c r="N193" s="63">
        <f t="shared" ref="N193:P193" si="132">SUM(N182:N192)</f>
        <v>160550000</v>
      </c>
      <c r="O193" s="63">
        <f t="shared" si="132"/>
        <v>133700</v>
      </c>
      <c r="P193" s="67">
        <f t="shared" si="132"/>
        <v>523195.39058709366</v>
      </c>
      <c r="Q193" s="306"/>
      <c r="R193" s="307"/>
      <c r="S193" s="63">
        <f t="shared" ref="S193:U193" si="133">SUM(S182:S192)</f>
        <v>201400000</v>
      </c>
      <c r="T193" s="63">
        <f t="shared" si="133"/>
        <v>319000</v>
      </c>
      <c r="U193" s="67">
        <f t="shared" si="133"/>
        <v>807597.76807375066</v>
      </c>
      <c r="V193" s="409"/>
    </row>
    <row r="194" spans="2:22" ht="11.25" x14ac:dyDescent="0.25">
      <c r="B194" s="418" t="s">
        <v>329</v>
      </c>
      <c r="C194" s="419" t="s">
        <v>330</v>
      </c>
      <c r="D194" s="420"/>
      <c r="E194" s="70"/>
      <c r="F194" s="283"/>
      <c r="G194" s="284"/>
      <c r="H194" s="71"/>
      <c r="I194" s="71"/>
      <c r="J194" s="72"/>
      <c r="K194" s="73"/>
      <c r="L194" s="73"/>
      <c r="M194" s="74"/>
      <c r="N194" s="75"/>
      <c r="O194" s="75"/>
      <c r="P194" s="285"/>
      <c r="Q194" s="265"/>
      <c r="R194" s="75"/>
      <c r="S194" s="75"/>
      <c r="T194" s="75">
        <f t="shared" si="104"/>
        <v>0</v>
      </c>
      <c r="U194" s="285"/>
      <c r="V194" s="409"/>
    </row>
    <row r="195" spans="2:22" ht="89.1" customHeight="1" x14ac:dyDescent="0.25">
      <c r="B195" s="126" t="s">
        <v>331</v>
      </c>
      <c r="C195" s="113" t="s">
        <v>332</v>
      </c>
      <c r="D195" s="92" t="s">
        <v>23</v>
      </c>
      <c r="E195" s="131">
        <v>100</v>
      </c>
      <c r="F195" s="308">
        <v>300000</v>
      </c>
      <c r="G195" s="268">
        <v>1000</v>
      </c>
      <c r="H195" s="39">
        <f>E195*F195</f>
        <v>30000000</v>
      </c>
      <c r="I195" s="39">
        <f>E195*G195</f>
        <v>100000</v>
      </c>
      <c r="J195" s="309">
        <f t="shared" ref="J195:J221" si="134">(H195/412.2)+I195</f>
        <v>172780.20378457059</v>
      </c>
      <c r="K195" s="275"/>
      <c r="L195" s="275">
        <v>320000</v>
      </c>
      <c r="M195" s="88">
        <v>1000</v>
      </c>
      <c r="N195" s="270">
        <f t="shared" ref="N195:O195" si="135">$E195*L195</f>
        <v>32000000</v>
      </c>
      <c r="O195" s="270">
        <f t="shared" si="135"/>
        <v>100000</v>
      </c>
      <c r="P195" s="271">
        <f>O195+(N195/$K$2)</f>
        <v>177632.21737020864</v>
      </c>
      <c r="Q195" s="137">
        <v>250000</v>
      </c>
      <c r="R195" s="79">
        <v>450</v>
      </c>
      <c r="S195" s="272">
        <f>E195*Q195</f>
        <v>25000000</v>
      </c>
      <c r="T195" s="272">
        <f>R195*E195</f>
        <v>45000</v>
      </c>
      <c r="U195" s="397">
        <f>T195+(S195/$K$2)</f>
        <v>105650.16982047551</v>
      </c>
      <c r="V195" s="409"/>
    </row>
    <row r="196" spans="2:22" ht="11.25" x14ac:dyDescent="0.25">
      <c r="B196" s="132" t="s">
        <v>333</v>
      </c>
      <c r="C196" s="310" t="s">
        <v>334</v>
      </c>
      <c r="D196" s="53"/>
      <c r="E196" s="142"/>
      <c r="F196" s="311"/>
      <c r="G196" s="274"/>
      <c r="H196" s="46"/>
      <c r="I196" s="46"/>
      <c r="J196" s="309">
        <f t="shared" si="134"/>
        <v>0</v>
      </c>
      <c r="K196" s="137"/>
      <c r="L196" s="137"/>
      <c r="M196" s="79"/>
      <c r="N196" s="302"/>
      <c r="O196" s="302"/>
      <c r="P196" s="303"/>
      <c r="Q196" s="275"/>
      <c r="R196" s="88"/>
      <c r="S196" s="276"/>
      <c r="T196" s="276">
        <f t="shared" ref="T196:T216" si="136">R196*E196</f>
        <v>0</v>
      </c>
      <c r="U196" s="398">
        <f t="shared" ref="U196:U221" si="137">T196+(S196/$K$2)</f>
        <v>0</v>
      </c>
      <c r="V196" s="409"/>
    </row>
    <row r="197" spans="2:22" ht="29.1" customHeight="1" x14ac:dyDescent="0.25">
      <c r="B197" s="128" t="s">
        <v>335</v>
      </c>
      <c r="C197" s="52" t="s">
        <v>336</v>
      </c>
      <c r="D197" s="53" t="s">
        <v>337</v>
      </c>
      <c r="E197" s="133">
        <f>3*13*4</f>
        <v>156</v>
      </c>
      <c r="F197" s="311">
        <v>633594.85</v>
      </c>
      <c r="G197" s="274"/>
      <c r="H197" s="46">
        <f t="shared" ref="H197:H216" si="138">E197*F197</f>
        <v>98840796.599999994</v>
      </c>
      <c r="I197" s="46">
        <f t="shared" ref="I197:I215" si="139">E197*G197</f>
        <v>0</v>
      </c>
      <c r="J197" s="309">
        <f t="shared" si="134"/>
        <v>239788.44395924307</v>
      </c>
      <c r="K197" s="76"/>
      <c r="L197" s="76">
        <v>633594.85</v>
      </c>
      <c r="M197" s="77"/>
      <c r="N197" s="270">
        <f t="shared" ref="N197:O216" si="140">$E197*L197</f>
        <v>98840796.599999994</v>
      </c>
      <c r="O197" s="270">
        <f t="shared" si="140"/>
        <v>0</v>
      </c>
      <c r="P197" s="271">
        <f t="shared" ref="P197:P221" si="141">O197+(N197/$K$2)</f>
        <v>239788.44395924307</v>
      </c>
      <c r="Q197" s="137">
        <v>650000</v>
      </c>
      <c r="R197" s="312">
        <v>0</v>
      </c>
      <c r="S197" s="272">
        <f t="shared" ref="S197:S216" si="142">Q197*E197</f>
        <v>101400000</v>
      </c>
      <c r="T197" s="272">
        <f t="shared" si="136"/>
        <v>0</v>
      </c>
      <c r="U197" s="399">
        <f t="shared" si="137"/>
        <v>245997.08879184863</v>
      </c>
      <c r="V197" s="409"/>
    </row>
    <row r="198" spans="2:22" ht="26.45" customHeight="1" x14ac:dyDescent="0.25">
      <c r="B198" s="128" t="s">
        <v>338</v>
      </c>
      <c r="C198" s="52" t="s">
        <v>339</v>
      </c>
      <c r="D198" s="53" t="s">
        <v>337</v>
      </c>
      <c r="E198" s="133">
        <f>1*13*4</f>
        <v>52</v>
      </c>
      <c r="F198" s="311">
        <v>506733.57</v>
      </c>
      <c r="G198" s="274"/>
      <c r="H198" s="46">
        <f t="shared" si="138"/>
        <v>26350145.640000001</v>
      </c>
      <c r="I198" s="46">
        <f t="shared" si="139"/>
        <v>0</v>
      </c>
      <c r="J198" s="309">
        <f t="shared" si="134"/>
        <v>63925.632314410483</v>
      </c>
      <c r="K198" s="76"/>
      <c r="L198" s="76">
        <v>506733.57</v>
      </c>
      <c r="M198" s="77"/>
      <c r="N198" s="270">
        <f t="shared" si="140"/>
        <v>26350145.640000001</v>
      </c>
      <c r="O198" s="270">
        <f t="shared" si="140"/>
        <v>0</v>
      </c>
      <c r="P198" s="271">
        <f t="shared" si="141"/>
        <v>63925.632314410483</v>
      </c>
      <c r="Q198" s="137">
        <v>468000</v>
      </c>
      <c r="R198" s="312">
        <v>0</v>
      </c>
      <c r="S198" s="272">
        <f t="shared" si="142"/>
        <v>24336000</v>
      </c>
      <c r="T198" s="272">
        <f t="shared" si="136"/>
        <v>0</v>
      </c>
      <c r="U198" s="399">
        <f t="shared" si="137"/>
        <v>59039.301310043673</v>
      </c>
      <c r="V198" s="409"/>
    </row>
    <row r="199" spans="2:22" ht="33.75" x14ac:dyDescent="0.25">
      <c r="B199" s="128" t="s">
        <v>340</v>
      </c>
      <c r="C199" s="52" t="s">
        <v>341</v>
      </c>
      <c r="D199" s="53" t="s">
        <v>337</v>
      </c>
      <c r="E199" s="133">
        <f>1*13*4</f>
        <v>52</v>
      </c>
      <c r="F199" s="311">
        <v>633594.85199999996</v>
      </c>
      <c r="G199" s="274"/>
      <c r="H199" s="46">
        <f t="shared" si="138"/>
        <v>32946932.303999998</v>
      </c>
      <c r="I199" s="46">
        <f t="shared" si="139"/>
        <v>0</v>
      </c>
      <c r="J199" s="309">
        <f t="shared" si="134"/>
        <v>79929.481572052391</v>
      </c>
      <c r="K199" s="76"/>
      <c r="L199" s="76">
        <v>633594.85199999996</v>
      </c>
      <c r="M199" s="77"/>
      <c r="N199" s="270">
        <f t="shared" si="140"/>
        <v>32946932.303999998</v>
      </c>
      <c r="O199" s="270">
        <f t="shared" si="140"/>
        <v>0</v>
      </c>
      <c r="P199" s="271">
        <f t="shared" si="141"/>
        <v>79929.481572052391</v>
      </c>
      <c r="Q199" s="137">
        <v>650000</v>
      </c>
      <c r="R199" s="312">
        <v>0</v>
      </c>
      <c r="S199" s="272">
        <f t="shared" si="142"/>
        <v>33800000</v>
      </c>
      <c r="T199" s="272">
        <f t="shared" si="136"/>
        <v>0</v>
      </c>
      <c r="U199" s="399">
        <f t="shared" si="137"/>
        <v>81999.029597282875</v>
      </c>
      <c r="V199" s="409"/>
    </row>
    <row r="200" spans="2:22" ht="33.75" x14ac:dyDescent="0.25">
      <c r="B200" s="128" t="s">
        <v>342</v>
      </c>
      <c r="C200" s="52" t="s">
        <v>343</v>
      </c>
      <c r="D200" s="53" t="s">
        <v>337</v>
      </c>
      <c r="E200" s="133">
        <f t="shared" ref="E200:E202" si="143">1*13*4</f>
        <v>52</v>
      </c>
      <c r="F200" s="311">
        <v>506733.57</v>
      </c>
      <c r="G200" s="274"/>
      <c r="H200" s="46">
        <f t="shared" si="138"/>
        <v>26350145.640000001</v>
      </c>
      <c r="I200" s="46">
        <f t="shared" si="139"/>
        <v>0</v>
      </c>
      <c r="J200" s="309">
        <f t="shared" si="134"/>
        <v>63925.632314410483</v>
      </c>
      <c r="K200" s="76"/>
      <c r="L200" s="76">
        <v>506733.57</v>
      </c>
      <c r="M200" s="77"/>
      <c r="N200" s="270">
        <f t="shared" si="140"/>
        <v>26350145.640000001</v>
      </c>
      <c r="O200" s="270">
        <f t="shared" si="140"/>
        <v>0</v>
      </c>
      <c r="P200" s="271">
        <f t="shared" si="141"/>
        <v>63925.632314410483</v>
      </c>
      <c r="Q200" s="137">
        <v>458000</v>
      </c>
      <c r="R200" s="312">
        <v>0</v>
      </c>
      <c r="S200" s="272">
        <f t="shared" si="142"/>
        <v>23816000</v>
      </c>
      <c r="T200" s="272">
        <f t="shared" si="136"/>
        <v>0</v>
      </c>
      <c r="U200" s="399">
        <f t="shared" si="137"/>
        <v>57777.777777777781</v>
      </c>
      <c r="V200" s="409"/>
    </row>
    <row r="201" spans="2:22" ht="33.75" x14ac:dyDescent="0.25">
      <c r="B201" s="128" t="s">
        <v>344</v>
      </c>
      <c r="C201" s="52" t="s">
        <v>345</v>
      </c>
      <c r="D201" s="53" t="s">
        <v>337</v>
      </c>
      <c r="E201" s="133">
        <f t="shared" si="143"/>
        <v>52</v>
      </c>
      <c r="F201" s="311">
        <f>F200</f>
        <v>506733.57</v>
      </c>
      <c r="G201" s="274"/>
      <c r="H201" s="46">
        <f t="shared" si="138"/>
        <v>26350145.640000001</v>
      </c>
      <c r="I201" s="46">
        <f t="shared" si="139"/>
        <v>0</v>
      </c>
      <c r="J201" s="309">
        <f t="shared" si="134"/>
        <v>63925.632314410483</v>
      </c>
      <c r="K201" s="76"/>
      <c r="L201" s="76">
        <f>L200</f>
        <v>506733.57</v>
      </c>
      <c r="M201" s="77"/>
      <c r="N201" s="270">
        <f t="shared" si="140"/>
        <v>26350145.640000001</v>
      </c>
      <c r="O201" s="270">
        <f t="shared" si="140"/>
        <v>0</v>
      </c>
      <c r="P201" s="271">
        <f t="shared" si="141"/>
        <v>63925.632314410483</v>
      </c>
      <c r="Q201" s="137">
        <v>468000</v>
      </c>
      <c r="R201" s="312">
        <v>0</v>
      </c>
      <c r="S201" s="272">
        <f t="shared" si="142"/>
        <v>24336000</v>
      </c>
      <c r="T201" s="272">
        <f t="shared" si="136"/>
        <v>0</v>
      </c>
      <c r="U201" s="399">
        <f t="shared" si="137"/>
        <v>59039.301310043673</v>
      </c>
      <c r="V201" s="409"/>
    </row>
    <row r="202" spans="2:22" ht="33.75" x14ac:dyDescent="0.25">
      <c r="B202" s="128" t="s">
        <v>346</v>
      </c>
      <c r="C202" s="52" t="s">
        <v>347</v>
      </c>
      <c r="D202" s="53" t="s">
        <v>337</v>
      </c>
      <c r="E202" s="133">
        <f t="shared" si="143"/>
        <v>52</v>
      </c>
      <c r="F202" s="311">
        <f>F199</f>
        <v>633594.85199999996</v>
      </c>
      <c r="G202" s="274"/>
      <c r="H202" s="46">
        <f t="shared" si="138"/>
        <v>32946932.303999998</v>
      </c>
      <c r="I202" s="46">
        <f t="shared" si="139"/>
        <v>0</v>
      </c>
      <c r="J202" s="309">
        <f t="shared" si="134"/>
        <v>79929.481572052391</v>
      </c>
      <c r="K202" s="76"/>
      <c r="L202" s="76">
        <f>L199</f>
        <v>633594.85199999996</v>
      </c>
      <c r="M202" s="77"/>
      <c r="N202" s="270">
        <f t="shared" si="140"/>
        <v>32946932.303999998</v>
      </c>
      <c r="O202" s="270">
        <f t="shared" si="140"/>
        <v>0</v>
      </c>
      <c r="P202" s="271">
        <f t="shared" si="141"/>
        <v>79929.481572052391</v>
      </c>
      <c r="Q202" s="137">
        <v>650000</v>
      </c>
      <c r="R202" s="312">
        <v>0</v>
      </c>
      <c r="S202" s="272">
        <f t="shared" si="142"/>
        <v>33800000</v>
      </c>
      <c r="T202" s="272">
        <f t="shared" si="136"/>
        <v>0</v>
      </c>
      <c r="U202" s="399">
        <f t="shared" si="137"/>
        <v>81999.029597282875</v>
      </c>
      <c r="V202" s="409"/>
    </row>
    <row r="203" spans="2:22" ht="23.45" customHeight="1" x14ac:dyDescent="0.25">
      <c r="B203" s="128" t="s">
        <v>348</v>
      </c>
      <c r="C203" s="52" t="s">
        <v>349</v>
      </c>
      <c r="D203" s="53" t="s">
        <v>337</v>
      </c>
      <c r="E203" s="133">
        <f>2*13*4</f>
        <v>104</v>
      </c>
      <c r="F203" s="311">
        <v>579764.196</v>
      </c>
      <c r="G203" s="274"/>
      <c r="H203" s="46">
        <f t="shared" si="138"/>
        <v>60295476.384000003</v>
      </c>
      <c r="I203" s="46">
        <f t="shared" si="139"/>
        <v>0</v>
      </c>
      <c r="J203" s="309">
        <f t="shared" si="134"/>
        <v>146277.23528384281</v>
      </c>
      <c r="K203" s="76"/>
      <c r="L203" s="76">
        <v>579764.196</v>
      </c>
      <c r="M203" s="77"/>
      <c r="N203" s="270">
        <f t="shared" si="140"/>
        <v>60295476.384000003</v>
      </c>
      <c r="O203" s="270">
        <f t="shared" si="140"/>
        <v>0</v>
      </c>
      <c r="P203" s="271">
        <f t="shared" si="141"/>
        <v>146277.23528384281</v>
      </c>
      <c r="Q203" s="137">
        <f>F203</f>
        <v>579764.196</v>
      </c>
      <c r="R203" s="312">
        <v>0</v>
      </c>
      <c r="S203" s="272">
        <f t="shared" si="142"/>
        <v>60295476.384000003</v>
      </c>
      <c r="T203" s="272">
        <f t="shared" si="136"/>
        <v>0</v>
      </c>
      <c r="U203" s="399">
        <f t="shared" si="137"/>
        <v>146277.23528384281</v>
      </c>
      <c r="V203" s="409"/>
    </row>
    <row r="204" spans="2:22" ht="22.5" x14ac:dyDescent="0.25">
      <c r="B204" s="128" t="s">
        <v>350</v>
      </c>
      <c r="C204" s="52" t="s">
        <v>351</v>
      </c>
      <c r="D204" s="53" t="s">
        <v>337</v>
      </c>
      <c r="E204" s="133">
        <f>2*13*4</f>
        <v>104</v>
      </c>
      <c r="F204" s="311">
        <v>506733.57</v>
      </c>
      <c r="G204" s="274"/>
      <c r="H204" s="46">
        <f t="shared" si="138"/>
        <v>52700291.280000001</v>
      </c>
      <c r="I204" s="46">
        <f t="shared" si="139"/>
        <v>0</v>
      </c>
      <c r="J204" s="309">
        <f t="shared" si="134"/>
        <v>127851.26462882097</v>
      </c>
      <c r="K204" s="76"/>
      <c r="L204" s="76">
        <v>506733.57</v>
      </c>
      <c r="M204" s="77"/>
      <c r="N204" s="270">
        <f t="shared" si="140"/>
        <v>52700291.280000001</v>
      </c>
      <c r="O204" s="270">
        <f t="shared" si="140"/>
        <v>0</v>
      </c>
      <c r="P204" s="271">
        <f t="shared" si="141"/>
        <v>127851.26462882097</v>
      </c>
      <c r="Q204" s="137">
        <v>468000</v>
      </c>
      <c r="R204" s="312">
        <v>0</v>
      </c>
      <c r="S204" s="272">
        <f t="shared" si="142"/>
        <v>48672000</v>
      </c>
      <c r="T204" s="272">
        <f t="shared" si="136"/>
        <v>0</v>
      </c>
      <c r="U204" s="399">
        <f t="shared" si="137"/>
        <v>118078.60262008735</v>
      </c>
      <c r="V204" s="409"/>
    </row>
    <row r="205" spans="2:22" ht="22.5" x14ac:dyDescent="0.25">
      <c r="B205" s="128" t="s">
        <v>352</v>
      </c>
      <c r="C205" s="52" t="s">
        <v>353</v>
      </c>
      <c r="D205" s="53" t="s">
        <v>337</v>
      </c>
      <c r="E205" s="133">
        <f>3*13*4</f>
        <v>156</v>
      </c>
      <c r="F205" s="311">
        <f>F200</f>
        <v>506733.57</v>
      </c>
      <c r="G205" s="274"/>
      <c r="H205" s="46">
        <f t="shared" si="138"/>
        <v>79050436.920000002</v>
      </c>
      <c r="I205" s="46">
        <f t="shared" si="139"/>
        <v>0</v>
      </c>
      <c r="J205" s="309">
        <f t="shared" si="134"/>
        <v>191776.89694323146</v>
      </c>
      <c r="K205" s="76"/>
      <c r="L205" s="76">
        <f>L200</f>
        <v>506733.57</v>
      </c>
      <c r="M205" s="77"/>
      <c r="N205" s="270">
        <f t="shared" si="140"/>
        <v>79050436.920000002</v>
      </c>
      <c r="O205" s="270">
        <f t="shared" si="140"/>
        <v>0</v>
      </c>
      <c r="P205" s="271">
        <f t="shared" si="141"/>
        <v>191776.89694323146</v>
      </c>
      <c r="Q205" s="137">
        <v>468000</v>
      </c>
      <c r="R205" s="312">
        <v>0</v>
      </c>
      <c r="S205" s="272">
        <f t="shared" si="142"/>
        <v>73008000</v>
      </c>
      <c r="T205" s="272">
        <f t="shared" si="136"/>
        <v>0</v>
      </c>
      <c r="U205" s="399">
        <f t="shared" si="137"/>
        <v>177117.903930131</v>
      </c>
      <c r="V205" s="409"/>
    </row>
    <row r="206" spans="2:22" ht="22.5" x14ac:dyDescent="0.25">
      <c r="B206" s="128" t="s">
        <v>354</v>
      </c>
      <c r="C206" s="52" t="s">
        <v>355</v>
      </c>
      <c r="D206" s="53" t="s">
        <v>337</v>
      </c>
      <c r="E206" s="133">
        <f>3*13*4</f>
        <v>156</v>
      </c>
      <c r="F206" s="311">
        <v>450000</v>
      </c>
      <c r="G206" s="274"/>
      <c r="H206" s="46">
        <f t="shared" si="138"/>
        <v>70200000</v>
      </c>
      <c r="I206" s="46">
        <f t="shared" si="139"/>
        <v>0</v>
      </c>
      <c r="J206" s="309">
        <f t="shared" si="134"/>
        <v>170305.6768558952</v>
      </c>
      <c r="K206" s="76"/>
      <c r="L206" s="76">
        <v>450000</v>
      </c>
      <c r="M206" s="77"/>
      <c r="N206" s="270">
        <f t="shared" si="140"/>
        <v>70200000</v>
      </c>
      <c r="O206" s="270">
        <f t="shared" si="140"/>
        <v>0</v>
      </c>
      <c r="P206" s="271">
        <f t="shared" si="141"/>
        <v>170305.6768558952</v>
      </c>
      <c r="Q206" s="137">
        <v>390000</v>
      </c>
      <c r="R206" s="312">
        <v>0</v>
      </c>
      <c r="S206" s="272">
        <f t="shared" si="142"/>
        <v>60840000</v>
      </c>
      <c r="T206" s="272">
        <f t="shared" si="136"/>
        <v>0</v>
      </c>
      <c r="U206" s="399">
        <f t="shared" si="137"/>
        <v>147598.25327510916</v>
      </c>
      <c r="V206" s="409"/>
    </row>
    <row r="207" spans="2:22" ht="33.75" x14ac:dyDescent="0.25">
      <c r="B207" s="126" t="s">
        <v>356</v>
      </c>
      <c r="C207" s="35" t="s">
        <v>357</v>
      </c>
      <c r="D207" s="92" t="s">
        <v>337</v>
      </c>
      <c r="E207" s="131">
        <f>5*13*4</f>
        <v>260</v>
      </c>
      <c r="F207" s="308">
        <v>661263.07500000007</v>
      </c>
      <c r="G207" s="268"/>
      <c r="H207" s="39">
        <f t="shared" si="138"/>
        <v>171928399.50000003</v>
      </c>
      <c r="I207" s="39">
        <f t="shared" si="139"/>
        <v>0</v>
      </c>
      <c r="J207" s="309">
        <f t="shared" si="134"/>
        <v>417099.46506550227</v>
      </c>
      <c r="K207" s="85"/>
      <c r="L207" s="85">
        <v>661263.07500000007</v>
      </c>
      <c r="M207" s="86"/>
      <c r="N207" s="270">
        <f t="shared" si="140"/>
        <v>171928399.50000003</v>
      </c>
      <c r="O207" s="270">
        <f t="shared" si="140"/>
        <v>0</v>
      </c>
      <c r="P207" s="271">
        <f t="shared" si="141"/>
        <v>417099.46506550227</v>
      </c>
      <c r="Q207" s="137">
        <f>F207</f>
        <v>661263.07500000007</v>
      </c>
      <c r="R207" s="312">
        <v>0</v>
      </c>
      <c r="S207" s="272">
        <f t="shared" si="142"/>
        <v>171928399.50000003</v>
      </c>
      <c r="T207" s="272">
        <f t="shared" si="136"/>
        <v>0</v>
      </c>
      <c r="U207" s="399">
        <f t="shared" si="137"/>
        <v>417099.46506550227</v>
      </c>
      <c r="V207" s="409"/>
    </row>
    <row r="208" spans="2:22" ht="33.75" x14ac:dyDescent="0.25">
      <c r="B208" s="128" t="s">
        <v>358</v>
      </c>
      <c r="C208" s="52" t="s">
        <v>359</v>
      </c>
      <c r="D208" s="53" t="s">
        <v>337</v>
      </c>
      <c r="E208" s="133">
        <f>5*13*4</f>
        <v>260</v>
      </c>
      <c r="F208" s="311">
        <f>F202</f>
        <v>633594.85199999996</v>
      </c>
      <c r="G208" s="274"/>
      <c r="H208" s="46">
        <f t="shared" si="138"/>
        <v>164734661.51999998</v>
      </c>
      <c r="I208" s="46">
        <f t="shared" si="139"/>
        <v>0</v>
      </c>
      <c r="J208" s="309">
        <f t="shared" si="134"/>
        <v>399647.40786026197</v>
      </c>
      <c r="K208" s="76"/>
      <c r="L208" s="76">
        <f>L202</f>
        <v>633594.85199999996</v>
      </c>
      <c r="M208" s="77"/>
      <c r="N208" s="270">
        <f t="shared" si="140"/>
        <v>164734661.51999998</v>
      </c>
      <c r="O208" s="270">
        <f t="shared" si="140"/>
        <v>0</v>
      </c>
      <c r="P208" s="271">
        <f t="shared" si="141"/>
        <v>399647.40786026197</v>
      </c>
      <c r="Q208" s="137">
        <v>650000</v>
      </c>
      <c r="R208" s="312">
        <v>0</v>
      </c>
      <c r="S208" s="272">
        <f t="shared" si="142"/>
        <v>169000000</v>
      </c>
      <c r="T208" s="272">
        <f t="shared" si="136"/>
        <v>0</v>
      </c>
      <c r="U208" s="399">
        <f t="shared" si="137"/>
        <v>409995.14798641438</v>
      </c>
      <c r="V208" s="409"/>
    </row>
    <row r="209" spans="2:22" ht="33.75" x14ac:dyDescent="0.25">
      <c r="B209" s="128" t="s">
        <v>360</v>
      </c>
      <c r="C209" s="52" t="s">
        <v>361</v>
      </c>
      <c r="D209" s="53" t="s">
        <v>337</v>
      </c>
      <c r="E209" s="133">
        <f>5*13*4</f>
        <v>260</v>
      </c>
      <c r="F209" s="311">
        <v>579764.196</v>
      </c>
      <c r="G209" s="274"/>
      <c r="H209" s="46">
        <f t="shared" si="138"/>
        <v>150738690.96000001</v>
      </c>
      <c r="I209" s="46">
        <f t="shared" si="139"/>
        <v>0</v>
      </c>
      <c r="J209" s="309">
        <f t="shared" si="134"/>
        <v>365693.088209607</v>
      </c>
      <c r="K209" s="76"/>
      <c r="L209" s="76">
        <v>579764.196</v>
      </c>
      <c r="M209" s="77"/>
      <c r="N209" s="270">
        <f t="shared" si="140"/>
        <v>150738690.96000001</v>
      </c>
      <c r="O209" s="270">
        <f t="shared" si="140"/>
        <v>0</v>
      </c>
      <c r="P209" s="271">
        <f t="shared" si="141"/>
        <v>365693.088209607</v>
      </c>
      <c r="Q209" s="137">
        <f>F209</f>
        <v>579764.196</v>
      </c>
      <c r="R209" s="312">
        <v>0</v>
      </c>
      <c r="S209" s="272">
        <f t="shared" si="142"/>
        <v>150738690.96000001</v>
      </c>
      <c r="T209" s="272">
        <f t="shared" si="136"/>
        <v>0</v>
      </c>
      <c r="U209" s="399">
        <f t="shared" si="137"/>
        <v>365693.088209607</v>
      </c>
      <c r="V209" s="409"/>
    </row>
    <row r="210" spans="2:22" ht="24.95" customHeight="1" x14ac:dyDescent="0.25">
      <c r="B210" s="128" t="s">
        <v>362</v>
      </c>
      <c r="C210" s="134" t="s">
        <v>363</v>
      </c>
      <c r="D210" s="53" t="s">
        <v>337</v>
      </c>
      <c r="E210" s="133">
        <f>4*13*4</f>
        <v>208</v>
      </c>
      <c r="F210" s="311">
        <v>506733.57</v>
      </c>
      <c r="G210" s="274"/>
      <c r="H210" s="46">
        <f t="shared" si="138"/>
        <v>105400582.56</v>
      </c>
      <c r="I210" s="46">
        <f t="shared" si="139"/>
        <v>0</v>
      </c>
      <c r="J210" s="309">
        <f t="shared" si="134"/>
        <v>255702.52925764193</v>
      </c>
      <c r="K210" s="76"/>
      <c r="L210" s="76">
        <v>506733.57</v>
      </c>
      <c r="M210" s="77"/>
      <c r="N210" s="270">
        <f t="shared" si="140"/>
        <v>105400582.56</v>
      </c>
      <c r="O210" s="270">
        <f t="shared" si="140"/>
        <v>0</v>
      </c>
      <c r="P210" s="271">
        <f t="shared" si="141"/>
        <v>255702.52925764193</v>
      </c>
      <c r="Q210" s="137">
        <f>F210</f>
        <v>506733.57</v>
      </c>
      <c r="R210" s="312">
        <v>0</v>
      </c>
      <c r="S210" s="272">
        <f t="shared" si="142"/>
        <v>105400582.56</v>
      </c>
      <c r="T210" s="272">
        <f t="shared" si="136"/>
        <v>0</v>
      </c>
      <c r="U210" s="399">
        <f t="shared" si="137"/>
        <v>255702.52925764193</v>
      </c>
      <c r="V210" s="409"/>
    </row>
    <row r="211" spans="2:22" ht="45" customHeight="1" x14ac:dyDescent="0.25">
      <c r="B211" s="128" t="s">
        <v>364</v>
      </c>
      <c r="C211" s="52" t="s">
        <v>365</v>
      </c>
      <c r="D211" s="53" t="s">
        <v>337</v>
      </c>
      <c r="E211" s="133">
        <f>6*13*4</f>
        <v>312</v>
      </c>
      <c r="F211" s="313">
        <v>661263.07500000007</v>
      </c>
      <c r="G211" s="274"/>
      <c r="H211" s="46">
        <f t="shared" si="138"/>
        <v>206314079.40000004</v>
      </c>
      <c r="I211" s="46">
        <f t="shared" si="139"/>
        <v>0</v>
      </c>
      <c r="J211" s="309">
        <f t="shared" si="134"/>
        <v>500519.3580786027</v>
      </c>
      <c r="K211" s="314"/>
      <c r="L211" s="314">
        <v>661263.07500000007</v>
      </c>
      <c r="M211" s="77"/>
      <c r="N211" s="270">
        <f t="shared" si="140"/>
        <v>206314079.40000004</v>
      </c>
      <c r="O211" s="270">
        <f t="shared" si="140"/>
        <v>0</v>
      </c>
      <c r="P211" s="271">
        <f t="shared" si="141"/>
        <v>500519.3580786027</v>
      </c>
      <c r="Q211" s="137">
        <f>F211</f>
        <v>661263.07500000007</v>
      </c>
      <c r="R211" s="312">
        <v>0</v>
      </c>
      <c r="S211" s="272">
        <f t="shared" si="142"/>
        <v>206314079.40000004</v>
      </c>
      <c r="T211" s="272">
        <f t="shared" si="136"/>
        <v>0</v>
      </c>
      <c r="U211" s="399">
        <f t="shared" si="137"/>
        <v>500519.3580786027</v>
      </c>
      <c r="V211" s="409"/>
    </row>
    <row r="212" spans="2:22" ht="47.1" customHeight="1" x14ac:dyDescent="0.25">
      <c r="B212" s="128" t="s">
        <v>366</v>
      </c>
      <c r="C212" s="52" t="s">
        <v>367</v>
      </c>
      <c r="D212" s="53" t="s">
        <v>337</v>
      </c>
      <c r="E212" s="133">
        <f>12*13*4</f>
        <v>624</v>
      </c>
      <c r="F212" s="311">
        <v>633594.85199999996</v>
      </c>
      <c r="G212" s="274"/>
      <c r="H212" s="46">
        <f t="shared" si="138"/>
        <v>395363187.648</v>
      </c>
      <c r="I212" s="46">
        <f t="shared" si="139"/>
        <v>0</v>
      </c>
      <c r="J212" s="309">
        <f t="shared" si="134"/>
        <v>959153.77886462887</v>
      </c>
      <c r="K212" s="76"/>
      <c r="L212" s="76">
        <v>633594.85199999996</v>
      </c>
      <c r="M212" s="77"/>
      <c r="N212" s="270">
        <f t="shared" si="140"/>
        <v>395363187.648</v>
      </c>
      <c r="O212" s="270">
        <f t="shared" si="140"/>
        <v>0</v>
      </c>
      <c r="P212" s="271">
        <f t="shared" si="141"/>
        <v>959153.77886462887</v>
      </c>
      <c r="Q212" s="137">
        <v>650000</v>
      </c>
      <c r="R212" s="312">
        <v>0</v>
      </c>
      <c r="S212" s="272">
        <f t="shared" si="142"/>
        <v>405600000</v>
      </c>
      <c r="T212" s="272">
        <f t="shared" si="136"/>
        <v>0</v>
      </c>
      <c r="U212" s="399">
        <f t="shared" si="137"/>
        <v>983988.3551673945</v>
      </c>
      <c r="V212" s="409"/>
    </row>
    <row r="213" spans="2:22" ht="45" customHeight="1" x14ac:dyDescent="0.25">
      <c r="B213" s="128" t="s">
        <v>368</v>
      </c>
      <c r="C213" s="52" t="s">
        <v>369</v>
      </c>
      <c r="D213" s="53" t="s">
        <v>337</v>
      </c>
      <c r="E213" s="133">
        <f>10*13*4</f>
        <v>520</v>
      </c>
      <c r="F213" s="311">
        <v>506733.57</v>
      </c>
      <c r="G213" s="274"/>
      <c r="H213" s="46">
        <f t="shared" si="138"/>
        <v>263501456.40000001</v>
      </c>
      <c r="I213" s="46">
        <f t="shared" si="139"/>
        <v>0</v>
      </c>
      <c r="J213" s="309">
        <f t="shared" si="134"/>
        <v>639256.3231441048</v>
      </c>
      <c r="K213" s="76"/>
      <c r="L213" s="76">
        <v>506733.57</v>
      </c>
      <c r="M213" s="77"/>
      <c r="N213" s="270">
        <f t="shared" si="140"/>
        <v>263501456.40000001</v>
      </c>
      <c r="O213" s="270">
        <f t="shared" si="140"/>
        <v>0</v>
      </c>
      <c r="P213" s="271">
        <f t="shared" si="141"/>
        <v>639256.3231441048</v>
      </c>
      <c r="Q213" s="137">
        <v>468000</v>
      </c>
      <c r="R213" s="312">
        <v>0</v>
      </c>
      <c r="S213" s="272">
        <f t="shared" si="142"/>
        <v>243360000</v>
      </c>
      <c r="T213" s="272">
        <f t="shared" si="136"/>
        <v>0</v>
      </c>
      <c r="U213" s="399">
        <f t="shared" si="137"/>
        <v>590393.01310043666</v>
      </c>
      <c r="V213" s="409"/>
    </row>
    <row r="214" spans="2:22" ht="51.95" customHeight="1" x14ac:dyDescent="0.25">
      <c r="B214" s="128" t="s">
        <v>370</v>
      </c>
      <c r="C214" s="52" t="s">
        <v>371</v>
      </c>
      <c r="D214" s="53" t="s">
        <v>337</v>
      </c>
      <c r="E214" s="133">
        <f>4*13*4</f>
        <v>208</v>
      </c>
      <c r="F214" s="311">
        <v>506733.57</v>
      </c>
      <c r="G214" s="274"/>
      <c r="H214" s="46">
        <f t="shared" si="138"/>
        <v>105400582.56</v>
      </c>
      <c r="I214" s="46">
        <f t="shared" si="139"/>
        <v>0</v>
      </c>
      <c r="J214" s="309">
        <f t="shared" si="134"/>
        <v>255702.52925764193</v>
      </c>
      <c r="K214" s="76"/>
      <c r="L214" s="76">
        <v>506733.57</v>
      </c>
      <c r="M214" s="77"/>
      <c r="N214" s="270">
        <f t="shared" si="140"/>
        <v>105400582.56</v>
      </c>
      <c r="O214" s="270">
        <f t="shared" si="140"/>
        <v>0</v>
      </c>
      <c r="P214" s="271">
        <f t="shared" si="141"/>
        <v>255702.52925764193</v>
      </c>
      <c r="Q214" s="137">
        <f>Q213</f>
        <v>468000</v>
      </c>
      <c r="R214" s="312">
        <v>0</v>
      </c>
      <c r="S214" s="272">
        <f t="shared" si="142"/>
        <v>97344000</v>
      </c>
      <c r="T214" s="272">
        <f t="shared" si="136"/>
        <v>0</v>
      </c>
      <c r="U214" s="399">
        <f t="shared" si="137"/>
        <v>236157.20524017469</v>
      </c>
      <c r="V214" s="409"/>
    </row>
    <row r="215" spans="2:22" ht="54.95" customHeight="1" x14ac:dyDescent="0.25">
      <c r="B215" s="128" t="s">
        <v>372</v>
      </c>
      <c r="C215" s="52" t="s">
        <v>373</v>
      </c>
      <c r="D215" s="53" t="s">
        <v>337</v>
      </c>
      <c r="E215" s="133">
        <f>4*13*4</f>
        <v>208</v>
      </c>
      <c r="F215" s="311">
        <v>506000</v>
      </c>
      <c r="G215" s="274"/>
      <c r="H215" s="46">
        <f t="shared" si="138"/>
        <v>105248000</v>
      </c>
      <c r="I215" s="46">
        <f t="shared" si="139"/>
        <v>0</v>
      </c>
      <c r="J215" s="309">
        <f t="shared" si="134"/>
        <v>255332.36293061622</v>
      </c>
      <c r="K215" s="76"/>
      <c r="L215" s="76">
        <v>506000</v>
      </c>
      <c r="M215" s="77"/>
      <c r="N215" s="270">
        <f t="shared" si="140"/>
        <v>105248000</v>
      </c>
      <c r="O215" s="270">
        <f t="shared" si="140"/>
        <v>0</v>
      </c>
      <c r="P215" s="271">
        <f t="shared" si="141"/>
        <v>255332.36293061622</v>
      </c>
      <c r="Q215" s="137">
        <f>Q214</f>
        <v>468000</v>
      </c>
      <c r="R215" s="312">
        <v>0</v>
      </c>
      <c r="S215" s="272">
        <f t="shared" si="142"/>
        <v>97344000</v>
      </c>
      <c r="T215" s="272">
        <f t="shared" si="136"/>
        <v>0</v>
      </c>
      <c r="U215" s="399">
        <f t="shared" si="137"/>
        <v>236157.20524017469</v>
      </c>
      <c r="V215" s="409"/>
    </row>
    <row r="216" spans="2:22" ht="56.45" customHeight="1" x14ac:dyDescent="0.25">
      <c r="B216" s="128" t="s">
        <v>374</v>
      </c>
      <c r="C216" s="52" t="s">
        <v>375</v>
      </c>
      <c r="D216" s="53" t="s">
        <v>337</v>
      </c>
      <c r="E216" s="133">
        <f>10*13*4</f>
        <v>520</v>
      </c>
      <c r="F216" s="311">
        <v>450000</v>
      </c>
      <c r="G216" s="274"/>
      <c r="H216" s="46">
        <f t="shared" si="138"/>
        <v>234000000</v>
      </c>
      <c r="I216" s="46">
        <f>E216*G216</f>
        <v>0</v>
      </c>
      <c r="J216" s="309">
        <f t="shared" si="134"/>
        <v>567685.58951965068</v>
      </c>
      <c r="K216" s="76"/>
      <c r="L216" s="76">
        <v>450000</v>
      </c>
      <c r="M216" s="77"/>
      <c r="N216" s="270">
        <f t="shared" si="140"/>
        <v>234000000</v>
      </c>
      <c r="O216" s="270">
        <f t="shared" si="140"/>
        <v>0</v>
      </c>
      <c r="P216" s="271">
        <f t="shared" si="141"/>
        <v>567685.58951965068</v>
      </c>
      <c r="Q216" s="137">
        <v>390000</v>
      </c>
      <c r="R216" s="312">
        <v>0</v>
      </c>
      <c r="S216" s="272">
        <f t="shared" si="142"/>
        <v>202800000</v>
      </c>
      <c r="T216" s="272">
        <f t="shared" si="136"/>
        <v>0</v>
      </c>
      <c r="U216" s="399">
        <f t="shared" si="137"/>
        <v>491994.17758369725</v>
      </c>
      <c r="V216" s="409"/>
    </row>
    <row r="217" spans="2:22" ht="33.75" x14ac:dyDescent="0.25">
      <c r="B217" s="128" t="s">
        <v>376</v>
      </c>
      <c r="C217" s="52" t="s">
        <v>377</v>
      </c>
      <c r="D217" s="53" t="s">
        <v>378</v>
      </c>
      <c r="E217" s="135">
        <v>0.32</v>
      </c>
      <c r="F217" s="273"/>
      <c r="G217" s="274"/>
      <c r="H217" s="46">
        <f>SUM(H197:H216)*0.32</f>
        <v>770771501.84320009</v>
      </c>
      <c r="I217" s="46"/>
      <c r="J217" s="309">
        <f t="shared" si="134"/>
        <v>1869896.8991829213</v>
      </c>
      <c r="K217" s="137"/>
      <c r="L217" s="137">
        <v>0.28999999999999998</v>
      </c>
      <c r="M217" s="79"/>
      <c r="N217" s="270">
        <f>SUM(N197:N216)*L217</f>
        <v>698511673.54540002</v>
      </c>
      <c r="O217" s="270">
        <f>SUM(O197:O216)*M217</f>
        <v>0</v>
      </c>
      <c r="P217" s="271">
        <f t="shared" si="141"/>
        <v>1694594.0648845222</v>
      </c>
      <c r="Q217" s="137">
        <v>0.32</v>
      </c>
      <c r="R217" s="312">
        <v>0</v>
      </c>
      <c r="S217" s="272">
        <f>SUM(S197:S216)*Q217</f>
        <v>746922633.21728003</v>
      </c>
      <c r="T217" s="272">
        <f>SUM(T197:T216)*R217</f>
        <v>0</v>
      </c>
      <c r="U217" s="398">
        <f t="shared" si="137"/>
        <v>1812039.3818953908</v>
      </c>
      <c r="V217" s="409"/>
    </row>
    <row r="218" spans="2:22" ht="33.75" x14ac:dyDescent="0.25">
      <c r="B218" s="128" t="s">
        <v>379</v>
      </c>
      <c r="C218" s="52" t="s">
        <v>380</v>
      </c>
      <c r="D218" s="53" t="s">
        <v>381</v>
      </c>
      <c r="E218" s="133">
        <f>500*48</f>
        <v>24000</v>
      </c>
      <c r="F218" s="273">
        <v>2500</v>
      </c>
      <c r="G218" s="274"/>
      <c r="H218" s="46">
        <f>E218*F218</f>
        <v>60000000</v>
      </c>
      <c r="I218" s="46">
        <f>E218*G218</f>
        <v>0</v>
      </c>
      <c r="J218" s="269">
        <f t="shared" si="134"/>
        <v>145560.40756914119</v>
      </c>
      <c r="K218" s="45"/>
      <c r="L218" s="45">
        <v>2500</v>
      </c>
      <c r="M218" s="48"/>
      <c r="N218" s="270">
        <f>$E218*L218</f>
        <v>60000000</v>
      </c>
      <c r="O218" s="270">
        <f t="shared" ref="O218:O219" si="144">$E218*M218</f>
        <v>0</v>
      </c>
      <c r="P218" s="271">
        <f t="shared" si="141"/>
        <v>145560.40756914119</v>
      </c>
      <c r="Q218" s="368">
        <v>2500</v>
      </c>
      <c r="R218" s="88">
        <v>0</v>
      </c>
      <c r="S218" s="272">
        <f>$E218*Q218</f>
        <v>60000000</v>
      </c>
      <c r="T218" s="272">
        <f t="shared" ref="T218:T219" si="145">$E218*R218</f>
        <v>0</v>
      </c>
      <c r="U218" s="398">
        <f t="shared" si="137"/>
        <v>145560.40756914119</v>
      </c>
      <c r="V218" s="408" t="s">
        <v>666</v>
      </c>
    </row>
    <row r="219" spans="2:22" ht="33.75" x14ac:dyDescent="0.25">
      <c r="B219" s="128" t="s">
        <v>382</v>
      </c>
      <c r="C219" s="52" t="s">
        <v>383</v>
      </c>
      <c r="D219" s="53" t="s">
        <v>381</v>
      </c>
      <c r="E219" s="133">
        <f>500*48</f>
        <v>24000</v>
      </c>
      <c r="F219" s="273">
        <v>1500</v>
      </c>
      <c r="G219" s="274"/>
      <c r="H219" s="46">
        <f>E219*F219</f>
        <v>36000000</v>
      </c>
      <c r="I219" s="46">
        <f>E219*G219</f>
        <v>0</v>
      </c>
      <c r="J219" s="269">
        <f t="shared" si="134"/>
        <v>87336.244541484717</v>
      </c>
      <c r="K219" s="45"/>
      <c r="L219" s="45">
        <v>1500</v>
      </c>
      <c r="M219" s="48"/>
      <c r="N219" s="270">
        <f t="shared" ref="N219" si="146">$E219*L219</f>
        <v>36000000</v>
      </c>
      <c r="O219" s="270">
        <f t="shared" si="144"/>
        <v>0</v>
      </c>
      <c r="P219" s="271">
        <f t="shared" si="141"/>
        <v>87336.244541484717</v>
      </c>
      <c r="Q219" s="365">
        <v>1500</v>
      </c>
      <c r="R219" s="79">
        <v>0</v>
      </c>
      <c r="S219" s="272">
        <f t="shared" ref="S219" si="147">$E219*Q219</f>
        <v>36000000</v>
      </c>
      <c r="T219" s="272">
        <f t="shared" si="145"/>
        <v>0</v>
      </c>
      <c r="U219" s="398">
        <f t="shared" si="137"/>
        <v>87336.244541484717</v>
      </c>
      <c r="V219" s="408" t="s">
        <v>666</v>
      </c>
    </row>
    <row r="220" spans="2:22" ht="11.25" x14ac:dyDescent="0.25">
      <c r="B220" s="128" t="s">
        <v>384</v>
      </c>
      <c r="C220" s="52" t="s">
        <v>385</v>
      </c>
      <c r="D220" s="53" t="s">
        <v>378</v>
      </c>
      <c r="E220" s="136" t="s">
        <v>386</v>
      </c>
      <c r="F220" s="273">
        <f>F219*0.15</f>
        <v>225</v>
      </c>
      <c r="G220" s="274"/>
      <c r="H220" s="46">
        <f>SUM(H218:H219)*0.15</f>
        <v>14400000</v>
      </c>
      <c r="I220" s="46"/>
      <c r="J220" s="269">
        <f t="shared" si="134"/>
        <v>34934.497816593888</v>
      </c>
      <c r="K220" s="47"/>
      <c r="L220" s="47">
        <v>0.14000000000000001</v>
      </c>
      <c r="M220" s="48"/>
      <c r="N220" s="270">
        <f>SUM(N218:N219)*L220</f>
        <v>13440000.000000002</v>
      </c>
      <c r="O220" s="270">
        <f>SUM(O218:O219)*M220</f>
        <v>0</v>
      </c>
      <c r="P220" s="271">
        <f t="shared" si="141"/>
        <v>32605.531295487632</v>
      </c>
      <c r="Q220" s="370" t="str">
        <f>E220</f>
        <v>15%</v>
      </c>
      <c r="R220" s="79">
        <v>0</v>
      </c>
      <c r="S220" s="272">
        <f>SUM(S218:S219)*Q220</f>
        <v>14400000</v>
      </c>
      <c r="T220" s="272">
        <f>SUM(T218:T219)*R220</f>
        <v>0</v>
      </c>
      <c r="U220" s="398">
        <f t="shared" si="137"/>
        <v>34934.497816593888</v>
      </c>
      <c r="V220" s="409"/>
    </row>
    <row r="221" spans="2:22" ht="23.25" thickBot="1" x14ac:dyDescent="0.3">
      <c r="B221" s="129" t="s">
        <v>387</v>
      </c>
      <c r="C221" s="115" t="s">
        <v>388</v>
      </c>
      <c r="D221" s="83" t="s">
        <v>337</v>
      </c>
      <c r="E221" s="138">
        <f>50*36</f>
        <v>1800</v>
      </c>
      <c r="F221" s="278">
        <v>50000</v>
      </c>
      <c r="G221" s="279"/>
      <c r="H221" s="58">
        <f>E221*F221</f>
        <v>90000000</v>
      </c>
      <c r="I221" s="58">
        <f>E221*G221</f>
        <v>0</v>
      </c>
      <c r="J221" s="269">
        <f t="shared" si="134"/>
        <v>218340.61135371181</v>
      </c>
      <c r="K221" s="47"/>
      <c r="L221" s="47">
        <v>30000</v>
      </c>
      <c r="M221" s="48"/>
      <c r="N221" s="270">
        <f>$E221*L221</f>
        <v>54000000</v>
      </c>
      <c r="O221" s="270">
        <f t="shared" ref="O221" si="148">$E221*M221</f>
        <v>0</v>
      </c>
      <c r="P221" s="271">
        <f t="shared" si="141"/>
        <v>131004.36681222708</v>
      </c>
      <c r="Q221" s="367">
        <f>F221</f>
        <v>50000</v>
      </c>
      <c r="R221" s="104">
        <v>0</v>
      </c>
      <c r="S221" s="281">
        <f>$E221*Q221</f>
        <v>90000000</v>
      </c>
      <c r="T221" s="281">
        <f t="shared" ref="T221" si="149">$E221*R221</f>
        <v>0</v>
      </c>
      <c r="U221" s="403">
        <f t="shared" si="137"/>
        <v>218340.61135371181</v>
      </c>
      <c r="V221" s="408" t="s">
        <v>667</v>
      </c>
    </row>
    <row r="222" spans="2:22" ht="12" thickBot="1" x14ac:dyDescent="0.3">
      <c r="B222" s="447" t="s">
        <v>389</v>
      </c>
      <c r="C222" s="448"/>
      <c r="D222" s="173"/>
      <c r="E222" s="315"/>
      <c r="F222" s="65"/>
      <c r="G222" s="63"/>
      <c r="H222" s="63">
        <f>SUM(H195:H221)</f>
        <v>3409832445.1032004</v>
      </c>
      <c r="I222" s="63">
        <f t="shared" ref="I222:J222" si="150">SUM(I195:I221)</f>
        <v>100000</v>
      </c>
      <c r="J222" s="64">
        <f t="shared" si="150"/>
        <v>8372276.6741950531</v>
      </c>
      <c r="K222" s="65"/>
      <c r="L222" s="65"/>
      <c r="M222" s="63"/>
      <c r="N222" s="63">
        <f t="shared" ref="N222:P222" si="151">SUM(N195:N221)</f>
        <v>3302612616.8054004</v>
      </c>
      <c r="O222" s="63">
        <f t="shared" si="151"/>
        <v>100000</v>
      </c>
      <c r="P222" s="67">
        <f t="shared" si="151"/>
        <v>8112160.6424197005</v>
      </c>
      <c r="Q222" s="282"/>
      <c r="R222" s="256"/>
      <c r="S222" s="63">
        <f t="shared" ref="S222:U222" si="152">SUM(S195:S221)</f>
        <v>3306455862.0212798</v>
      </c>
      <c r="T222" s="63">
        <f t="shared" si="152"/>
        <v>45000</v>
      </c>
      <c r="U222" s="67">
        <f t="shared" si="152"/>
        <v>8066484.3814198961</v>
      </c>
      <c r="V222" s="409"/>
    </row>
    <row r="223" spans="2:22" ht="11.25" x14ac:dyDescent="0.25">
      <c r="B223" s="418" t="s">
        <v>390</v>
      </c>
      <c r="C223" s="419" t="s">
        <v>657</v>
      </c>
      <c r="D223" s="420"/>
      <c r="E223" s="70"/>
      <c r="F223" s="283"/>
      <c r="G223" s="284"/>
      <c r="H223" s="71"/>
      <c r="I223" s="71"/>
      <c r="J223" s="72"/>
      <c r="K223" s="73"/>
      <c r="L223" s="73"/>
      <c r="M223" s="74"/>
      <c r="N223" s="75"/>
      <c r="O223" s="75"/>
      <c r="P223" s="285"/>
      <c r="Q223" s="265"/>
      <c r="R223" s="75"/>
      <c r="S223" s="75"/>
      <c r="T223" s="75"/>
      <c r="U223" s="285"/>
      <c r="V223" s="409"/>
    </row>
    <row r="224" spans="2:22" ht="21.95" customHeight="1" x14ac:dyDescent="0.25">
      <c r="B224" s="126" t="s">
        <v>391</v>
      </c>
      <c r="C224" s="35" t="s">
        <v>392</v>
      </c>
      <c r="D224" s="92" t="s">
        <v>393</v>
      </c>
      <c r="E224" s="131">
        <v>300</v>
      </c>
      <c r="F224" s="267">
        <v>350000</v>
      </c>
      <c r="G224" s="268">
        <v>100</v>
      </c>
      <c r="H224" s="39">
        <v>20000000</v>
      </c>
      <c r="I224" s="39">
        <v>40000</v>
      </c>
      <c r="J224" s="269">
        <f t="shared" ref="J224:J230" si="153">(H224/412.2)+I224</f>
        <v>88520.135856380395</v>
      </c>
      <c r="K224" s="38"/>
      <c r="L224" s="38">
        <v>20000000</v>
      </c>
      <c r="M224" s="39">
        <v>40000</v>
      </c>
      <c r="N224" s="270">
        <f>L224</f>
        <v>20000000</v>
      </c>
      <c r="O224" s="270">
        <f>M224</f>
        <v>40000</v>
      </c>
      <c r="P224" s="271">
        <f t="shared" ref="P224:P230" si="154">O224+(N224/$K$2)</f>
        <v>88520.135856380395</v>
      </c>
      <c r="Q224" s="370">
        <f>L224</f>
        <v>20000000</v>
      </c>
      <c r="R224" s="371">
        <f>M224</f>
        <v>40000</v>
      </c>
      <c r="S224" s="276">
        <f>Q224</f>
        <v>20000000</v>
      </c>
      <c r="T224" s="276">
        <f>R224</f>
        <v>40000</v>
      </c>
      <c r="U224" s="399">
        <f>T224+(S224/$K$2)</f>
        <v>88520.135856380395</v>
      </c>
      <c r="V224" s="408" t="s">
        <v>661</v>
      </c>
    </row>
    <row r="225" spans="2:22" ht="24" customHeight="1" x14ac:dyDescent="0.25">
      <c r="B225" s="128" t="s">
        <v>394</v>
      </c>
      <c r="C225" s="52" t="s">
        <v>395</v>
      </c>
      <c r="D225" s="53" t="s">
        <v>378</v>
      </c>
      <c r="E225" s="140" t="s">
        <v>386</v>
      </c>
      <c r="F225" s="273">
        <f>F224*0.15</f>
        <v>52500</v>
      </c>
      <c r="G225" s="274">
        <f>G224*0.15</f>
        <v>15</v>
      </c>
      <c r="H225" s="46">
        <f>H224*0.15</f>
        <v>3000000</v>
      </c>
      <c r="I225" s="46">
        <f t="shared" ref="I225" si="155">I224*0.15</f>
        <v>6000</v>
      </c>
      <c r="J225" s="269">
        <f t="shared" si="153"/>
        <v>13278.020378457059</v>
      </c>
      <c r="K225" s="47"/>
      <c r="L225" s="47">
        <v>0.14000000000000001</v>
      </c>
      <c r="M225" s="141">
        <v>0.14000000000000001</v>
      </c>
      <c r="N225" s="270">
        <f>N224*L225</f>
        <v>2800000.0000000005</v>
      </c>
      <c r="O225" s="270">
        <f>O224*M225</f>
        <v>5600.0000000000009</v>
      </c>
      <c r="P225" s="271">
        <f t="shared" si="154"/>
        <v>12392.819019893257</v>
      </c>
      <c r="Q225" s="370" t="str">
        <f>E225</f>
        <v>15%</v>
      </c>
      <c r="R225" s="371" t="s">
        <v>386</v>
      </c>
      <c r="S225" s="276">
        <f>S224*Q225</f>
        <v>3000000</v>
      </c>
      <c r="T225" s="276">
        <f>T224*R225</f>
        <v>6000</v>
      </c>
      <c r="U225" s="399">
        <f t="shared" ref="U225:U230" si="156">T225+(S225/$K$2)</f>
        <v>13278.020378457059</v>
      </c>
      <c r="V225" s="408" t="s">
        <v>661</v>
      </c>
    </row>
    <row r="226" spans="2:22" ht="23.45" customHeight="1" x14ac:dyDescent="0.25">
      <c r="B226" s="128" t="s">
        <v>396</v>
      </c>
      <c r="C226" s="52" t="s">
        <v>397</v>
      </c>
      <c r="D226" s="53" t="s">
        <v>393</v>
      </c>
      <c r="E226" s="142">
        <v>200</v>
      </c>
      <c r="F226" s="273">
        <v>500000</v>
      </c>
      <c r="G226" s="274">
        <v>100</v>
      </c>
      <c r="H226" s="46">
        <f>E226*F226</f>
        <v>100000000</v>
      </c>
      <c r="I226" s="46">
        <f>E226*G226</f>
        <v>20000</v>
      </c>
      <c r="J226" s="269">
        <f t="shared" si="153"/>
        <v>262600.67928190203</v>
      </c>
      <c r="K226" s="47"/>
      <c r="L226" s="47">
        <v>450000</v>
      </c>
      <c r="M226" s="48">
        <v>100</v>
      </c>
      <c r="N226" s="270">
        <f>$E226*L226</f>
        <v>90000000</v>
      </c>
      <c r="O226" s="270">
        <f t="shared" ref="N226:O230" si="157">$E226*M226</f>
        <v>20000</v>
      </c>
      <c r="P226" s="271">
        <f t="shared" si="154"/>
        <v>238340.61135371181</v>
      </c>
      <c r="Q226" s="365">
        <v>500000</v>
      </c>
      <c r="R226" s="79">
        <v>100</v>
      </c>
      <c r="S226" s="276">
        <f>$E226*Q226</f>
        <v>100000000</v>
      </c>
      <c r="T226" s="276">
        <f t="shared" ref="T226:T230" si="158">$E226*R226</f>
        <v>20000</v>
      </c>
      <c r="U226" s="399">
        <f t="shared" si="156"/>
        <v>262600.67928190203</v>
      </c>
      <c r="V226" s="408" t="s">
        <v>661</v>
      </c>
    </row>
    <row r="227" spans="2:22" ht="27" customHeight="1" x14ac:dyDescent="0.25">
      <c r="B227" s="128" t="s">
        <v>398</v>
      </c>
      <c r="C227" s="52" t="s">
        <v>399</v>
      </c>
      <c r="D227" s="53" t="s">
        <v>393</v>
      </c>
      <c r="E227" s="142">
        <v>100</v>
      </c>
      <c r="F227" s="273">
        <v>350000</v>
      </c>
      <c r="G227" s="274"/>
      <c r="H227" s="46">
        <f>E227*F227</f>
        <v>35000000</v>
      </c>
      <c r="I227" s="46">
        <f>E227*G227</f>
        <v>0</v>
      </c>
      <c r="J227" s="269">
        <f t="shared" si="153"/>
        <v>84910.237748665691</v>
      </c>
      <c r="K227" s="47"/>
      <c r="L227" s="47">
        <v>300000</v>
      </c>
      <c r="M227" s="48"/>
      <c r="N227" s="270">
        <f t="shared" si="157"/>
        <v>30000000</v>
      </c>
      <c r="O227" s="270">
        <f t="shared" si="157"/>
        <v>0</v>
      </c>
      <c r="P227" s="271">
        <f t="shared" si="154"/>
        <v>72780.203784570593</v>
      </c>
      <c r="Q227" s="365">
        <v>350000</v>
      </c>
      <c r="R227" s="79"/>
      <c r="S227" s="276">
        <f t="shared" ref="S227:S230" si="159">$E227*Q227</f>
        <v>35000000</v>
      </c>
      <c r="T227" s="276">
        <f t="shared" si="158"/>
        <v>0</v>
      </c>
      <c r="U227" s="399">
        <f t="shared" si="156"/>
        <v>84910.237748665691</v>
      </c>
      <c r="V227" s="408" t="s">
        <v>661</v>
      </c>
    </row>
    <row r="228" spans="2:22" ht="21" x14ac:dyDescent="0.25">
      <c r="B228" s="128" t="s">
        <v>400</v>
      </c>
      <c r="C228" s="52" t="s">
        <v>401</v>
      </c>
      <c r="D228" s="53" t="s">
        <v>393</v>
      </c>
      <c r="E228" s="142">
        <v>500</v>
      </c>
      <c r="F228" s="273">
        <v>100000</v>
      </c>
      <c r="G228" s="274"/>
      <c r="H228" s="46">
        <f>E228*F228</f>
        <v>50000000</v>
      </c>
      <c r="I228" s="46"/>
      <c r="J228" s="269">
        <f t="shared" si="153"/>
        <v>121300.339640951</v>
      </c>
      <c r="K228" s="47"/>
      <c r="L228" s="47">
        <v>80000</v>
      </c>
      <c r="M228" s="48"/>
      <c r="N228" s="270">
        <f t="shared" si="157"/>
        <v>40000000</v>
      </c>
      <c r="O228" s="270">
        <f t="shared" si="157"/>
        <v>0</v>
      </c>
      <c r="P228" s="271">
        <f t="shared" si="154"/>
        <v>97040.271712760805</v>
      </c>
      <c r="Q228" s="365">
        <v>100000</v>
      </c>
      <c r="R228" s="79"/>
      <c r="S228" s="276">
        <f t="shared" si="159"/>
        <v>50000000</v>
      </c>
      <c r="T228" s="276">
        <f t="shared" si="158"/>
        <v>0</v>
      </c>
      <c r="U228" s="399">
        <f t="shared" si="156"/>
        <v>121300.339640951</v>
      </c>
      <c r="V228" s="408" t="s">
        <v>661</v>
      </c>
    </row>
    <row r="229" spans="2:22" ht="23.1" customHeight="1" x14ac:dyDescent="0.25">
      <c r="B229" s="128" t="s">
        <v>402</v>
      </c>
      <c r="C229" s="52" t="s">
        <v>403</v>
      </c>
      <c r="D229" s="53" t="s">
        <v>393</v>
      </c>
      <c r="E229" s="142">
        <v>200</v>
      </c>
      <c r="F229" s="273">
        <v>50000</v>
      </c>
      <c r="G229" s="274">
        <v>80</v>
      </c>
      <c r="H229" s="46">
        <f>E229*F229</f>
        <v>10000000</v>
      </c>
      <c r="I229" s="46">
        <f>E229*G229</f>
        <v>16000</v>
      </c>
      <c r="J229" s="269">
        <f t="shared" si="153"/>
        <v>40260.067928190198</v>
      </c>
      <c r="K229" s="47"/>
      <c r="L229" s="47">
        <v>42500</v>
      </c>
      <c r="M229" s="48">
        <v>65</v>
      </c>
      <c r="N229" s="270">
        <f t="shared" si="157"/>
        <v>8500000</v>
      </c>
      <c r="O229" s="270">
        <f t="shared" si="157"/>
        <v>13000</v>
      </c>
      <c r="P229" s="271">
        <f t="shared" si="154"/>
        <v>33621.057738961666</v>
      </c>
      <c r="Q229" s="365">
        <v>50000</v>
      </c>
      <c r="R229" s="79">
        <v>80</v>
      </c>
      <c r="S229" s="276">
        <f t="shared" si="159"/>
        <v>10000000</v>
      </c>
      <c r="T229" s="276">
        <f t="shared" si="158"/>
        <v>16000</v>
      </c>
      <c r="U229" s="399">
        <f t="shared" si="156"/>
        <v>40260.067928190198</v>
      </c>
      <c r="V229" s="408" t="s">
        <v>661</v>
      </c>
    </row>
    <row r="230" spans="2:22" ht="27" customHeight="1" thickBot="1" x14ac:dyDescent="0.3">
      <c r="B230" s="129" t="s">
        <v>404</v>
      </c>
      <c r="C230" s="115" t="s">
        <v>405</v>
      </c>
      <c r="D230" s="83" t="s">
        <v>393</v>
      </c>
      <c r="E230" s="143">
        <v>150</v>
      </c>
      <c r="F230" s="278">
        <v>400000</v>
      </c>
      <c r="G230" s="279">
        <v>600</v>
      </c>
      <c r="H230" s="58">
        <f>E230*F230</f>
        <v>60000000</v>
      </c>
      <c r="I230" s="58">
        <f>E230*G230</f>
        <v>90000</v>
      </c>
      <c r="J230" s="269">
        <f t="shared" si="153"/>
        <v>235560.40756914119</v>
      </c>
      <c r="K230" s="47"/>
      <c r="L230" s="47">
        <v>280000</v>
      </c>
      <c r="M230" s="48">
        <v>510</v>
      </c>
      <c r="N230" s="270">
        <f t="shared" si="157"/>
        <v>42000000</v>
      </c>
      <c r="O230" s="270">
        <f t="shared" si="157"/>
        <v>76500</v>
      </c>
      <c r="P230" s="271">
        <f t="shared" si="154"/>
        <v>178392.28529839884</v>
      </c>
      <c r="Q230" s="367">
        <v>400000</v>
      </c>
      <c r="R230" s="104">
        <v>600</v>
      </c>
      <c r="S230" s="299">
        <f t="shared" si="159"/>
        <v>60000000</v>
      </c>
      <c r="T230" s="299">
        <f t="shared" si="158"/>
        <v>90000</v>
      </c>
      <c r="U230" s="400">
        <f t="shared" si="156"/>
        <v>235560.40756914119</v>
      </c>
      <c r="V230" s="408" t="s">
        <v>661</v>
      </c>
    </row>
    <row r="231" spans="2:22" ht="12" thickBot="1" x14ac:dyDescent="0.3">
      <c r="B231" s="447" t="s">
        <v>406</v>
      </c>
      <c r="C231" s="448"/>
      <c r="D231" s="173"/>
      <c r="E231" s="316"/>
      <c r="F231" s="65"/>
      <c r="G231" s="63"/>
      <c r="H231" s="63">
        <f>SUM(H224:H230)</f>
        <v>278000000</v>
      </c>
      <c r="I231" s="63">
        <f t="shared" ref="I231:J231" si="160">SUM(I224:I230)</f>
        <v>172000</v>
      </c>
      <c r="J231" s="64">
        <f t="shared" si="160"/>
        <v>846429.88840368763</v>
      </c>
      <c r="K231" s="65"/>
      <c r="L231" s="65"/>
      <c r="M231" s="63"/>
      <c r="N231" s="63">
        <f t="shared" ref="N231:P231" si="161">SUM(N224:N230)</f>
        <v>233300000</v>
      </c>
      <c r="O231" s="63">
        <f t="shared" si="161"/>
        <v>155100</v>
      </c>
      <c r="P231" s="67">
        <f t="shared" si="161"/>
        <v>721087.38476467726</v>
      </c>
      <c r="Q231" s="282"/>
      <c r="R231" s="256"/>
      <c r="S231" s="63">
        <f t="shared" ref="S231:U231" si="162">SUM(S224:S230)</f>
        <v>278000000</v>
      </c>
      <c r="T231" s="63">
        <f t="shared" si="162"/>
        <v>172000</v>
      </c>
      <c r="U231" s="67">
        <f t="shared" si="162"/>
        <v>846429.88840368763</v>
      </c>
      <c r="V231" s="409"/>
    </row>
    <row r="232" spans="2:22" ht="11.25" x14ac:dyDescent="0.25">
      <c r="B232" s="418" t="s">
        <v>407</v>
      </c>
      <c r="C232" s="419" t="s">
        <v>683</v>
      </c>
      <c r="D232" s="420"/>
      <c r="E232" s="70"/>
      <c r="F232" s="283"/>
      <c r="G232" s="284"/>
      <c r="H232" s="71"/>
      <c r="I232" s="71"/>
      <c r="J232" s="72"/>
      <c r="K232" s="73"/>
      <c r="L232" s="73"/>
      <c r="M232" s="74"/>
      <c r="N232" s="75"/>
      <c r="O232" s="75"/>
      <c r="P232" s="285"/>
      <c r="Q232" s="265"/>
      <c r="R232" s="75"/>
      <c r="S232" s="75"/>
      <c r="T232" s="75"/>
      <c r="U232" s="285"/>
      <c r="V232" s="409"/>
    </row>
    <row r="233" spans="2:22" ht="11.25" x14ac:dyDescent="0.25">
      <c r="B233" s="126" t="s">
        <v>408</v>
      </c>
      <c r="C233" s="144" t="s">
        <v>409</v>
      </c>
      <c r="D233" s="118"/>
      <c r="E233" s="145"/>
      <c r="F233" s="267"/>
      <c r="G233" s="268"/>
      <c r="H233" s="86"/>
      <c r="I233" s="86"/>
      <c r="J233" s="87"/>
      <c r="K233" s="40"/>
      <c r="L233" s="40"/>
      <c r="M233" s="41"/>
      <c r="N233" s="88"/>
      <c r="O233" s="88"/>
      <c r="P233" s="287"/>
      <c r="Q233" s="137"/>
      <c r="R233" s="79"/>
      <c r="S233" s="79"/>
      <c r="T233" s="79"/>
      <c r="U233" s="277"/>
      <c r="V233" s="409"/>
    </row>
    <row r="234" spans="2:22" ht="84" customHeight="1" x14ac:dyDescent="0.25">
      <c r="B234" s="128" t="s">
        <v>410</v>
      </c>
      <c r="C234" s="42" t="s">
        <v>411</v>
      </c>
      <c r="D234" s="53" t="s">
        <v>412</v>
      </c>
      <c r="E234" s="133">
        <f>300*5*4</f>
        <v>6000</v>
      </c>
      <c r="F234" s="273">
        <v>29374.995384615399</v>
      </c>
      <c r="G234" s="274"/>
      <c r="H234" s="46">
        <f t="shared" ref="H234:H239" si="163">E234*F234</f>
        <v>176249972.30769238</v>
      </c>
      <c r="I234" s="46">
        <f>E234*G234</f>
        <v>0</v>
      </c>
      <c r="J234" s="269">
        <f t="shared" ref="J234:J264" si="164">(H234/412.2)+I234</f>
        <v>427583.63005262584</v>
      </c>
      <c r="K234" s="47"/>
      <c r="L234" s="47">
        <v>29374.995384615399</v>
      </c>
      <c r="M234" s="48"/>
      <c r="N234" s="270">
        <f t="shared" ref="N234:O239" si="165">$E234*L234</f>
        <v>176249972.30769238</v>
      </c>
      <c r="O234" s="270">
        <f t="shared" si="165"/>
        <v>0</v>
      </c>
      <c r="P234" s="271">
        <f t="shared" ref="P234:P240" si="166">O234+(N234/$K$2)</f>
        <v>427583.63005262584</v>
      </c>
      <c r="Q234" s="365">
        <f>L234</f>
        <v>29374.995384615399</v>
      </c>
      <c r="R234" s="366">
        <f>M234</f>
        <v>0</v>
      </c>
      <c r="S234" s="272">
        <f t="shared" ref="S234:S239" si="167">$E234*Q234</f>
        <v>176249972.30769238</v>
      </c>
      <c r="T234" s="272"/>
      <c r="U234" s="398">
        <f>T234+(S234/$K$2)</f>
        <v>427583.63005262584</v>
      </c>
      <c r="V234" s="411" t="s">
        <v>662</v>
      </c>
    </row>
    <row r="235" spans="2:22" ht="83.1" customHeight="1" x14ac:dyDescent="0.25">
      <c r="B235" s="128" t="s">
        <v>413</v>
      </c>
      <c r="C235" s="42" t="s">
        <v>414</v>
      </c>
      <c r="D235" s="53" t="s">
        <v>412</v>
      </c>
      <c r="E235" s="133">
        <f>300*10*4</f>
        <v>12000</v>
      </c>
      <c r="F235" s="273">
        <v>25962.036730769236</v>
      </c>
      <c r="G235" s="274"/>
      <c r="H235" s="46">
        <f t="shared" si="163"/>
        <v>311544440.76923084</v>
      </c>
      <c r="I235" s="46">
        <f>E235*G235</f>
        <v>0</v>
      </c>
      <c r="J235" s="269">
        <f t="shared" si="164"/>
        <v>755808.92957115686</v>
      </c>
      <c r="K235" s="47"/>
      <c r="L235" s="47">
        <v>25962.036730769236</v>
      </c>
      <c r="M235" s="48"/>
      <c r="N235" s="270">
        <f t="shared" si="165"/>
        <v>311544440.76923084</v>
      </c>
      <c r="O235" s="270">
        <f t="shared" si="165"/>
        <v>0</v>
      </c>
      <c r="P235" s="271">
        <f t="shared" si="166"/>
        <v>755808.92957115686</v>
      </c>
      <c r="Q235" s="365">
        <f t="shared" ref="Q235:Q237" si="168">L235</f>
        <v>25962.036730769236</v>
      </c>
      <c r="R235" s="366">
        <f t="shared" ref="R235:R237" si="169">M235</f>
        <v>0</v>
      </c>
      <c r="S235" s="272">
        <f t="shared" si="167"/>
        <v>311544440.76923084</v>
      </c>
      <c r="T235" s="272"/>
      <c r="U235" s="398">
        <f t="shared" ref="U235:U240" si="170">T235+(S235/$K$2)</f>
        <v>755808.92957115686</v>
      </c>
      <c r="V235" s="411" t="s">
        <v>662</v>
      </c>
    </row>
    <row r="236" spans="2:22" ht="81" customHeight="1" x14ac:dyDescent="0.25">
      <c r="B236" s="128" t="s">
        <v>415</v>
      </c>
      <c r="C236" s="42" t="s">
        <v>416</v>
      </c>
      <c r="D236" s="53" t="s">
        <v>412</v>
      </c>
      <c r="E236" s="133">
        <f>300*10*4</f>
        <v>12000</v>
      </c>
      <c r="F236" s="273">
        <v>24897.874307692309</v>
      </c>
      <c r="G236" s="274"/>
      <c r="H236" s="46">
        <f t="shared" si="163"/>
        <v>298774491.69230771</v>
      </c>
      <c r="I236" s="46">
        <f>E236*G236</f>
        <v>0</v>
      </c>
      <c r="J236" s="269">
        <f t="shared" si="164"/>
        <v>724828.94636658835</v>
      </c>
      <c r="K236" s="47"/>
      <c r="L236" s="47">
        <v>24897.874307692309</v>
      </c>
      <c r="M236" s="48"/>
      <c r="N236" s="270">
        <f t="shared" si="165"/>
        <v>298774491.69230771</v>
      </c>
      <c r="O236" s="270">
        <f t="shared" si="165"/>
        <v>0</v>
      </c>
      <c r="P236" s="271">
        <f t="shared" si="166"/>
        <v>724828.94636658835</v>
      </c>
      <c r="Q236" s="365">
        <f t="shared" si="168"/>
        <v>24897.874307692309</v>
      </c>
      <c r="R236" s="366">
        <f t="shared" si="169"/>
        <v>0</v>
      </c>
      <c r="S236" s="272">
        <f t="shared" si="167"/>
        <v>298774491.69230771</v>
      </c>
      <c r="T236" s="272"/>
      <c r="U236" s="398">
        <f t="shared" si="170"/>
        <v>724828.94636658835</v>
      </c>
      <c r="V236" s="411" t="s">
        <v>662</v>
      </c>
    </row>
    <row r="237" spans="2:22" ht="81.95" customHeight="1" x14ac:dyDescent="0.25">
      <c r="B237" s="128" t="s">
        <v>417</v>
      </c>
      <c r="C237" s="42" t="s">
        <v>418</v>
      </c>
      <c r="D237" s="53" t="s">
        <v>412</v>
      </c>
      <c r="E237" s="133">
        <f>300*10*4</f>
        <v>12000</v>
      </c>
      <c r="F237" s="273">
        <v>22827.464461538464</v>
      </c>
      <c r="G237" s="274"/>
      <c r="H237" s="46">
        <f t="shared" si="163"/>
        <v>273929573.53846157</v>
      </c>
      <c r="I237" s="46">
        <f>E237*G237</f>
        <v>0</v>
      </c>
      <c r="J237" s="269">
        <f t="shared" si="164"/>
        <v>664555.00615832501</v>
      </c>
      <c r="K237" s="47"/>
      <c r="L237" s="47">
        <v>22827.464461538464</v>
      </c>
      <c r="M237" s="48"/>
      <c r="N237" s="270">
        <f t="shared" si="165"/>
        <v>273929573.53846157</v>
      </c>
      <c r="O237" s="270">
        <f t="shared" si="165"/>
        <v>0</v>
      </c>
      <c r="P237" s="271">
        <f t="shared" si="166"/>
        <v>664555.00615832501</v>
      </c>
      <c r="Q237" s="365">
        <f t="shared" si="168"/>
        <v>22827.464461538464</v>
      </c>
      <c r="R237" s="366">
        <f t="shared" si="169"/>
        <v>0</v>
      </c>
      <c r="S237" s="272">
        <f t="shared" si="167"/>
        <v>273929573.53846157</v>
      </c>
      <c r="T237" s="272"/>
      <c r="U237" s="398">
        <f t="shared" si="170"/>
        <v>664555.00615832501</v>
      </c>
      <c r="V237" s="411" t="s">
        <v>662</v>
      </c>
    </row>
    <row r="238" spans="2:22" ht="78" customHeight="1" x14ac:dyDescent="0.25">
      <c r="B238" s="128" t="s">
        <v>419</v>
      </c>
      <c r="C238" s="42" t="s">
        <v>420</v>
      </c>
      <c r="D238" s="53" t="s">
        <v>412</v>
      </c>
      <c r="E238" s="133">
        <f>300*5*3</f>
        <v>4500</v>
      </c>
      <c r="F238" s="273">
        <v>20018.594230769231</v>
      </c>
      <c r="G238" s="274"/>
      <c r="H238" s="46">
        <f t="shared" si="163"/>
        <v>90083674.038461536</v>
      </c>
      <c r="I238" s="46">
        <f>E238*G238</f>
        <v>0</v>
      </c>
      <c r="J238" s="269">
        <f t="shared" si="164"/>
        <v>218543.60513940209</v>
      </c>
      <c r="K238" s="47"/>
      <c r="L238" s="47">
        <v>20018.594230769231</v>
      </c>
      <c r="M238" s="48"/>
      <c r="N238" s="270">
        <f t="shared" si="165"/>
        <v>90083674.038461536</v>
      </c>
      <c r="O238" s="270">
        <f t="shared" si="165"/>
        <v>0</v>
      </c>
      <c r="P238" s="271">
        <f t="shared" si="166"/>
        <v>218543.60513940209</v>
      </c>
      <c r="Q238" s="365">
        <f t="shared" ref="Q238:Q239" si="171">L238</f>
        <v>20018.594230769231</v>
      </c>
      <c r="R238" s="366">
        <f t="shared" ref="R238:R240" si="172">M238</f>
        <v>0</v>
      </c>
      <c r="S238" s="272">
        <f t="shared" si="167"/>
        <v>90083674.038461536</v>
      </c>
      <c r="T238" s="272"/>
      <c r="U238" s="398">
        <f t="shared" si="170"/>
        <v>218543.60513940209</v>
      </c>
      <c r="V238" s="411" t="s">
        <v>662</v>
      </c>
    </row>
    <row r="239" spans="2:22" ht="52.5" x14ac:dyDescent="0.25">
      <c r="B239" s="128" t="s">
        <v>421</v>
      </c>
      <c r="C239" s="42" t="s">
        <v>422</v>
      </c>
      <c r="D239" s="53" t="s">
        <v>412</v>
      </c>
      <c r="E239" s="133">
        <f>300*5*3</f>
        <v>4500</v>
      </c>
      <c r="F239" s="273">
        <v>24897.874307692309</v>
      </c>
      <c r="G239" s="274"/>
      <c r="H239" s="46">
        <f t="shared" si="163"/>
        <v>112040434.38461539</v>
      </c>
      <c r="I239" s="46"/>
      <c r="J239" s="269">
        <f t="shared" si="164"/>
        <v>271810.85488747066</v>
      </c>
      <c r="K239" s="47"/>
      <c r="L239" s="47">
        <v>24897.874307692309</v>
      </c>
      <c r="M239" s="48"/>
      <c r="N239" s="270">
        <f t="shared" si="165"/>
        <v>112040434.38461539</v>
      </c>
      <c r="O239" s="270">
        <f t="shared" si="165"/>
        <v>0</v>
      </c>
      <c r="P239" s="271">
        <f t="shared" si="166"/>
        <v>271810.85488747066</v>
      </c>
      <c r="Q239" s="365">
        <f t="shared" si="171"/>
        <v>24897.874307692309</v>
      </c>
      <c r="R239" s="366">
        <f t="shared" si="172"/>
        <v>0</v>
      </c>
      <c r="S239" s="272">
        <f t="shared" si="167"/>
        <v>112040434.38461539</v>
      </c>
      <c r="T239" s="272"/>
      <c r="U239" s="398">
        <f t="shared" si="170"/>
        <v>271810.85488747066</v>
      </c>
      <c r="V239" s="411" t="s">
        <v>662</v>
      </c>
    </row>
    <row r="240" spans="2:22" ht="52.5" x14ac:dyDescent="0.25">
      <c r="B240" s="128" t="s">
        <v>423</v>
      </c>
      <c r="C240" s="42" t="s">
        <v>424</v>
      </c>
      <c r="D240" s="53" t="s">
        <v>378</v>
      </c>
      <c r="E240" s="140" t="s">
        <v>425</v>
      </c>
      <c r="F240" s="273"/>
      <c r="G240" s="274"/>
      <c r="H240" s="46">
        <f>SUM(H234:H239)*0.32</f>
        <v>404039227.75384623</v>
      </c>
      <c r="I240" s="46"/>
      <c r="J240" s="269">
        <f t="shared" si="164"/>
        <v>980201.91109618207</v>
      </c>
      <c r="K240" s="47"/>
      <c r="L240" s="47">
        <v>0.28999999999999998</v>
      </c>
      <c r="M240" s="141"/>
      <c r="N240" s="270">
        <f>SUM(N234:N239)*L240</f>
        <v>366160550.15192312</v>
      </c>
      <c r="O240" s="270">
        <f>SUM(O234:O239)*M240</f>
        <v>0</v>
      </c>
      <c r="P240" s="271">
        <f t="shared" si="166"/>
        <v>888307.98193091492</v>
      </c>
      <c r="Q240" s="369">
        <v>0.32</v>
      </c>
      <c r="R240" s="366">
        <f t="shared" si="172"/>
        <v>0</v>
      </c>
      <c r="S240" s="272">
        <f>SUM(S234:S239)*Q240</f>
        <v>404039227.75384623</v>
      </c>
      <c r="T240" s="272">
        <f>SUM(T234:T239)*R240</f>
        <v>0</v>
      </c>
      <c r="U240" s="398">
        <f t="shared" si="170"/>
        <v>980201.91109618207</v>
      </c>
      <c r="V240" s="411" t="s">
        <v>662</v>
      </c>
    </row>
    <row r="241" spans="1:22" ht="11.25" x14ac:dyDescent="0.25">
      <c r="B241" s="128" t="s">
        <v>426</v>
      </c>
      <c r="C241" s="123" t="s">
        <v>682</v>
      </c>
      <c r="D241" s="53"/>
      <c r="E241" s="146"/>
      <c r="F241" s="273"/>
      <c r="G241" s="274"/>
      <c r="H241" s="46"/>
      <c r="I241" s="46"/>
      <c r="J241" s="269"/>
      <c r="K241" s="47"/>
      <c r="L241" s="47"/>
      <c r="M241" s="48"/>
      <c r="N241" s="270"/>
      <c r="O241" s="270"/>
      <c r="P241" s="271"/>
      <c r="Q241" s="137"/>
      <c r="R241" s="79"/>
      <c r="S241" s="272"/>
      <c r="T241" s="272"/>
      <c r="U241" s="398"/>
      <c r="V241" s="409"/>
    </row>
    <row r="242" spans="1:22" ht="19.5" customHeight="1" x14ac:dyDescent="0.25">
      <c r="B242" s="128" t="s">
        <v>427</v>
      </c>
      <c r="C242" s="52" t="s">
        <v>428</v>
      </c>
      <c r="D242" s="147" t="s">
        <v>412</v>
      </c>
      <c r="E242" s="133">
        <v>6000</v>
      </c>
      <c r="F242" s="273">
        <v>7000</v>
      </c>
      <c r="G242" s="274"/>
      <c r="H242" s="46">
        <f t="shared" ref="H242:H264" si="173">E242*F242</f>
        <v>42000000</v>
      </c>
      <c r="I242" s="46"/>
      <c r="J242" s="269">
        <f t="shared" si="164"/>
        <v>101892.28529839884</v>
      </c>
      <c r="K242" s="47"/>
      <c r="L242" s="47">
        <v>6500</v>
      </c>
      <c r="M242" s="48"/>
      <c r="N242" s="270">
        <f t="shared" ref="N242:O249" si="174">$E242*L242</f>
        <v>39000000</v>
      </c>
      <c r="O242" s="270">
        <f t="shared" si="174"/>
        <v>0</v>
      </c>
      <c r="P242" s="271">
        <f t="shared" ref="P242:P264" si="175">O242+(N242/$K$2)</f>
        <v>94614.264919941779</v>
      </c>
      <c r="Q242" s="137">
        <v>5220</v>
      </c>
      <c r="R242" s="79"/>
      <c r="S242" s="272">
        <f t="shared" ref="S242:S264" si="176">$E242*Q242</f>
        <v>31320000</v>
      </c>
      <c r="T242" s="272"/>
      <c r="U242" s="398">
        <f>T242+(S242/$K$2)</f>
        <v>75982.532751091712</v>
      </c>
      <c r="V242" s="408"/>
    </row>
    <row r="243" spans="1:22" ht="31.5" x14ac:dyDescent="0.25">
      <c r="B243" s="128" t="s">
        <v>429</v>
      </c>
      <c r="C243" s="148" t="s">
        <v>430</v>
      </c>
      <c r="D243" s="147" t="s">
        <v>431</v>
      </c>
      <c r="E243" s="133">
        <v>10000</v>
      </c>
      <c r="F243" s="317">
        <v>1000</v>
      </c>
      <c r="G243" s="318"/>
      <c r="H243" s="149">
        <f>F243*E243</f>
        <v>10000000</v>
      </c>
      <c r="I243" s="149"/>
      <c r="J243" s="269">
        <f t="shared" si="164"/>
        <v>24260.067928190201</v>
      </c>
      <c r="K243" s="150"/>
      <c r="L243" s="150">
        <v>8000</v>
      </c>
      <c r="M243" s="151"/>
      <c r="N243" s="270">
        <f t="shared" si="174"/>
        <v>80000000</v>
      </c>
      <c r="O243" s="270">
        <f t="shared" si="174"/>
        <v>0</v>
      </c>
      <c r="P243" s="271">
        <f t="shared" si="175"/>
        <v>194080.54342552161</v>
      </c>
      <c r="Q243" s="365">
        <f>F243</f>
        <v>1000</v>
      </c>
      <c r="R243" s="366">
        <f t="shared" ref="R243:R244" si="177">M243</f>
        <v>0</v>
      </c>
      <c r="S243" s="272">
        <f t="shared" si="176"/>
        <v>10000000</v>
      </c>
      <c r="T243" s="272"/>
      <c r="U243" s="398">
        <f t="shared" ref="U243:U264" si="178">T243+(S243/$K$2)</f>
        <v>24260.067928190201</v>
      </c>
      <c r="V243" s="408" t="s">
        <v>663</v>
      </c>
    </row>
    <row r="244" spans="1:22" ht="22.5" x14ac:dyDescent="0.25">
      <c r="B244" s="128" t="s">
        <v>432</v>
      </c>
      <c r="C244" s="52" t="s">
        <v>433</v>
      </c>
      <c r="D244" s="147" t="s">
        <v>412</v>
      </c>
      <c r="E244" s="133">
        <v>1000</v>
      </c>
      <c r="F244" s="273">
        <v>15000</v>
      </c>
      <c r="G244" s="274"/>
      <c r="H244" s="46">
        <f t="shared" si="173"/>
        <v>15000000</v>
      </c>
      <c r="I244" s="46">
        <f t="shared" ref="I244:I262" si="179">E244*G244</f>
        <v>0</v>
      </c>
      <c r="J244" s="269">
        <f t="shared" si="164"/>
        <v>36390.101892285296</v>
      </c>
      <c r="K244" s="47"/>
      <c r="L244" s="47">
        <v>15000</v>
      </c>
      <c r="M244" s="48"/>
      <c r="N244" s="270">
        <f t="shared" si="174"/>
        <v>15000000</v>
      </c>
      <c r="O244" s="270">
        <f t="shared" si="174"/>
        <v>0</v>
      </c>
      <c r="P244" s="271">
        <f t="shared" si="175"/>
        <v>36390.101892285296</v>
      </c>
      <c r="Q244" s="365">
        <f>F244</f>
        <v>15000</v>
      </c>
      <c r="R244" s="366">
        <f t="shared" si="177"/>
        <v>0</v>
      </c>
      <c r="S244" s="272">
        <f t="shared" si="176"/>
        <v>15000000</v>
      </c>
      <c r="T244" s="272"/>
      <c r="U244" s="398">
        <f t="shared" si="178"/>
        <v>36390.101892285296</v>
      </c>
      <c r="V244" s="408" t="s">
        <v>664</v>
      </c>
    </row>
    <row r="245" spans="1:22" ht="22.5" x14ac:dyDescent="0.25">
      <c r="B245" s="128" t="s">
        <v>434</v>
      </c>
      <c r="C245" s="52" t="s">
        <v>435</v>
      </c>
      <c r="D245" s="147" t="s">
        <v>412</v>
      </c>
      <c r="E245" s="133">
        <v>400</v>
      </c>
      <c r="F245" s="273">
        <v>30000</v>
      </c>
      <c r="G245" s="274"/>
      <c r="H245" s="46">
        <f t="shared" si="173"/>
        <v>12000000</v>
      </c>
      <c r="I245" s="46">
        <f t="shared" si="179"/>
        <v>0</v>
      </c>
      <c r="J245" s="269">
        <f t="shared" si="164"/>
        <v>29112.081513828238</v>
      </c>
      <c r="K245" s="47"/>
      <c r="L245" s="47">
        <v>30000</v>
      </c>
      <c r="M245" s="48"/>
      <c r="N245" s="270">
        <f t="shared" si="174"/>
        <v>12000000</v>
      </c>
      <c r="O245" s="270">
        <f t="shared" si="174"/>
        <v>0</v>
      </c>
      <c r="P245" s="271">
        <f t="shared" si="175"/>
        <v>29112.081513828238</v>
      </c>
      <c r="Q245" s="137">
        <v>27000</v>
      </c>
      <c r="R245" s="79"/>
      <c r="S245" s="272">
        <f t="shared" si="176"/>
        <v>10800000</v>
      </c>
      <c r="T245" s="272"/>
      <c r="U245" s="398">
        <f t="shared" si="178"/>
        <v>26200.873362445414</v>
      </c>
      <c r="V245" s="408"/>
    </row>
    <row r="246" spans="1:22" ht="22.5" x14ac:dyDescent="0.25">
      <c r="B246" s="128" t="s">
        <v>436</v>
      </c>
      <c r="C246" s="52" t="s">
        <v>437</v>
      </c>
      <c r="D246" s="147" t="s">
        <v>412</v>
      </c>
      <c r="E246" s="133">
        <v>400</v>
      </c>
      <c r="F246" s="273">
        <v>38000</v>
      </c>
      <c r="G246" s="274"/>
      <c r="H246" s="46">
        <f t="shared" si="173"/>
        <v>15200000</v>
      </c>
      <c r="I246" s="46">
        <f t="shared" si="179"/>
        <v>0</v>
      </c>
      <c r="J246" s="269">
        <f t="shared" si="164"/>
        <v>36875.303250849101</v>
      </c>
      <c r="K246" s="47"/>
      <c r="L246" s="47">
        <v>50000</v>
      </c>
      <c r="M246" s="48"/>
      <c r="N246" s="270">
        <f t="shared" si="174"/>
        <v>20000000</v>
      </c>
      <c r="O246" s="270">
        <f t="shared" si="174"/>
        <v>0</v>
      </c>
      <c r="P246" s="271">
        <f t="shared" si="175"/>
        <v>48520.135856380402</v>
      </c>
      <c r="Q246" s="137">
        <v>31500</v>
      </c>
      <c r="R246" s="79"/>
      <c r="S246" s="272">
        <f t="shared" si="176"/>
        <v>12600000</v>
      </c>
      <c r="T246" s="272"/>
      <c r="U246" s="398">
        <f t="shared" si="178"/>
        <v>30567.685589519653</v>
      </c>
      <c r="V246" s="408"/>
    </row>
    <row r="247" spans="1:22" ht="33.75" x14ac:dyDescent="0.25">
      <c r="B247" s="128" t="s">
        <v>438</v>
      </c>
      <c r="C247" s="52" t="s">
        <v>439</v>
      </c>
      <c r="D247" s="147" t="s">
        <v>412</v>
      </c>
      <c r="E247" s="133">
        <v>400</v>
      </c>
      <c r="F247" s="273">
        <v>100000</v>
      </c>
      <c r="G247" s="274"/>
      <c r="H247" s="46">
        <f t="shared" si="173"/>
        <v>40000000</v>
      </c>
      <c r="I247" s="46">
        <f t="shared" si="179"/>
        <v>0</v>
      </c>
      <c r="J247" s="269">
        <f t="shared" si="164"/>
        <v>97040.271712760805</v>
      </c>
      <c r="K247" s="47"/>
      <c r="L247" s="47">
        <v>120000</v>
      </c>
      <c r="M247" s="48"/>
      <c r="N247" s="270">
        <f t="shared" si="174"/>
        <v>48000000</v>
      </c>
      <c r="O247" s="270">
        <f t="shared" si="174"/>
        <v>0</v>
      </c>
      <c r="P247" s="271">
        <f t="shared" si="175"/>
        <v>116448.32605531295</v>
      </c>
      <c r="Q247" s="137">
        <v>90000</v>
      </c>
      <c r="R247" s="79"/>
      <c r="S247" s="272">
        <f t="shared" si="176"/>
        <v>36000000</v>
      </c>
      <c r="T247" s="272"/>
      <c r="U247" s="398">
        <f t="shared" si="178"/>
        <v>87336.244541484717</v>
      </c>
      <c r="V247" s="408"/>
    </row>
    <row r="248" spans="1:22" ht="22.5" x14ac:dyDescent="0.25">
      <c r="B248" s="128" t="s">
        <v>440</v>
      </c>
      <c r="C248" s="52" t="s">
        <v>441</v>
      </c>
      <c r="D248" s="147" t="s">
        <v>412</v>
      </c>
      <c r="E248" s="133">
        <v>140</v>
      </c>
      <c r="F248" s="273">
        <v>5000</v>
      </c>
      <c r="G248" s="274"/>
      <c r="H248" s="46">
        <f t="shared" si="173"/>
        <v>700000</v>
      </c>
      <c r="I248" s="46">
        <f t="shared" si="179"/>
        <v>0</v>
      </c>
      <c r="J248" s="269">
        <f t="shared" si="164"/>
        <v>1698.204754973314</v>
      </c>
      <c r="K248" s="47"/>
      <c r="L248" s="47">
        <v>5000</v>
      </c>
      <c r="M248" s="48"/>
      <c r="N248" s="270">
        <f t="shared" si="174"/>
        <v>700000</v>
      </c>
      <c r="O248" s="270">
        <f t="shared" si="174"/>
        <v>0</v>
      </c>
      <c r="P248" s="271">
        <f t="shared" si="175"/>
        <v>1698.204754973314</v>
      </c>
      <c r="Q248" s="137">
        <v>9000</v>
      </c>
      <c r="R248" s="79"/>
      <c r="S248" s="272">
        <f t="shared" si="176"/>
        <v>1260000</v>
      </c>
      <c r="T248" s="272"/>
      <c r="U248" s="398">
        <f t="shared" si="178"/>
        <v>3056.7685589519651</v>
      </c>
      <c r="V248" s="408"/>
    </row>
    <row r="249" spans="1:22" ht="27" customHeight="1" x14ac:dyDescent="0.25">
      <c r="A249" s="361"/>
      <c r="B249" s="128" t="s">
        <v>442</v>
      </c>
      <c r="C249" s="52" t="s">
        <v>443</v>
      </c>
      <c r="D249" s="147" t="s">
        <v>444</v>
      </c>
      <c r="E249" s="133">
        <v>100</v>
      </c>
      <c r="F249" s="273">
        <v>300000</v>
      </c>
      <c r="G249" s="274">
        <v>1000</v>
      </c>
      <c r="H249" s="46">
        <f t="shared" si="173"/>
        <v>30000000</v>
      </c>
      <c r="I249" s="46">
        <f t="shared" si="179"/>
        <v>100000</v>
      </c>
      <c r="J249" s="269">
        <f t="shared" si="164"/>
        <v>172780.20378457059</v>
      </c>
      <c r="K249" s="45"/>
      <c r="L249" s="45">
        <v>300000</v>
      </c>
      <c r="M249" s="46">
        <v>1000</v>
      </c>
      <c r="N249" s="270">
        <f>$E249*L249</f>
        <v>30000000</v>
      </c>
      <c r="O249" s="270">
        <f t="shared" si="174"/>
        <v>100000</v>
      </c>
      <c r="P249" s="271">
        <f t="shared" si="175"/>
        <v>172780.20378457059</v>
      </c>
      <c r="Q249" s="137">
        <v>243000</v>
      </c>
      <c r="R249" s="79">
        <v>0</v>
      </c>
      <c r="S249" s="272">
        <f t="shared" si="176"/>
        <v>24300000</v>
      </c>
      <c r="T249" s="272"/>
      <c r="U249" s="398">
        <f>T249+(S249/$K$2)</f>
        <v>58951.965065502183</v>
      </c>
      <c r="V249" s="408"/>
    </row>
    <row r="250" spans="1:22" ht="24.95" customHeight="1" x14ac:dyDescent="0.25">
      <c r="A250" s="361"/>
      <c r="B250" s="128" t="s">
        <v>445</v>
      </c>
      <c r="C250" s="52" t="s">
        <v>446</v>
      </c>
      <c r="D250" s="152">
        <v>0.2</v>
      </c>
      <c r="E250" s="133">
        <v>100</v>
      </c>
      <c r="F250" s="273">
        <f>0.2*F249</f>
        <v>60000</v>
      </c>
      <c r="G250" s="274">
        <f>0.2*G249</f>
        <v>200</v>
      </c>
      <c r="H250" s="46">
        <f t="shared" si="173"/>
        <v>6000000</v>
      </c>
      <c r="I250" s="46">
        <f t="shared" si="179"/>
        <v>20000</v>
      </c>
      <c r="J250" s="269">
        <f t="shared" si="164"/>
        <v>34556.040756914117</v>
      </c>
      <c r="K250" s="47"/>
      <c r="L250" s="47">
        <v>0.13</v>
      </c>
      <c r="M250" s="141">
        <v>0.13</v>
      </c>
      <c r="N250" s="270">
        <f>$E250*L250*$F$249</f>
        <v>3900000</v>
      </c>
      <c r="O250" s="270">
        <f>$E250*M250*$G$249</f>
        <v>13000</v>
      </c>
      <c r="P250" s="271">
        <f t="shared" si="175"/>
        <v>22461.426491994178</v>
      </c>
      <c r="Q250" s="363">
        <f>15%*Q249</f>
        <v>36450</v>
      </c>
      <c r="R250" s="79">
        <v>0</v>
      </c>
      <c r="S250" s="272">
        <f t="shared" si="176"/>
        <v>3645000</v>
      </c>
      <c r="T250" s="272"/>
      <c r="U250" s="398">
        <f t="shared" si="178"/>
        <v>8842.7947598253286</v>
      </c>
      <c r="V250" s="408"/>
    </row>
    <row r="251" spans="1:22" ht="11.25" x14ac:dyDescent="0.25">
      <c r="B251" s="128" t="s">
        <v>447</v>
      </c>
      <c r="C251" s="52" t="s">
        <v>448</v>
      </c>
      <c r="D251" s="147" t="s">
        <v>412</v>
      </c>
      <c r="E251" s="133">
        <v>400</v>
      </c>
      <c r="F251" s="273">
        <v>4000</v>
      </c>
      <c r="G251" s="274"/>
      <c r="H251" s="46">
        <f t="shared" si="173"/>
        <v>1600000</v>
      </c>
      <c r="I251" s="46">
        <f t="shared" si="179"/>
        <v>0</v>
      </c>
      <c r="J251" s="269">
        <f t="shared" si="164"/>
        <v>3881.6108685104318</v>
      </c>
      <c r="K251" s="47"/>
      <c r="L251" s="47">
        <v>4000</v>
      </c>
      <c r="M251" s="48"/>
      <c r="N251" s="270">
        <f t="shared" ref="N251:O264" si="180">$E251*L251</f>
        <v>1600000</v>
      </c>
      <c r="O251" s="270">
        <f t="shared" si="180"/>
        <v>0</v>
      </c>
      <c r="P251" s="271">
        <f t="shared" si="175"/>
        <v>3881.6108685104318</v>
      </c>
      <c r="Q251" s="137">
        <v>3132</v>
      </c>
      <c r="R251" s="79"/>
      <c r="S251" s="272">
        <f t="shared" si="176"/>
        <v>1252800</v>
      </c>
      <c r="T251" s="272"/>
      <c r="U251" s="398">
        <f t="shared" si="178"/>
        <v>3039.3013100436683</v>
      </c>
      <c r="V251" s="408"/>
    </row>
    <row r="252" spans="1:22" ht="11.25" x14ac:dyDescent="0.25">
      <c r="B252" s="128" t="s">
        <v>449</v>
      </c>
      <c r="C252" s="52" t="s">
        <v>450</v>
      </c>
      <c r="D252" s="147" t="s">
        <v>412</v>
      </c>
      <c r="E252" s="133">
        <f>4*100</f>
        <v>400</v>
      </c>
      <c r="F252" s="273">
        <v>3000</v>
      </c>
      <c r="G252" s="274"/>
      <c r="H252" s="46">
        <f t="shared" si="173"/>
        <v>1200000</v>
      </c>
      <c r="I252" s="46">
        <f t="shared" si="179"/>
        <v>0</v>
      </c>
      <c r="J252" s="269">
        <f t="shared" si="164"/>
        <v>2911.2081513828239</v>
      </c>
      <c r="K252" s="47"/>
      <c r="L252" s="47">
        <v>35000</v>
      </c>
      <c r="M252" s="48"/>
      <c r="N252" s="270">
        <f t="shared" si="180"/>
        <v>14000000</v>
      </c>
      <c r="O252" s="270">
        <f t="shared" si="180"/>
        <v>0</v>
      </c>
      <c r="P252" s="271">
        <f t="shared" si="175"/>
        <v>33964.095099466278</v>
      </c>
      <c r="Q252" s="137">
        <v>2088</v>
      </c>
      <c r="R252" s="79"/>
      <c r="S252" s="272">
        <f t="shared" si="176"/>
        <v>835200</v>
      </c>
      <c r="T252" s="272"/>
      <c r="U252" s="398">
        <f t="shared" si="178"/>
        <v>2026.2008733624455</v>
      </c>
      <c r="V252" s="408"/>
    </row>
    <row r="253" spans="1:22" ht="11.25" x14ac:dyDescent="0.25">
      <c r="B253" s="128" t="s">
        <v>451</v>
      </c>
      <c r="C253" s="52" t="s">
        <v>452</v>
      </c>
      <c r="D253" s="147" t="s">
        <v>453</v>
      </c>
      <c r="E253" s="133">
        <v>1000</v>
      </c>
      <c r="F253" s="273">
        <v>1200</v>
      </c>
      <c r="G253" s="274"/>
      <c r="H253" s="46">
        <f t="shared" si="173"/>
        <v>1200000</v>
      </c>
      <c r="I253" s="46">
        <f t="shared" si="179"/>
        <v>0</v>
      </c>
      <c r="J253" s="269">
        <f t="shared" si="164"/>
        <v>2911.2081513828239</v>
      </c>
      <c r="K253" s="47"/>
      <c r="L253" s="47">
        <v>1250</v>
      </c>
      <c r="M253" s="48"/>
      <c r="N253" s="270">
        <f t="shared" si="180"/>
        <v>1250000</v>
      </c>
      <c r="O253" s="270">
        <f t="shared" si="180"/>
        <v>0</v>
      </c>
      <c r="P253" s="271">
        <f t="shared" si="175"/>
        <v>3032.5084910237752</v>
      </c>
      <c r="Q253" s="137">
        <v>1200.96</v>
      </c>
      <c r="R253" s="79"/>
      <c r="S253" s="272">
        <f t="shared" si="176"/>
        <v>1200960</v>
      </c>
      <c r="T253" s="272"/>
      <c r="U253" s="398">
        <f t="shared" si="178"/>
        <v>2913.5371179039303</v>
      </c>
      <c r="V253" s="408"/>
    </row>
    <row r="254" spans="1:22" ht="11.25" x14ac:dyDescent="0.25">
      <c r="B254" s="128" t="s">
        <v>454</v>
      </c>
      <c r="C254" s="52" t="s">
        <v>455</v>
      </c>
      <c r="D254" s="147" t="s">
        <v>412</v>
      </c>
      <c r="E254" s="133">
        <v>400</v>
      </c>
      <c r="F254" s="273">
        <v>40000</v>
      </c>
      <c r="G254" s="274"/>
      <c r="H254" s="46">
        <f t="shared" si="173"/>
        <v>16000000</v>
      </c>
      <c r="I254" s="46">
        <f t="shared" si="179"/>
        <v>0</v>
      </c>
      <c r="J254" s="269">
        <f t="shared" si="164"/>
        <v>38816.108685104322</v>
      </c>
      <c r="K254" s="47"/>
      <c r="L254" s="47">
        <v>40000</v>
      </c>
      <c r="M254" s="48"/>
      <c r="N254" s="270">
        <f t="shared" si="180"/>
        <v>16000000</v>
      </c>
      <c r="O254" s="270">
        <f t="shared" si="180"/>
        <v>0</v>
      </c>
      <c r="P254" s="271">
        <f t="shared" si="175"/>
        <v>38816.108685104322</v>
      </c>
      <c r="Q254" s="137">
        <v>41760</v>
      </c>
      <c r="R254" s="79"/>
      <c r="S254" s="272">
        <f t="shared" si="176"/>
        <v>16704000</v>
      </c>
      <c r="T254" s="272"/>
      <c r="U254" s="398">
        <f t="shared" si="178"/>
        <v>40524.017467248908</v>
      </c>
      <c r="V254" s="408"/>
    </row>
    <row r="255" spans="1:22" ht="26.45" customHeight="1" x14ac:dyDescent="0.25">
      <c r="B255" s="128" t="s">
        <v>456</v>
      </c>
      <c r="C255" s="52" t="s">
        <v>457</v>
      </c>
      <c r="D255" s="147" t="s">
        <v>412</v>
      </c>
      <c r="E255" s="133">
        <v>400</v>
      </c>
      <c r="F255" s="273">
        <v>30000</v>
      </c>
      <c r="G255" s="274"/>
      <c r="H255" s="46">
        <f t="shared" si="173"/>
        <v>12000000</v>
      </c>
      <c r="I255" s="46">
        <f t="shared" si="179"/>
        <v>0</v>
      </c>
      <c r="J255" s="269">
        <f t="shared" si="164"/>
        <v>29112.081513828238</v>
      </c>
      <c r="K255" s="47"/>
      <c r="L255" s="47">
        <v>32500</v>
      </c>
      <c r="M255" s="48"/>
      <c r="N255" s="270">
        <f t="shared" si="180"/>
        <v>13000000</v>
      </c>
      <c r="O255" s="270">
        <f t="shared" si="180"/>
        <v>0</v>
      </c>
      <c r="P255" s="271">
        <f t="shared" si="175"/>
        <v>31538.08830664726</v>
      </c>
      <c r="Q255" s="137">
        <v>19314</v>
      </c>
      <c r="R255" s="79"/>
      <c r="S255" s="272">
        <f t="shared" si="176"/>
        <v>7725600</v>
      </c>
      <c r="T255" s="272"/>
      <c r="U255" s="398">
        <f t="shared" si="178"/>
        <v>18742.358078602621</v>
      </c>
      <c r="V255" s="408"/>
    </row>
    <row r="256" spans="1:22" ht="16.5" customHeight="1" x14ac:dyDescent="0.25">
      <c r="B256" s="128" t="s">
        <v>458</v>
      </c>
      <c r="C256" s="52" t="s">
        <v>459</v>
      </c>
      <c r="D256" s="147" t="s">
        <v>412</v>
      </c>
      <c r="E256" s="133">
        <v>400</v>
      </c>
      <c r="F256" s="273">
        <v>20000</v>
      </c>
      <c r="G256" s="274"/>
      <c r="H256" s="46">
        <f t="shared" si="173"/>
        <v>8000000</v>
      </c>
      <c r="I256" s="46">
        <f t="shared" si="179"/>
        <v>0</v>
      </c>
      <c r="J256" s="269">
        <f t="shared" si="164"/>
        <v>19408.054342552161</v>
      </c>
      <c r="K256" s="47"/>
      <c r="L256" s="47">
        <v>20000</v>
      </c>
      <c r="M256" s="48"/>
      <c r="N256" s="270">
        <f t="shared" si="180"/>
        <v>8000000</v>
      </c>
      <c r="O256" s="270">
        <f t="shared" si="180"/>
        <v>0</v>
      </c>
      <c r="P256" s="271">
        <f t="shared" si="175"/>
        <v>19408.054342552161</v>
      </c>
      <c r="Q256" s="137">
        <v>12528</v>
      </c>
      <c r="R256" s="79"/>
      <c r="S256" s="272">
        <f t="shared" si="176"/>
        <v>5011200</v>
      </c>
      <c r="T256" s="272"/>
      <c r="U256" s="398">
        <f t="shared" si="178"/>
        <v>12157.205240174673</v>
      </c>
      <c r="V256" s="408"/>
    </row>
    <row r="257" spans="2:22" ht="11.25" x14ac:dyDescent="0.25">
      <c r="B257" s="128" t="s">
        <v>460</v>
      </c>
      <c r="C257" s="52" t="s">
        <v>461</v>
      </c>
      <c r="D257" s="147" t="s">
        <v>412</v>
      </c>
      <c r="E257" s="133">
        <v>400</v>
      </c>
      <c r="F257" s="273">
        <v>300000</v>
      </c>
      <c r="G257" s="274"/>
      <c r="H257" s="46">
        <f t="shared" si="173"/>
        <v>120000000</v>
      </c>
      <c r="I257" s="46">
        <f t="shared" si="179"/>
        <v>0</v>
      </c>
      <c r="J257" s="269">
        <f t="shared" si="164"/>
        <v>291120.81513828237</v>
      </c>
      <c r="K257" s="47"/>
      <c r="L257" s="47">
        <v>300000</v>
      </c>
      <c r="M257" s="48"/>
      <c r="N257" s="270">
        <f t="shared" si="180"/>
        <v>120000000</v>
      </c>
      <c r="O257" s="270">
        <f t="shared" si="180"/>
        <v>0</v>
      </c>
      <c r="P257" s="271">
        <f t="shared" si="175"/>
        <v>291120.81513828237</v>
      </c>
      <c r="Q257" s="137">
        <v>313200</v>
      </c>
      <c r="R257" s="79"/>
      <c r="S257" s="272">
        <f t="shared" si="176"/>
        <v>125280000</v>
      </c>
      <c r="T257" s="272"/>
      <c r="U257" s="398">
        <f t="shared" si="178"/>
        <v>303930.13100436685</v>
      </c>
      <c r="V257" s="408"/>
    </row>
    <row r="258" spans="2:22" ht="21" x14ac:dyDescent="0.25">
      <c r="B258" s="128" t="s">
        <v>462</v>
      </c>
      <c r="C258" s="52" t="s">
        <v>463</v>
      </c>
      <c r="D258" s="147" t="s">
        <v>393</v>
      </c>
      <c r="E258" s="133">
        <v>100</v>
      </c>
      <c r="F258" s="273">
        <v>30000</v>
      </c>
      <c r="G258" s="274"/>
      <c r="H258" s="46">
        <f t="shared" si="173"/>
        <v>3000000</v>
      </c>
      <c r="I258" s="46">
        <f t="shared" si="179"/>
        <v>0</v>
      </c>
      <c r="J258" s="269">
        <f t="shared" si="164"/>
        <v>7278.0203784570595</v>
      </c>
      <c r="K258" s="47"/>
      <c r="L258" s="47">
        <v>25000</v>
      </c>
      <c r="M258" s="48"/>
      <c r="N258" s="270">
        <f t="shared" si="180"/>
        <v>2500000</v>
      </c>
      <c r="O258" s="270">
        <f t="shared" si="180"/>
        <v>0</v>
      </c>
      <c r="P258" s="271">
        <f t="shared" si="175"/>
        <v>6065.0169820475503</v>
      </c>
      <c r="Q258" s="365">
        <f>F258</f>
        <v>30000</v>
      </c>
      <c r="R258" s="366">
        <f t="shared" ref="R258:R262" si="181">M258</f>
        <v>0</v>
      </c>
      <c r="S258" s="272">
        <f t="shared" si="176"/>
        <v>3000000</v>
      </c>
      <c r="T258" s="272"/>
      <c r="U258" s="398">
        <f t="shared" si="178"/>
        <v>7278.0203784570595</v>
      </c>
      <c r="V258" s="408" t="s">
        <v>665</v>
      </c>
    </row>
    <row r="259" spans="2:22" ht="21" x14ac:dyDescent="0.25">
      <c r="B259" s="128" t="s">
        <v>464</v>
      </c>
      <c r="C259" s="52" t="s">
        <v>465</v>
      </c>
      <c r="D259" s="147" t="s">
        <v>466</v>
      </c>
      <c r="E259" s="133">
        <v>700</v>
      </c>
      <c r="F259" s="273">
        <v>6500</v>
      </c>
      <c r="G259" s="274"/>
      <c r="H259" s="46">
        <f t="shared" si="173"/>
        <v>4550000</v>
      </c>
      <c r="I259" s="46">
        <f t="shared" si="179"/>
        <v>0</v>
      </c>
      <c r="J259" s="269">
        <f t="shared" si="164"/>
        <v>11038.330907326541</v>
      </c>
      <c r="K259" s="47"/>
      <c r="L259" s="47">
        <v>6000</v>
      </c>
      <c r="M259" s="48"/>
      <c r="N259" s="270">
        <f t="shared" si="180"/>
        <v>4200000</v>
      </c>
      <c r="O259" s="270">
        <f t="shared" si="180"/>
        <v>0</v>
      </c>
      <c r="P259" s="271">
        <f t="shared" si="175"/>
        <v>10189.228529839884</v>
      </c>
      <c r="Q259" s="365">
        <f t="shared" ref="Q259:Q262" si="182">F259</f>
        <v>6500</v>
      </c>
      <c r="R259" s="366">
        <f t="shared" si="181"/>
        <v>0</v>
      </c>
      <c r="S259" s="272">
        <f t="shared" si="176"/>
        <v>4550000</v>
      </c>
      <c r="T259" s="272"/>
      <c r="U259" s="398">
        <f t="shared" si="178"/>
        <v>11038.330907326541</v>
      </c>
      <c r="V259" s="408" t="s">
        <v>665</v>
      </c>
    </row>
    <row r="260" spans="2:22" ht="22.5" x14ac:dyDescent="0.25">
      <c r="B260" s="128" t="s">
        <v>467</v>
      </c>
      <c r="C260" s="52" t="s">
        <v>468</v>
      </c>
      <c r="D260" s="147" t="s">
        <v>393</v>
      </c>
      <c r="E260" s="133">
        <v>20</v>
      </c>
      <c r="F260" s="273">
        <v>70000</v>
      </c>
      <c r="G260" s="274"/>
      <c r="H260" s="46">
        <f t="shared" si="173"/>
        <v>1400000</v>
      </c>
      <c r="I260" s="46">
        <f t="shared" si="179"/>
        <v>0</v>
      </c>
      <c r="J260" s="269">
        <f t="shared" si="164"/>
        <v>3396.4095099466281</v>
      </c>
      <c r="K260" s="47"/>
      <c r="L260" s="47">
        <v>85000</v>
      </c>
      <c r="M260" s="48"/>
      <c r="N260" s="270">
        <f t="shared" si="180"/>
        <v>1700000</v>
      </c>
      <c r="O260" s="270">
        <f t="shared" si="180"/>
        <v>0</v>
      </c>
      <c r="P260" s="271">
        <f t="shared" si="175"/>
        <v>4124.2115477923344</v>
      </c>
      <c r="Q260" s="365">
        <f t="shared" si="182"/>
        <v>70000</v>
      </c>
      <c r="R260" s="366">
        <f t="shared" si="181"/>
        <v>0</v>
      </c>
      <c r="S260" s="272">
        <f t="shared" si="176"/>
        <v>1400000</v>
      </c>
      <c r="T260" s="272"/>
      <c r="U260" s="398">
        <f t="shared" si="178"/>
        <v>3396.4095099466281</v>
      </c>
      <c r="V260" s="408" t="s">
        <v>665</v>
      </c>
    </row>
    <row r="261" spans="2:22" ht="22.5" x14ac:dyDescent="0.25">
      <c r="B261" s="128" t="s">
        <v>469</v>
      </c>
      <c r="C261" s="52" t="s">
        <v>470</v>
      </c>
      <c r="D261" s="147" t="s">
        <v>393</v>
      </c>
      <c r="E261" s="133">
        <v>20</v>
      </c>
      <c r="F261" s="273">
        <v>50000</v>
      </c>
      <c r="G261" s="274"/>
      <c r="H261" s="46">
        <f t="shared" si="173"/>
        <v>1000000</v>
      </c>
      <c r="I261" s="46">
        <f t="shared" si="179"/>
        <v>0</v>
      </c>
      <c r="J261" s="269">
        <f t="shared" si="164"/>
        <v>2426.0067928190201</v>
      </c>
      <c r="K261" s="47"/>
      <c r="L261" s="47">
        <v>65000</v>
      </c>
      <c r="M261" s="48"/>
      <c r="N261" s="270">
        <f t="shared" si="180"/>
        <v>1300000</v>
      </c>
      <c r="O261" s="270">
        <f t="shared" si="180"/>
        <v>0</v>
      </c>
      <c r="P261" s="271">
        <f t="shared" si="175"/>
        <v>3153.808830664726</v>
      </c>
      <c r="Q261" s="365">
        <f t="shared" si="182"/>
        <v>50000</v>
      </c>
      <c r="R261" s="366">
        <f t="shared" si="181"/>
        <v>0</v>
      </c>
      <c r="S261" s="272">
        <f t="shared" si="176"/>
        <v>1000000</v>
      </c>
      <c r="T261" s="272"/>
      <c r="U261" s="398">
        <f t="shared" si="178"/>
        <v>2426.0067928190201</v>
      </c>
      <c r="V261" s="408" t="s">
        <v>665</v>
      </c>
    </row>
    <row r="262" spans="2:22" ht="15.95" customHeight="1" x14ac:dyDescent="0.25">
      <c r="B262" s="128" t="s">
        <v>471</v>
      </c>
      <c r="C262" s="52" t="s">
        <v>472</v>
      </c>
      <c r="D262" s="147" t="s">
        <v>393</v>
      </c>
      <c r="E262" s="133">
        <v>20</v>
      </c>
      <c r="F262" s="273">
        <v>15000</v>
      </c>
      <c r="G262" s="274"/>
      <c r="H262" s="46">
        <f t="shared" si="173"/>
        <v>300000</v>
      </c>
      <c r="I262" s="46">
        <f t="shared" si="179"/>
        <v>0</v>
      </c>
      <c r="J262" s="269">
        <f t="shared" si="164"/>
        <v>727.80203784570597</v>
      </c>
      <c r="K262" s="47"/>
      <c r="L262" s="47">
        <v>13000</v>
      </c>
      <c r="M262" s="48"/>
      <c r="N262" s="270">
        <f t="shared" si="180"/>
        <v>260000</v>
      </c>
      <c r="O262" s="270">
        <f t="shared" si="180"/>
        <v>0</v>
      </c>
      <c r="P262" s="271">
        <f t="shared" si="175"/>
        <v>630.76176613294524</v>
      </c>
      <c r="Q262" s="365">
        <f t="shared" si="182"/>
        <v>15000</v>
      </c>
      <c r="R262" s="366">
        <f t="shared" si="181"/>
        <v>0</v>
      </c>
      <c r="S262" s="272">
        <f t="shared" si="176"/>
        <v>300000</v>
      </c>
      <c r="T262" s="272"/>
      <c r="U262" s="398">
        <f t="shared" si="178"/>
        <v>727.80203784570597</v>
      </c>
      <c r="V262" s="408" t="s">
        <v>665</v>
      </c>
    </row>
    <row r="263" spans="2:22" ht="24.6" customHeight="1" x14ac:dyDescent="0.25">
      <c r="B263" s="128" t="s">
        <v>473</v>
      </c>
      <c r="C263" s="35" t="s">
        <v>474</v>
      </c>
      <c r="D263" s="147" t="s">
        <v>393</v>
      </c>
      <c r="E263" s="133">
        <v>20</v>
      </c>
      <c r="F263" s="267">
        <v>16500</v>
      </c>
      <c r="G263" s="268"/>
      <c r="H263" s="46">
        <f t="shared" si="173"/>
        <v>330000</v>
      </c>
      <c r="I263" s="46"/>
      <c r="J263" s="269">
        <f t="shared" si="164"/>
        <v>800.5822416302766</v>
      </c>
      <c r="K263" s="40"/>
      <c r="L263" s="40">
        <v>20000</v>
      </c>
      <c r="M263" s="41"/>
      <c r="N263" s="270">
        <f t="shared" si="180"/>
        <v>400000</v>
      </c>
      <c r="O263" s="270">
        <f t="shared" si="180"/>
        <v>0</v>
      </c>
      <c r="P263" s="271">
        <f t="shared" si="175"/>
        <v>970.40271712760796</v>
      </c>
      <c r="Q263" s="137">
        <f>0.33*Q264</f>
        <v>34650</v>
      </c>
      <c r="R263" s="79"/>
      <c r="S263" s="272">
        <f t="shared" si="176"/>
        <v>693000</v>
      </c>
      <c r="T263" s="272"/>
      <c r="U263" s="398">
        <f t="shared" si="178"/>
        <v>1681.2227074235809</v>
      </c>
      <c r="V263" s="408"/>
    </row>
    <row r="264" spans="2:22" ht="23.25" thickBot="1" x14ac:dyDescent="0.3">
      <c r="B264" s="129" t="s">
        <v>475</v>
      </c>
      <c r="C264" s="153" t="s">
        <v>495</v>
      </c>
      <c r="D264" s="154" t="s">
        <v>393</v>
      </c>
      <c r="E264" s="138">
        <v>20</v>
      </c>
      <c r="F264" s="304">
        <v>110000</v>
      </c>
      <c r="G264" s="305"/>
      <c r="H264" s="102">
        <f t="shared" si="173"/>
        <v>2200000</v>
      </c>
      <c r="I264" s="102"/>
      <c r="J264" s="269">
        <f t="shared" si="164"/>
        <v>5337.2149442018435</v>
      </c>
      <c r="K264" s="155"/>
      <c r="L264" s="155">
        <v>95000</v>
      </c>
      <c r="M264" s="156"/>
      <c r="N264" s="270">
        <f t="shared" si="180"/>
        <v>1900000</v>
      </c>
      <c r="O264" s="270">
        <f t="shared" si="180"/>
        <v>0</v>
      </c>
      <c r="P264" s="271">
        <f t="shared" si="175"/>
        <v>4609.4129063561377</v>
      </c>
      <c r="Q264" s="280">
        <v>105000</v>
      </c>
      <c r="R264" s="104"/>
      <c r="S264" s="281">
        <f t="shared" si="176"/>
        <v>2100000</v>
      </c>
      <c r="T264" s="281"/>
      <c r="U264" s="403">
        <f t="shared" si="178"/>
        <v>5094.6142649199419</v>
      </c>
      <c r="V264" s="408"/>
    </row>
    <row r="265" spans="2:22" ht="12" thickBot="1" x14ac:dyDescent="0.3">
      <c r="B265" s="459" t="s">
        <v>476</v>
      </c>
      <c r="C265" s="460"/>
      <c r="D265" s="157"/>
      <c r="E265" s="139"/>
      <c r="F265" s="158"/>
      <c r="G265" s="159"/>
      <c r="H265" s="159">
        <f>SUM(H234:H264)</f>
        <v>2010341814.4846156</v>
      </c>
      <c r="I265" s="159">
        <f t="shared" ref="I265:J265" si="183">SUM(I234:I264)</f>
        <v>120000</v>
      </c>
      <c r="J265" s="160">
        <f t="shared" si="183"/>
        <v>4997102.8978277911</v>
      </c>
      <c r="K265" s="158"/>
      <c r="L265" s="158"/>
      <c r="M265" s="159"/>
      <c r="N265" s="159">
        <f t="shared" ref="N265:P265" si="184">SUM(N234:N264)</f>
        <v>2063493136.8826926</v>
      </c>
      <c r="O265" s="159">
        <f t="shared" si="184"/>
        <v>113000</v>
      </c>
      <c r="P265" s="160">
        <f t="shared" si="184"/>
        <v>5119048.3670128398</v>
      </c>
      <c r="Q265" s="319"/>
      <c r="R265" s="320"/>
      <c r="S265" s="159">
        <f t="shared" ref="S265:U265" si="185">SUM(S234:S264)</f>
        <v>1982639574.4846156</v>
      </c>
      <c r="T265" s="159">
        <f t="shared" si="185"/>
        <v>0</v>
      </c>
      <c r="U265" s="160">
        <f t="shared" si="185"/>
        <v>4809897.0754114911</v>
      </c>
    </row>
    <row r="266" spans="2:22" ht="12" thickBot="1" x14ac:dyDescent="0.3">
      <c r="B266" s="161"/>
      <c r="C266" s="162"/>
      <c r="D266" s="163"/>
      <c r="E266" s="164"/>
      <c r="F266" s="165"/>
      <c r="G266" s="166"/>
      <c r="H266" s="166"/>
      <c r="I266" s="166"/>
      <c r="J266" s="167"/>
      <c r="K266" s="168"/>
      <c r="L266" s="168"/>
      <c r="M266" s="169"/>
      <c r="N266" s="169"/>
      <c r="O266" s="169"/>
      <c r="P266" s="170"/>
      <c r="U266" s="321"/>
    </row>
    <row r="267" spans="2:22" ht="12.75" thickBot="1" x14ac:dyDescent="0.3">
      <c r="B267" s="171"/>
      <c r="C267" s="172" t="s">
        <v>477</v>
      </c>
      <c r="D267" s="173"/>
      <c r="E267" s="174"/>
      <c r="F267" s="175"/>
      <c r="G267" s="176"/>
      <c r="H267" s="176">
        <f>SUM(H27,H49,H71,H75,H85,H92,H98,H103,H107,H121,H165,H179,H193,H222,H231,H265)</f>
        <v>16739271026.254482</v>
      </c>
      <c r="I267" s="176">
        <f t="shared" ref="I267:J267" si="186">SUM(I27,I49,I71,I75,I85,I92,I98,I103,I107,I121,I165,I179,I193,I222,I231,I265)</f>
        <v>12036563.333333334</v>
      </c>
      <c r="J267" s="176">
        <f t="shared" si="186"/>
        <v>52646148.549865291</v>
      </c>
      <c r="K267" s="175"/>
      <c r="L267" s="175"/>
      <c r="M267" s="176"/>
      <c r="N267" s="176">
        <f t="shared" ref="N267" si="187">SUM(N27,N49,N71,N75,N85,N92,N98,N103,N107,N121,N165,N179,N193,N222,N231,N265)</f>
        <v>12942705753.688093</v>
      </c>
      <c r="O267" s="176">
        <f t="shared" ref="O267:P267" si="188">O27+O49+O71+O75+O85+O92+O98+O103+O107+O121+O165+O179+O193+O222+O231+O265</f>
        <v>4874500</v>
      </c>
      <c r="P267" s="177">
        <f t="shared" si="188"/>
        <v>36273592.075905129</v>
      </c>
      <c r="S267" s="176">
        <f t="shared" ref="S267" si="189">SUM(S27,S49,S71,S75,S85,S92,S98,S103,S107,S121,S165,S179,S193,S222,S231,S265)</f>
        <v>14483529103.172562</v>
      </c>
      <c r="T267" s="176">
        <f t="shared" ref="T267:U267" si="190">T27+T49+T71+T75+T85+T92+T98+T103+T107+T121+T165+T179+T193+T222+T231+T265</f>
        <v>10666933.333333334</v>
      </c>
      <c r="U267" s="177">
        <f t="shared" si="190"/>
        <v>45804073.321621932</v>
      </c>
    </row>
    <row r="268" spans="2:22" ht="11.25" x14ac:dyDescent="0.25">
      <c r="B268" s="178"/>
      <c r="C268" s="179"/>
      <c r="D268" s="124"/>
      <c r="E268" s="180"/>
      <c r="F268" s="181"/>
      <c r="G268" s="182"/>
      <c r="H268" s="182"/>
      <c r="I268" s="182"/>
      <c r="J268" s="182"/>
      <c r="L268" s="183"/>
      <c r="M268" s="183"/>
      <c r="N268" s="184"/>
      <c r="O268" s="184"/>
      <c r="P268" s="184"/>
      <c r="Q268" s="183"/>
      <c r="R268" s="183"/>
      <c r="S268" s="183"/>
      <c r="T268" s="183"/>
      <c r="U268" s="183"/>
    </row>
    <row r="269" spans="2:22" ht="12" thickBot="1" x14ac:dyDescent="0.3">
      <c r="B269" s="178"/>
      <c r="C269" s="179"/>
      <c r="D269" s="124"/>
      <c r="E269" s="185"/>
      <c r="F269" s="186"/>
      <c r="G269" s="187"/>
      <c r="H269" s="187"/>
      <c r="I269" s="187"/>
      <c r="J269" s="187"/>
      <c r="L269" s="183"/>
      <c r="M269" s="183"/>
      <c r="N269" s="184"/>
      <c r="O269" s="184"/>
      <c r="P269" s="184"/>
    </row>
    <row r="270" spans="2:22" ht="11.25" x14ac:dyDescent="0.25">
      <c r="B270" s="461" t="s">
        <v>478</v>
      </c>
      <c r="C270" s="462"/>
      <c r="D270" s="463"/>
      <c r="E270" s="463"/>
      <c r="F270" s="463"/>
      <c r="G270" s="464"/>
      <c r="H270" s="188"/>
      <c r="I270" s="189"/>
      <c r="J270" s="190"/>
      <c r="K270" s="191"/>
      <c r="L270" s="191"/>
      <c r="M270" s="192"/>
      <c r="N270" s="193"/>
      <c r="O270" s="193"/>
      <c r="P270" s="194"/>
      <c r="S270" s="193"/>
      <c r="T270" s="193"/>
      <c r="U270" s="194"/>
    </row>
    <row r="271" spans="2:22" ht="11.25" x14ac:dyDescent="0.25">
      <c r="B271" s="195" t="s">
        <v>14</v>
      </c>
      <c r="C271" s="196" t="s">
        <v>15</v>
      </c>
      <c r="D271" s="465"/>
      <c r="E271" s="465"/>
      <c r="F271" s="465"/>
      <c r="G271" s="466"/>
      <c r="H271" s="197">
        <f>SUM(H8:H26)</f>
        <v>707184000</v>
      </c>
      <c r="I271" s="198">
        <f>SUM(I8:I26)</f>
        <v>0</v>
      </c>
      <c r="J271" s="199">
        <f>SUM(J8:J26)</f>
        <v>1715633.1877729257</v>
      </c>
      <c r="K271" s="200"/>
      <c r="L271" s="200"/>
      <c r="N271" s="198">
        <f>N27</f>
        <v>476000000</v>
      </c>
      <c r="O271" s="198">
        <f>O27</f>
        <v>0</v>
      </c>
      <c r="P271" s="201">
        <f>P27</f>
        <v>1154779.2333818534</v>
      </c>
      <c r="S271" s="198">
        <f>S27</f>
        <v>527230000</v>
      </c>
      <c r="T271" s="198">
        <f>T27</f>
        <v>0</v>
      </c>
      <c r="U271" s="201">
        <f>U27</f>
        <v>1279063.5613779719</v>
      </c>
    </row>
    <row r="272" spans="2:22" ht="11.25" x14ac:dyDescent="0.25">
      <c r="B272" s="89" t="s">
        <v>51</v>
      </c>
      <c r="C272" s="196" t="s">
        <v>52</v>
      </c>
      <c r="D272" s="457"/>
      <c r="E272" s="457"/>
      <c r="F272" s="457"/>
      <c r="G272" s="458"/>
      <c r="H272" s="197">
        <f>SUM(H30:H48)</f>
        <v>1658647800</v>
      </c>
      <c r="I272" s="198">
        <f>SUM(I30:I48)</f>
        <v>0</v>
      </c>
      <c r="J272" s="199">
        <f>SUM(J30:J48)</f>
        <v>4023890.8296943228</v>
      </c>
      <c r="K272" s="200"/>
      <c r="L272" s="200"/>
      <c r="N272" s="198">
        <f>N49</f>
        <v>1192000000</v>
      </c>
      <c r="O272" s="198">
        <f t="shared" ref="O272:P272" si="191">O49</f>
        <v>0</v>
      </c>
      <c r="P272" s="201">
        <f t="shared" si="191"/>
        <v>2891800.0970402719</v>
      </c>
      <c r="S272" s="198">
        <f>S49</f>
        <v>1486380000</v>
      </c>
      <c r="T272" s="198">
        <f t="shared" ref="T272:U272" si="192">T49</f>
        <v>0</v>
      </c>
      <c r="U272" s="201">
        <f t="shared" si="192"/>
        <v>3605967.9767103354</v>
      </c>
    </row>
    <row r="273" spans="2:21" ht="22.5" x14ac:dyDescent="0.25">
      <c r="B273" s="89" t="s">
        <v>77</v>
      </c>
      <c r="C273" s="196" t="s">
        <v>78</v>
      </c>
      <c r="D273" s="457"/>
      <c r="E273" s="457"/>
      <c r="F273" s="457"/>
      <c r="G273" s="458"/>
      <c r="H273" s="197">
        <f>SUM(H52:H70)</f>
        <v>801524000</v>
      </c>
      <c r="I273" s="198">
        <f>SUM(I52:I70)</f>
        <v>0</v>
      </c>
      <c r="J273" s="199">
        <f>SUM(J52:J70)</f>
        <v>1944502.668607472</v>
      </c>
      <c r="K273" s="200"/>
      <c r="L273" s="200"/>
      <c r="N273" s="198">
        <f>N71</f>
        <v>504000000</v>
      </c>
      <c r="O273" s="198">
        <f t="shared" ref="O273:P273" si="193">O71</f>
        <v>0</v>
      </c>
      <c r="P273" s="201">
        <f t="shared" si="193"/>
        <v>1222707.423580786</v>
      </c>
      <c r="S273" s="198">
        <f>S71</f>
        <v>632022000</v>
      </c>
      <c r="T273" s="198">
        <f t="shared" ref="T273:U273" si="194">T71</f>
        <v>0</v>
      </c>
      <c r="U273" s="201">
        <f t="shared" si="194"/>
        <v>1533289.6652110624</v>
      </c>
    </row>
    <row r="274" spans="2:21" ht="11.25" x14ac:dyDescent="0.25">
      <c r="B274" s="89" t="s">
        <v>102</v>
      </c>
      <c r="C274" s="202" t="s">
        <v>479</v>
      </c>
      <c r="D274" s="457"/>
      <c r="E274" s="457"/>
      <c r="F274" s="457"/>
      <c r="G274" s="458"/>
      <c r="H274" s="197">
        <f>SUM(H73:H74)</f>
        <v>496000000</v>
      </c>
      <c r="I274" s="198">
        <f>SUM(I73:I74)</f>
        <v>240000</v>
      </c>
      <c r="J274" s="199">
        <f>SUM(J73:J74)</f>
        <v>1443299.3692382339</v>
      </c>
      <c r="K274" s="200"/>
      <c r="L274" s="200"/>
      <c r="N274" s="198">
        <f>N75</f>
        <v>364000000</v>
      </c>
      <c r="O274" s="198">
        <f t="shared" ref="O274:P274" si="195">O75</f>
        <v>180000</v>
      </c>
      <c r="P274" s="201">
        <f t="shared" si="195"/>
        <v>1063066.4725861233</v>
      </c>
      <c r="S274" s="198">
        <f>S75</f>
        <v>475200000</v>
      </c>
      <c r="T274" s="198">
        <f t="shared" ref="T274:U274" si="196">T75</f>
        <v>2260000</v>
      </c>
      <c r="U274" s="201">
        <f t="shared" si="196"/>
        <v>3412838.427947598</v>
      </c>
    </row>
    <row r="275" spans="2:21" ht="11.25" x14ac:dyDescent="0.25">
      <c r="B275" s="89" t="s">
        <v>109</v>
      </c>
      <c r="C275" s="202" t="s">
        <v>480</v>
      </c>
      <c r="D275" s="457"/>
      <c r="E275" s="457"/>
      <c r="F275" s="457"/>
      <c r="G275" s="458"/>
      <c r="H275" s="197">
        <f>SUM(H77:H84)</f>
        <v>55466666.666666664</v>
      </c>
      <c r="I275" s="198">
        <f>SUM(I77:I84)</f>
        <v>6933.333333333333</v>
      </c>
      <c r="J275" s="199">
        <f>SUM(J77:J84)</f>
        <v>141495.843441695</v>
      </c>
      <c r="K275" s="200"/>
      <c r="L275" s="200"/>
      <c r="N275" s="198">
        <f>N85</f>
        <v>46050000</v>
      </c>
      <c r="O275" s="198">
        <f t="shared" ref="O275:P275" si="197">O85</f>
        <v>4200</v>
      </c>
      <c r="P275" s="201">
        <f t="shared" si="197"/>
        <v>115917.61280931586</v>
      </c>
      <c r="S275" s="198">
        <f>S85</f>
        <v>31496666.666666668</v>
      </c>
      <c r="T275" s="198">
        <f t="shared" ref="T275:U275" si="198">T85</f>
        <v>6933.333333333333</v>
      </c>
      <c r="U275" s="201">
        <f t="shared" si="198"/>
        <v>83344.460617823061</v>
      </c>
    </row>
    <row r="276" spans="2:21" ht="22.5" x14ac:dyDescent="0.25">
      <c r="B276" s="89" t="s">
        <v>130</v>
      </c>
      <c r="C276" s="202" t="s">
        <v>131</v>
      </c>
      <c r="D276" s="457"/>
      <c r="E276" s="457"/>
      <c r="F276" s="457"/>
      <c r="G276" s="458"/>
      <c r="H276" s="197">
        <f>SUM(H87:H91)</f>
        <v>38400000</v>
      </c>
      <c r="I276" s="198">
        <f>SUM(I87:I91)</f>
        <v>0</v>
      </c>
      <c r="J276" s="199">
        <f>SUM(J87:J91)</f>
        <v>93158.660844250378</v>
      </c>
      <c r="K276" s="200"/>
      <c r="L276" s="200"/>
      <c r="N276" s="198">
        <f>N92</f>
        <v>34000000</v>
      </c>
      <c r="O276" s="198">
        <f t="shared" ref="O276:P276" si="199">O92</f>
        <v>0</v>
      </c>
      <c r="P276" s="201">
        <f t="shared" si="199"/>
        <v>82484.23095584668</v>
      </c>
      <c r="S276" s="198">
        <f>S92</f>
        <v>38400000</v>
      </c>
      <c r="T276" s="198">
        <f t="shared" ref="T276:U276" si="200">T92</f>
        <v>0</v>
      </c>
      <c r="U276" s="201">
        <f t="shared" si="200"/>
        <v>93158.660844250378</v>
      </c>
    </row>
    <row r="277" spans="2:21" ht="11.25" x14ac:dyDescent="0.25">
      <c r="B277" s="89" t="s">
        <v>143</v>
      </c>
      <c r="C277" s="202" t="s">
        <v>481</v>
      </c>
      <c r="D277" s="457"/>
      <c r="E277" s="457"/>
      <c r="F277" s="457"/>
      <c r="G277" s="458"/>
      <c r="H277" s="197">
        <f>SUM(H94:H97)</f>
        <v>21000000</v>
      </c>
      <c r="I277" s="198">
        <f>SUM(I94:I97)</f>
        <v>0</v>
      </c>
      <c r="J277" s="199">
        <f>SUM(J94:J97)</f>
        <v>50946.142649199421</v>
      </c>
      <c r="K277" s="200"/>
      <c r="L277" s="200"/>
      <c r="N277" s="198">
        <f>N98</f>
        <v>18725000</v>
      </c>
      <c r="O277" s="198">
        <f t="shared" ref="O277:P277" si="201">O98</f>
        <v>0</v>
      </c>
      <c r="P277" s="201">
        <f t="shared" si="201"/>
        <v>45426.97719553615</v>
      </c>
      <c r="S277" s="198">
        <f>S98</f>
        <v>9700000</v>
      </c>
      <c r="T277" s="198">
        <f t="shared" ref="T277:U277" si="202">T98</f>
        <v>0</v>
      </c>
      <c r="U277" s="201">
        <f t="shared" si="202"/>
        <v>23532.265890344494</v>
      </c>
    </row>
    <row r="278" spans="2:21" ht="11.25" x14ac:dyDescent="0.25">
      <c r="B278" s="89" t="s">
        <v>154</v>
      </c>
      <c r="C278" s="202" t="s">
        <v>482</v>
      </c>
      <c r="D278" s="457"/>
      <c r="E278" s="457"/>
      <c r="F278" s="457"/>
      <c r="G278" s="458"/>
      <c r="H278" s="197">
        <f>SUM(H100:H102)</f>
        <v>27500000</v>
      </c>
      <c r="I278" s="198">
        <f>SUM(I100:I102)</f>
        <v>0</v>
      </c>
      <c r="J278" s="199">
        <f>SUM(J100:J102)</f>
        <v>66715.186802523036</v>
      </c>
      <c r="K278" s="200"/>
      <c r="L278" s="200"/>
      <c r="N278" s="198">
        <f>N103</f>
        <v>21500000</v>
      </c>
      <c r="O278" s="198">
        <f t="shared" ref="O278:P278" si="203">O103</f>
        <v>0</v>
      </c>
      <c r="P278" s="201">
        <f t="shared" si="203"/>
        <v>52159.146045608926</v>
      </c>
      <c r="S278" s="198">
        <f>S103</f>
        <v>20500000</v>
      </c>
      <c r="T278" s="198">
        <f t="shared" ref="T278:U278" si="204">T103</f>
        <v>0</v>
      </c>
      <c r="U278" s="201">
        <f t="shared" si="204"/>
        <v>49733.139252789908</v>
      </c>
    </row>
    <row r="279" spans="2:21" ht="11.25" x14ac:dyDescent="0.25">
      <c r="B279" s="89" t="s">
        <v>164</v>
      </c>
      <c r="C279" s="202" t="s">
        <v>483</v>
      </c>
      <c r="D279" s="457"/>
      <c r="E279" s="457"/>
      <c r="F279" s="457"/>
      <c r="G279" s="458"/>
      <c r="H279" s="197">
        <f>SUM(H105:H106)</f>
        <v>62500000</v>
      </c>
      <c r="I279" s="198">
        <f>SUM(I105:I106)</f>
        <v>0</v>
      </c>
      <c r="J279" s="199">
        <f>SUM(J105:J106)</f>
        <v>151625.42455118874</v>
      </c>
      <c r="K279" s="200"/>
      <c r="L279" s="200"/>
      <c r="N279" s="198">
        <f>N107</f>
        <v>27500000</v>
      </c>
      <c r="O279" s="198">
        <f t="shared" ref="O279:P279" si="205">O107</f>
        <v>0</v>
      </c>
      <c r="P279" s="201">
        <f t="shared" si="205"/>
        <v>66715.186802523051</v>
      </c>
      <c r="S279" s="198">
        <f>S107</f>
        <v>6000000</v>
      </c>
      <c r="T279" s="198">
        <f t="shared" ref="T279:U279" si="206">T107</f>
        <v>0</v>
      </c>
      <c r="U279" s="201">
        <f t="shared" si="206"/>
        <v>14556.040756914121</v>
      </c>
    </row>
    <row r="280" spans="2:21" ht="11.25" x14ac:dyDescent="0.25">
      <c r="B280" s="89" t="s">
        <v>171</v>
      </c>
      <c r="C280" s="202" t="s">
        <v>484</v>
      </c>
      <c r="D280" s="457"/>
      <c r="E280" s="457"/>
      <c r="F280" s="457"/>
      <c r="G280" s="458"/>
      <c r="H280" s="197">
        <f>SUM(H110:H120)</f>
        <v>27000000</v>
      </c>
      <c r="I280" s="198">
        <f>SUM(I110:I120)</f>
        <v>0</v>
      </c>
      <c r="J280" s="199">
        <f>SUM(J110:J120)</f>
        <v>65502.183406113545</v>
      </c>
      <c r="K280" s="200"/>
      <c r="L280" s="200"/>
      <c r="N280" s="198">
        <f>N121</f>
        <v>23100000</v>
      </c>
      <c r="O280" s="198">
        <f t="shared" ref="O280:P280" si="207">O121</f>
        <v>0</v>
      </c>
      <c r="P280" s="201">
        <f t="shared" si="207"/>
        <v>56040.756914119367</v>
      </c>
      <c r="S280" s="198">
        <f>S121</f>
        <v>8640000</v>
      </c>
      <c r="T280" s="198">
        <f t="shared" ref="T280:U280" si="208">T121</f>
        <v>0</v>
      </c>
      <c r="U280" s="201">
        <f t="shared" si="208"/>
        <v>20960.698689956334</v>
      </c>
    </row>
    <row r="281" spans="2:21" ht="11.25" x14ac:dyDescent="0.25">
      <c r="B281" s="89" t="s">
        <v>198</v>
      </c>
      <c r="C281" s="202" t="s">
        <v>485</v>
      </c>
      <c r="D281" s="457"/>
      <c r="E281" s="457"/>
      <c r="F281" s="457"/>
      <c r="G281" s="458"/>
      <c r="H281" s="197">
        <f>SUM(H125:H164)</f>
        <v>6787594300</v>
      </c>
      <c r="I281" s="198">
        <f>SUM(I125:I164)</f>
        <v>10895830</v>
      </c>
      <c r="J281" s="199">
        <f>SUM(J125:J164)</f>
        <v>27362579.878699645</v>
      </c>
      <c r="K281" s="200"/>
      <c r="L281" s="200"/>
      <c r="N281" s="198">
        <f>N165</f>
        <v>4285400000</v>
      </c>
      <c r="O281" s="198">
        <f t="shared" ref="O281:P281" si="209">O165</f>
        <v>3933500</v>
      </c>
      <c r="P281" s="201">
        <f t="shared" si="209"/>
        <v>14329909.509946631</v>
      </c>
      <c r="S281" s="198">
        <f>S165</f>
        <v>5388040000</v>
      </c>
      <c r="T281" s="198">
        <f t="shared" ref="T281:U281" si="210">T165</f>
        <v>7864000</v>
      </c>
      <c r="U281" s="201">
        <f t="shared" si="210"/>
        <v>20935421.639980584</v>
      </c>
    </row>
    <row r="282" spans="2:21" ht="11.25" x14ac:dyDescent="0.25">
      <c r="B282" s="89" t="s">
        <v>282</v>
      </c>
      <c r="C282" s="202" t="s">
        <v>486</v>
      </c>
      <c r="D282" s="457"/>
      <c r="E282" s="457"/>
      <c r="F282" s="457"/>
      <c r="G282" s="458"/>
      <c r="H282" s="197">
        <f>SUM(H168:H178)</f>
        <v>149280000</v>
      </c>
      <c r="I282" s="198">
        <f>SUM(I168:I178)</f>
        <v>290800</v>
      </c>
      <c r="J282" s="199">
        <f>SUM(J168:J178)</f>
        <v>652954.29403202329</v>
      </c>
      <c r="K282" s="200"/>
      <c r="L282" s="200"/>
      <c r="N282" s="198">
        <f>N179</f>
        <v>190475000</v>
      </c>
      <c r="O282" s="198">
        <f t="shared" ref="O282:P282" si="211">O179</f>
        <v>255000</v>
      </c>
      <c r="P282" s="201">
        <f t="shared" si="211"/>
        <v>717093.64386220276</v>
      </c>
      <c r="S282" s="198">
        <f>S179</f>
        <v>91425000</v>
      </c>
      <c r="T282" s="198">
        <f t="shared" ref="T282:U282" si="212">T179</f>
        <v>0</v>
      </c>
      <c r="U282" s="201">
        <f t="shared" si="212"/>
        <v>221797.67103347889</v>
      </c>
    </row>
    <row r="283" spans="2:21" ht="11.25" x14ac:dyDescent="0.25">
      <c r="B283" s="89" t="s">
        <v>309</v>
      </c>
      <c r="C283" s="202" t="s">
        <v>487</v>
      </c>
      <c r="D283" s="457"/>
      <c r="E283" s="457"/>
      <c r="F283" s="457"/>
      <c r="G283" s="458"/>
      <c r="H283" s="197">
        <f>SUM(H182:H192)</f>
        <v>209000000</v>
      </c>
      <c r="I283" s="198">
        <f>SUM(I182:I192)</f>
        <v>211000</v>
      </c>
      <c r="J283" s="199">
        <f>SUM(J182:J192)</f>
        <v>718035.41969917505</v>
      </c>
      <c r="K283" s="200"/>
      <c r="L283" s="200"/>
      <c r="N283" s="198">
        <f>N193</f>
        <v>160550000</v>
      </c>
      <c r="O283" s="198">
        <f t="shared" ref="O283:P283" si="213">O193</f>
        <v>133700</v>
      </c>
      <c r="P283" s="201">
        <f t="shared" si="213"/>
        <v>523195.39058709366</v>
      </c>
      <c r="S283" s="198">
        <f>S193</f>
        <v>201400000</v>
      </c>
      <c r="T283" s="198">
        <f t="shared" ref="T283:U283" si="214">T193</f>
        <v>319000</v>
      </c>
      <c r="U283" s="201">
        <f t="shared" si="214"/>
        <v>807597.76807375066</v>
      </c>
    </row>
    <row r="284" spans="2:21" ht="11.25" x14ac:dyDescent="0.25">
      <c r="B284" s="89" t="s">
        <v>329</v>
      </c>
      <c r="C284" s="202" t="s">
        <v>488</v>
      </c>
      <c r="D284" s="457"/>
      <c r="E284" s="457"/>
      <c r="F284" s="457"/>
      <c r="G284" s="458"/>
      <c r="H284" s="197">
        <f>SUM(H195:H221)</f>
        <v>3409832445.1032004</v>
      </c>
      <c r="I284" s="198">
        <f>SUM(I195:I221)</f>
        <v>100000</v>
      </c>
      <c r="J284" s="199">
        <f>SUM(J195:J221)</f>
        <v>8372276.6741950531</v>
      </c>
      <c r="K284" s="200"/>
      <c r="L284" s="200"/>
      <c r="N284" s="198">
        <f>N222</f>
        <v>3302612616.8054004</v>
      </c>
      <c r="O284" s="198">
        <f t="shared" ref="O284:P284" si="215">O222</f>
        <v>100000</v>
      </c>
      <c r="P284" s="201">
        <f t="shared" si="215"/>
        <v>8112160.6424197005</v>
      </c>
      <c r="S284" s="198">
        <f>S222</f>
        <v>3306455862.0212798</v>
      </c>
      <c r="T284" s="198">
        <f t="shared" ref="T284:U284" si="216">T222</f>
        <v>45000</v>
      </c>
      <c r="U284" s="201">
        <f t="shared" si="216"/>
        <v>8066484.3814198961</v>
      </c>
    </row>
    <row r="285" spans="2:21" ht="11.25" x14ac:dyDescent="0.25">
      <c r="B285" s="89" t="s">
        <v>390</v>
      </c>
      <c r="C285" s="359" t="s">
        <v>658</v>
      </c>
      <c r="D285" s="457"/>
      <c r="E285" s="457"/>
      <c r="F285" s="457"/>
      <c r="G285" s="458"/>
      <c r="H285" s="197">
        <f>SUM(H224:H230)</f>
        <v>278000000</v>
      </c>
      <c r="I285" s="198">
        <f>SUM(I224:I230)</f>
        <v>172000</v>
      </c>
      <c r="J285" s="199">
        <f>SUM(J224:J230)</f>
        <v>846429.88840368763</v>
      </c>
      <c r="K285" s="200"/>
      <c r="L285" s="200"/>
      <c r="N285" s="198">
        <f>N231</f>
        <v>233300000</v>
      </c>
      <c r="O285" s="198">
        <f t="shared" ref="O285:P285" si="217">O231</f>
        <v>155100</v>
      </c>
      <c r="P285" s="201">
        <f t="shared" si="217"/>
        <v>721087.38476467726</v>
      </c>
      <c r="S285" s="198">
        <f>S231</f>
        <v>278000000</v>
      </c>
      <c r="T285" s="198">
        <f t="shared" ref="T285:U285" si="218">T231</f>
        <v>172000</v>
      </c>
      <c r="U285" s="201">
        <f t="shared" si="218"/>
        <v>846429.88840368763</v>
      </c>
    </row>
    <row r="286" spans="2:21" ht="12" thickBot="1" x14ac:dyDescent="0.3">
      <c r="B286" s="203" t="s">
        <v>407</v>
      </c>
      <c r="C286" s="204" t="s">
        <v>683</v>
      </c>
      <c r="D286" s="471"/>
      <c r="E286" s="471"/>
      <c r="F286" s="471"/>
      <c r="G286" s="472"/>
      <c r="H286" s="205">
        <f>SUM(H234:H264)</f>
        <v>2010341814.4846156</v>
      </c>
      <c r="I286" s="206">
        <f t="shared" ref="I286:J286" si="219">SUM(I234:I264)</f>
        <v>120000</v>
      </c>
      <c r="J286" s="207">
        <f t="shared" si="219"/>
        <v>4997102.8978277911</v>
      </c>
      <c r="K286" s="208"/>
      <c r="L286" s="208"/>
      <c r="M286" s="209"/>
      <c r="N286" s="206">
        <f>N265</f>
        <v>2063493136.8826926</v>
      </c>
      <c r="O286" s="206">
        <f t="shared" ref="O286:P286" si="220">O265</f>
        <v>113000</v>
      </c>
      <c r="P286" s="210">
        <f t="shared" si="220"/>
        <v>5119048.3670128398</v>
      </c>
      <c r="S286" s="206">
        <f>S265</f>
        <v>1982639574.4846156</v>
      </c>
      <c r="T286" s="206">
        <f t="shared" ref="T286:U286" si="221">T265</f>
        <v>0</v>
      </c>
      <c r="U286" s="210">
        <f t="shared" si="221"/>
        <v>4809897.0754114911</v>
      </c>
    </row>
    <row r="287" spans="2:21" ht="14.1" customHeight="1" thickBot="1" x14ac:dyDescent="0.3">
      <c r="B287" s="178"/>
      <c r="C287" s="179"/>
      <c r="D287" s="124"/>
      <c r="E287" s="185"/>
      <c r="F287" s="186"/>
      <c r="G287" s="186"/>
      <c r="H287" s="211">
        <f>SUM(H271:H286)</f>
        <v>16739271026.254482</v>
      </c>
      <c r="I287" s="212">
        <f>SUM(I271:I286)</f>
        <v>12036563.333333334</v>
      </c>
      <c r="J287" s="213">
        <f>SUM(J271:J286)</f>
        <v>52646148.549865291</v>
      </c>
      <c r="N287" s="214">
        <f>SUM(N271:N286)</f>
        <v>12942705753.688093</v>
      </c>
      <c r="O287" s="215">
        <f t="shared" ref="O287:P287" si="222">SUM(O271:O286)</f>
        <v>4874500</v>
      </c>
      <c r="P287" s="216">
        <f t="shared" si="222"/>
        <v>36273592.075905129</v>
      </c>
      <c r="S287" s="214">
        <f>SUM(S271:S286)</f>
        <v>14483529103.172562</v>
      </c>
      <c r="T287" s="215">
        <f t="shared" ref="T287:U287" si="223">SUM(T271:T286)</f>
        <v>10666933.333333334</v>
      </c>
      <c r="U287" s="216">
        <f t="shared" si="223"/>
        <v>45804073.321621932</v>
      </c>
    </row>
    <row r="288" spans="2:21" ht="11.25" x14ac:dyDescent="0.25">
      <c r="B288" s="178"/>
      <c r="C288" s="179"/>
      <c r="D288" s="124"/>
      <c r="E288" s="185"/>
      <c r="F288" s="186"/>
      <c r="G288" s="186"/>
      <c r="H288" s="186"/>
      <c r="I288" s="186"/>
      <c r="J288" s="186"/>
      <c r="N288" s="217"/>
      <c r="O288" s="218"/>
      <c r="P288" s="219"/>
    </row>
    <row r="289" spans="2:21" s="225" customFormat="1" ht="11.25" x14ac:dyDescent="0.25">
      <c r="B289" s="220"/>
      <c r="C289" s="221"/>
      <c r="D289" s="222"/>
      <c r="E289" s="223"/>
      <c r="F289" s="224"/>
      <c r="G289" s="224"/>
      <c r="H289" s="224"/>
      <c r="I289" s="224"/>
      <c r="J289" s="224"/>
      <c r="N289" s="226">
        <f>N287/H287</f>
        <v>0.77319410943214206</v>
      </c>
      <c r="O289" s="227">
        <f>O287/I287</f>
        <v>0.40497439883864966</v>
      </c>
      <c r="P289" s="228">
        <f>P287/J287</f>
        <v>0.68900751669512095</v>
      </c>
      <c r="Q289" s="322"/>
      <c r="R289" s="322"/>
      <c r="S289" s="322"/>
      <c r="T289" s="322"/>
      <c r="U289" s="322"/>
    </row>
    <row r="290" spans="2:21" ht="12" thickBot="1" x14ac:dyDescent="0.3">
      <c r="B290" s="178"/>
      <c r="C290" s="179"/>
      <c r="D290" s="124"/>
      <c r="E290" s="185"/>
      <c r="F290" s="186"/>
      <c r="G290" s="186"/>
      <c r="H290" s="186"/>
      <c r="I290" s="186"/>
      <c r="J290" s="186"/>
      <c r="N290" s="229"/>
      <c r="O290" s="230"/>
      <c r="P290" s="231"/>
    </row>
    <row r="291" spans="2:21" ht="11.25" x14ac:dyDescent="0.25">
      <c r="B291" s="178"/>
      <c r="C291" s="179"/>
      <c r="D291" s="124"/>
      <c r="E291" s="185"/>
      <c r="F291" s="186"/>
      <c r="G291" s="186"/>
      <c r="H291" s="186"/>
      <c r="I291" s="186"/>
      <c r="J291" s="186"/>
    </row>
    <row r="292" spans="2:21" ht="11.25" x14ac:dyDescent="0.25">
      <c r="B292" s="178"/>
      <c r="C292" s="179"/>
      <c r="D292" s="124"/>
      <c r="E292" s="185"/>
      <c r="F292" s="186"/>
      <c r="G292" s="186"/>
      <c r="H292" s="186"/>
      <c r="I292" s="186"/>
      <c r="J292" s="186"/>
    </row>
    <row r="293" spans="2:21" ht="11.25" x14ac:dyDescent="0.25">
      <c r="B293" s="178"/>
      <c r="C293" s="179"/>
      <c r="D293" s="124"/>
      <c r="E293" s="185"/>
      <c r="F293" s="186"/>
      <c r="G293" s="186"/>
      <c r="H293" s="186"/>
      <c r="I293" s="186"/>
      <c r="J293" s="186"/>
    </row>
    <row r="294" spans="2:21" ht="12" thickBot="1" x14ac:dyDescent="0.3">
      <c r="B294" s="178"/>
      <c r="C294" s="179"/>
      <c r="D294" s="124"/>
      <c r="E294" s="185"/>
      <c r="F294" s="186"/>
      <c r="G294" s="186"/>
      <c r="H294" s="186"/>
      <c r="I294" s="186"/>
      <c r="J294" s="186"/>
      <c r="S294" s="240">
        <f>U287-P287</f>
        <v>9530481.2457168028</v>
      </c>
    </row>
    <row r="295" spans="2:21" ht="11.25" x14ac:dyDescent="0.25">
      <c r="B295" s="473" t="s">
        <v>489</v>
      </c>
      <c r="C295" s="474"/>
      <c r="D295" s="474"/>
      <c r="E295" s="474"/>
      <c r="F295" s="474"/>
      <c r="G295" s="474"/>
      <c r="H295" s="475"/>
      <c r="I295" s="186"/>
      <c r="J295" s="186"/>
    </row>
    <row r="296" spans="2:21" ht="11.25" x14ac:dyDescent="0.25">
      <c r="B296" s="232" t="s">
        <v>490</v>
      </c>
      <c r="C296" s="233"/>
      <c r="D296" s="467" t="s">
        <v>491</v>
      </c>
      <c r="E296" s="468"/>
      <c r="F296" s="469"/>
      <c r="G296" s="469"/>
      <c r="H296" s="470"/>
      <c r="I296" s="179"/>
      <c r="J296" s="179"/>
    </row>
    <row r="297" spans="2:21" ht="11.25" x14ac:dyDescent="0.25">
      <c r="B297" s="234" t="s">
        <v>492</v>
      </c>
      <c r="C297" s="233"/>
      <c r="D297" s="476" t="s">
        <v>492</v>
      </c>
      <c r="E297" s="477"/>
      <c r="F297" s="469"/>
      <c r="G297" s="469"/>
      <c r="H297" s="470"/>
      <c r="I297" s="179"/>
      <c r="J297" s="179"/>
    </row>
    <row r="298" spans="2:21" ht="11.25" x14ac:dyDescent="0.25">
      <c r="B298" s="234" t="s">
        <v>493</v>
      </c>
      <c r="C298" s="233"/>
      <c r="D298" s="476" t="s">
        <v>493</v>
      </c>
      <c r="E298" s="477"/>
      <c r="F298" s="469"/>
      <c r="G298" s="469"/>
      <c r="H298" s="470"/>
      <c r="I298" s="179"/>
      <c r="J298" s="179"/>
    </row>
    <row r="299" spans="2:21" ht="12" thickBot="1" x14ac:dyDescent="0.3">
      <c r="B299" s="235" t="s">
        <v>494</v>
      </c>
      <c r="C299" s="236"/>
      <c r="D299" s="478" t="s">
        <v>494</v>
      </c>
      <c r="E299" s="479"/>
      <c r="F299" s="480"/>
      <c r="G299" s="480"/>
      <c r="H299" s="481"/>
      <c r="I299" s="179"/>
      <c r="J299" s="179"/>
    </row>
    <row r="300" spans="2:21" x14ac:dyDescent="0.25">
      <c r="E300" s="239"/>
      <c r="F300" s="1"/>
      <c r="I300" s="1"/>
    </row>
    <row r="301" spans="2:21" x14ac:dyDescent="0.25">
      <c r="D301" s="1"/>
      <c r="E301" s="238"/>
      <c r="F301" s="1"/>
      <c r="G301" s="1"/>
    </row>
    <row r="302" spans="2:21" x14ac:dyDescent="0.25">
      <c r="D302" s="1"/>
      <c r="E302" s="238"/>
      <c r="F302" s="1"/>
      <c r="G302" s="1"/>
    </row>
    <row r="303" spans="2:21" x14ac:dyDescent="0.25">
      <c r="D303" s="1"/>
      <c r="E303" s="238"/>
      <c r="F303" s="1"/>
      <c r="G303" s="1"/>
    </row>
    <row r="304" spans="2:21" x14ac:dyDescent="0.25">
      <c r="D304" s="1"/>
      <c r="E304" s="238"/>
      <c r="F304" s="1"/>
      <c r="G304" s="1"/>
    </row>
  </sheetData>
  <autoFilter ref="B1:U265" xr:uid="{2E4044D4-D226-4AC4-9B99-1162C678CA26}">
    <filterColumn colId="0" showButton="0"/>
    <filterColumn colId="1" showButton="0"/>
    <filterColumn colId="2" showButton="0"/>
    <filterColumn colId="3" showButton="0"/>
    <filterColumn colId="4" showButton="0"/>
    <filterColumn colId="5" showButton="0"/>
    <filterColumn colId="6" showButton="0"/>
    <filterColumn colId="7" showButton="0"/>
  </autoFilter>
  <mergeCells count="49">
    <mergeCell ref="D297:E297"/>
    <mergeCell ref="F297:H297"/>
    <mergeCell ref="D298:E298"/>
    <mergeCell ref="F298:H298"/>
    <mergeCell ref="D299:E299"/>
    <mergeCell ref="F299:H299"/>
    <mergeCell ref="B179:C179"/>
    <mergeCell ref="B49:C49"/>
    <mergeCell ref="B71:C71"/>
    <mergeCell ref="D296:E296"/>
    <mergeCell ref="F296:H296"/>
    <mergeCell ref="D277:G277"/>
    <mergeCell ref="D278:G278"/>
    <mergeCell ref="D279:G279"/>
    <mergeCell ref="D280:G280"/>
    <mergeCell ref="D281:G281"/>
    <mergeCell ref="D282:G282"/>
    <mergeCell ref="D283:G283"/>
    <mergeCell ref="D284:G284"/>
    <mergeCell ref="D285:G285"/>
    <mergeCell ref="D286:G286"/>
    <mergeCell ref="B295:H295"/>
    <mergeCell ref="D276:G276"/>
    <mergeCell ref="B193:C193"/>
    <mergeCell ref="B222:C222"/>
    <mergeCell ref="B231:C231"/>
    <mergeCell ref="B265:C265"/>
    <mergeCell ref="B270:C270"/>
    <mergeCell ref="D270:G270"/>
    <mergeCell ref="D271:G271"/>
    <mergeCell ref="D272:G272"/>
    <mergeCell ref="D273:G273"/>
    <mergeCell ref="D274:G274"/>
    <mergeCell ref="D275:G275"/>
    <mergeCell ref="B165:C165"/>
    <mergeCell ref="B1:J1"/>
    <mergeCell ref="B2:C2"/>
    <mergeCell ref="B3:C3"/>
    <mergeCell ref="B75:C75"/>
    <mergeCell ref="B85:C85"/>
    <mergeCell ref="B92:C92"/>
    <mergeCell ref="B98:C98"/>
    <mergeCell ref="B103:C103"/>
    <mergeCell ref="B27:E27"/>
    <mergeCell ref="L4:P4"/>
    <mergeCell ref="Q4:U4"/>
    <mergeCell ref="B107:C107"/>
    <mergeCell ref="B121:C121"/>
    <mergeCell ref="B124:B1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71592-B0F9-4D2F-B09A-2A1601B66007}">
  <dimension ref="A1:V304"/>
  <sheetViews>
    <sheetView topLeftCell="A37" zoomScaleNormal="100" workbookViewId="0">
      <selection activeCell="M8" sqref="M8"/>
    </sheetView>
  </sheetViews>
  <sheetFormatPr defaultColWidth="9.140625" defaultRowHeight="10.5" x14ac:dyDescent="0.25"/>
  <cols>
    <col min="1" max="1" width="2.42578125" style="1" customWidth="1"/>
    <col min="2" max="2" width="9.140625" style="237"/>
    <col min="3" max="3" width="41.7109375" style="1" customWidth="1"/>
    <col min="4" max="4" width="9.85546875" style="238" customWidth="1"/>
    <col min="5" max="5" width="7.85546875" style="241" customWidth="1"/>
    <col min="6" max="6" width="11" style="240" hidden="1" customWidth="1"/>
    <col min="7" max="7" width="9.7109375" style="240" hidden="1" customWidth="1"/>
    <col min="8" max="8" width="15.28515625" style="240" hidden="1" customWidth="1"/>
    <col min="9" max="9" width="12.85546875" style="240" hidden="1" customWidth="1"/>
    <col min="10" max="10" width="12.7109375" style="240" hidden="1" customWidth="1"/>
    <col min="11" max="11" width="9" style="1" hidden="1" customWidth="1"/>
    <col min="12" max="12" width="12" style="1" customWidth="1"/>
    <col min="13" max="13" width="10" style="1" customWidth="1"/>
    <col min="14" max="14" width="16.5703125" style="1" customWidth="1"/>
    <col min="15" max="15" width="13" style="1" customWidth="1"/>
    <col min="16" max="16" width="14.5703125" style="1" customWidth="1"/>
    <col min="17" max="17" width="12.7109375" style="240" customWidth="1"/>
    <col min="18" max="18" width="13.28515625" style="240" customWidth="1"/>
    <col min="19" max="19" width="21.85546875" style="240" bestFit="1" customWidth="1"/>
    <col min="20" max="20" width="13.42578125" style="240" customWidth="1"/>
    <col min="21" max="21" width="12.28515625" style="240" bestFit="1" customWidth="1"/>
    <col min="22" max="22" width="26.28515625" style="1" customWidth="1"/>
    <col min="23" max="16384" width="9.140625" style="1"/>
  </cols>
  <sheetData>
    <row r="1" spans="2:22" ht="14.45" customHeight="1" thickBot="1" x14ac:dyDescent="0.3">
      <c r="B1" s="450" t="s">
        <v>0</v>
      </c>
      <c r="C1" s="450"/>
      <c r="D1" s="450"/>
      <c r="E1" s="450"/>
      <c r="F1" s="450"/>
      <c r="G1" s="450"/>
      <c r="H1" s="450"/>
      <c r="I1" s="450"/>
      <c r="J1" s="450"/>
    </row>
    <row r="2" spans="2:22" ht="11.25" x14ac:dyDescent="0.25">
      <c r="B2" s="451" t="s">
        <v>1</v>
      </c>
      <c r="C2" s="452"/>
      <c r="D2" s="2"/>
      <c r="E2" s="3"/>
      <c r="F2" s="4"/>
      <c r="G2" s="5" t="s">
        <v>2</v>
      </c>
      <c r="H2" s="5" t="s">
        <v>695</v>
      </c>
      <c r="I2" s="5"/>
      <c r="J2" s="6"/>
      <c r="K2" s="7">
        <v>412.2</v>
      </c>
    </row>
    <row r="3" spans="2:22" ht="12" thickBot="1" x14ac:dyDescent="0.3">
      <c r="B3" s="453" t="s">
        <v>3</v>
      </c>
      <c r="C3" s="454"/>
      <c r="D3" s="8"/>
      <c r="E3" s="8"/>
      <c r="F3" s="9"/>
      <c r="G3" s="429" t="s">
        <v>4</v>
      </c>
      <c r="H3" s="429"/>
      <c r="I3" s="429"/>
      <c r="J3" s="11"/>
    </row>
    <row r="4" spans="2:22" s="14" customFormat="1" ht="14.45" customHeight="1" thickBot="1" x14ac:dyDescent="0.3">
      <c r="B4" s="521" t="s">
        <v>702</v>
      </c>
      <c r="C4" s="520"/>
      <c r="D4" s="522"/>
      <c r="E4" s="13"/>
      <c r="F4" s="243" t="s">
        <v>5</v>
      </c>
      <c r="G4" s="244"/>
      <c r="H4" s="244"/>
      <c r="I4" s="244"/>
      <c r="J4" s="245"/>
      <c r="K4" s="242"/>
      <c r="L4" s="441" t="s">
        <v>691</v>
      </c>
      <c r="M4" s="442"/>
      <c r="N4" s="442"/>
      <c r="O4" s="442"/>
      <c r="P4" s="443"/>
      <c r="Q4" s="444" t="s">
        <v>690</v>
      </c>
      <c r="R4" s="445"/>
      <c r="S4" s="445"/>
      <c r="T4" s="445"/>
      <c r="U4" s="446"/>
      <c r="V4" s="1"/>
    </row>
    <row r="5" spans="2:22" s="23" customFormat="1" ht="23.25" thickBot="1" x14ac:dyDescent="0.3">
      <c r="B5" s="15" t="s">
        <v>6</v>
      </c>
      <c r="C5" s="16"/>
      <c r="D5" s="17" t="s">
        <v>7</v>
      </c>
      <c r="E5" s="18" t="s">
        <v>8</v>
      </c>
      <c r="F5" s="19" t="s">
        <v>9</v>
      </c>
      <c r="G5" s="20" t="s">
        <v>10</v>
      </c>
      <c r="H5" s="246" t="s">
        <v>11</v>
      </c>
      <c r="I5" s="20" t="s">
        <v>12</v>
      </c>
      <c r="J5" s="247" t="s">
        <v>13</v>
      </c>
      <c r="K5" s="21"/>
      <c r="L5" s="21" t="s">
        <v>9</v>
      </c>
      <c r="M5" s="22" t="s">
        <v>10</v>
      </c>
      <c r="N5" s="248" t="s">
        <v>11</v>
      </c>
      <c r="O5" s="249" t="s">
        <v>12</v>
      </c>
      <c r="P5" s="250" t="s">
        <v>698</v>
      </c>
      <c r="Q5" s="251" t="s">
        <v>9</v>
      </c>
      <c r="R5" s="252" t="s">
        <v>10</v>
      </c>
      <c r="S5" s="253" t="s">
        <v>11</v>
      </c>
      <c r="T5" s="254" t="s">
        <v>12</v>
      </c>
      <c r="U5" s="394" t="s">
        <v>698</v>
      </c>
      <c r="V5" s="408"/>
    </row>
    <row r="6" spans="2:22" ht="12" thickBot="1" x14ac:dyDescent="0.3">
      <c r="B6" s="412" t="s">
        <v>14</v>
      </c>
      <c r="C6" s="413" t="s">
        <v>15</v>
      </c>
      <c r="D6" s="24"/>
      <c r="E6" s="25"/>
      <c r="F6" s="61"/>
      <c r="G6" s="62"/>
      <c r="H6" s="62"/>
      <c r="I6" s="62"/>
      <c r="J6" s="255"/>
      <c r="K6" s="26"/>
      <c r="L6" s="26"/>
      <c r="M6" s="27"/>
      <c r="N6" s="256"/>
      <c r="O6" s="256"/>
      <c r="P6" s="257"/>
      <c r="Q6" s="258"/>
      <c r="R6" s="258"/>
      <c r="S6" s="258"/>
      <c r="T6" s="258"/>
      <c r="U6" s="395"/>
      <c r="V6" s="409"/>
    </row>
    <row r="7" spans="2:22" ht="11.25" x14ac:dyDescent="0.25">
      <c r="B7" s="414" t="s">
        <v>16</v>
      </c>
      <c r="C7" s="415" t="s">
        <v>17</v>
      </c>
      <c r="D7" s="28"/>
      <c r="E7" s="29"/>
      <c r="F7" s="30"/>
      <c r="G7" s="31"/>
      <c r="H7" s="259"/>
      <c r="I7" s="260"/>
      <c r="J7" s="261"/>
      <c r="K7" s="32"/>
      <c r="L7" s="32"/>
      <c r="M7" s="33"/>
      <c r="N7" s="262"/>
      <c r="O7" s="263"/>
      <c r="P7" s="264"/>
      <c r="Q7" s="265"/>
      <c r="R7" s="75"/>
      <c r="S7" s="266"/>
      <c r="T7" s="266"/>
      <c r="U7" s="396"/>
      <c r="V7" s="409"/>
    </row>
    <row r="8" spans="2:22" ht="123" customHeight="1" x14ac:dyDescent="0.25">
      <c r="B8" s="34" t="s">
        <v>18</v>
      </c>
      <c r="C8" s="35" t="s">
        <v>19</v>
      </c>
      <c r="D8" s="36" t="s">
        <v>20</v>
      </c>
      <c r="E8" s="37">
        <v>300</v>
      </c>
      <c r="F8" s="267">
        <v>236800</v>
      </c>
      <c r="G8" s="268">
        <v>0</v>
      </c>
      <c r="H8" s="39">
        <f t="shared" ref="H8:H26" si="0">E8*F8</f>
        <v>71040000</v>
      </c>
      <c r="I8" s="39">
        <f t="shared" ref="I8:I26" si="1">E8*G8</f>
        <v>0</v>
      </c>
      <c r="J8" s="269">
        <f>(H8/412.2)+I8</f>
        <v>172343.52256186318</v>
      </c>
      <c r="K8" s="40"/>
      <c r="L8" s="40">
        <v>265000</v>
      </c>
      <c r="M8" s="41"/>
      <c r="N8" s="270">
        <f>$E8*L8</f>
        <v>79500000</v>
      </c>
      <c r="O8" s="270">
        <f>$E8*M8</f>
        <v>0</v>
      </c>
      <c r="P8" s="271">
        <f>O8+(N8/$K2)</f>
        <v>192867.54002911207</v>
      </c>
      <c r="Q8" s="137">
        <v>200000</v>
      </c>
      <c r="R8" s="79">
        <v>0</v>
      </c>
      <c r="S8" s="272">
        <f t="shared" ref="S8:S16" si="2">Q8*E8</f>
        <v>60000000</v>
      </c>
      <c r="T8" s="272">
        <f t="shared" ref="T8:T16" si="3">R8*E8</f>
        <v>0</v>
      </c>
      <c r="U8" s="397">
        <f>T8+(S8/$K2)</f>
        <v>145560.40756914119</v>
      </c>
      <c r="V8" s="409"/>
    </row>
    <row r="9" spans="2:22" ht="11.25" x14ac:dyDescent="0.25">
      <c r="B9" s="34" t="s">
        <v>21</v>
      </c>
      <c r="C9" s="42" t="s">
        <v>22</v>
      </c>
      <c r="D9" s="43" t="s">
        <v>23</v>
      </c>
      <c r="E9" s="44">
        <v>100</v>
      </c>
      <c r="F9" s="273">
        <f>'[1]commercial (2)'!V9</f>
        <v>645600</v>
      </c>
      <c r="G9" s="274">
        <v>0</v>
      </c>
      <c r="H9" s="46">
        <f t="shared" si="0"/>
        <v>64560000</v>
      </c>
      <c r="I9" s="46">
        <f t="shared" si="1"/>
        <v>0</v>
      </c>
      <c r="J9" s="269">
        <f t="shared" ref="J9:J48" si="4">(H9/412.2)+I9</f>
        <v>156622.99854439593</v>
      </c>
      <c r="K9" s="47"/>
      <c r="L9" s="47">
        <v>425000</v>
      </c>
      <c r="M9" s="48"/>
      <c r="N9" s="270">
        <f t="shared" ref="N9:O16" si="5">$E9*L9</f>
        <v>42500000</v>
      </c>
      <c r="O9" s="270">
        <f t="shared" si="5"/>
        <v>0</v>
      </c>
      <c r="P9" s="271">
        <f t="shared" ref="P9:P16" si="6">O9+(N9/$K$2)</f>
        <v>103105.28869480835</v>
      </c>
      <c r="Q9" s="275">
        <v>250000</v>
      </c>
      <c r="R9" s="88">
        <v>0</v>
      </c>
      <c r="S9" s="276">
        <f t="shared" si="2"/>
        <v>25000000</v>
      </c>
      <c r="T9" s="276">
        <f t="shared" si="3"/>
        <v>0</v>
      </c>
      <c r="U9" s="398">
        <f>T9+(S9/$K$2)</f>
        <v>60650.169820475501</v>
      </c>
      <c r="V9" s="409"/>
    </row>
    <row r="10" spans="2:22" ht="11.25" x14ac:dyDescent="0.25">
      <c r="B10" s="34" t="s">
        <v>24</v>
      </c>
      <c r="C10" s="42" t="s">
        <v>25</v>
      </c>
      <c r="D10" s="43" t="s">
        <v>23</v>
      </c>
      <c r="E10" s="44">
        <v>100</v>
      </c>
      <c r="F10" s="273">
        <f>'[1]commercial (2)'!V10</f>
        <v>1054400</v>
      </c>
      <c r="G10" s="274">
        <v>0</v>
      </c>
      <c r="H10" s="46">
        <f t="shared" si="0"/>
        <v>105440000</v>
      </c>
      <c r="I10" s="46">
        <f t="shared" si="1"/>
        <v>0</v>
      </c>
      <c r="J10" s="269">
        <f t="shared" si="4"/>
        <v>255798.15623483746</v>
      </c>
      <c r="K10" s="47"/>
      <c r="L10" s="47">
        <v>650000</v>
      </c>
      <c r="M10" s="48"/>
      <c r="N10" s="270">
        <f t="shared" si="5"/>
        <v>65000000</v>
      </c>
      <c r="O10" s="270">
        <f t="shared" si="5"/>
        <v>0</v>
      </c>
      <c r="P10" s="271">
        <f t="shared" si="6"/>
        <v>157690.4415332363</v>
      </c>
      <c r="Q10" s="485">
        <v>650000</v>
      </c>
      <c r="R10" s="79">
        <v>0</v>
      </c>
      <c r="S10" s="272">
        <f t="shared" si="2"/>
        <v>65000000</v>
      </c>
      <c r="T10" s="272">
        <f t="shared" si="3"/>
        <v>0</v>
      </c>
      <c r="U10" s="399">
        <f t="shared" ref="U10:U16" si="7">T10+(S10/$K$2)</f>
        <v>157690.4415332363</v>
      </c>
      <c r="V10" s="409"/>
    </row>
    <row r="11" spans="2:22" ht="11.25" x14ac:dyDescent="0.25">
      <c r="B11" s="34" t="s">
        <v>26</v>
      </c>
      <c r="C11" s="42" t="s">
        <v>27</v>
      </c>
      <c r="D11" s="43" t="s">
        <v>23</v>
      </c>
      <c r="E11" s="44">
        <v>10</v>
      </c>
      <c r="F11" s="273">
        <f>'[1]commercial (2)'!V11</f>
        <v>1463200</v>
      </c>
      <c r="G11" s="274">
        <v>0</v>
      </c>
      <c r="H11" s="46">
        <f t="shared" si="0"/>
        <v>14632000</v>
      </c>
      <c r="I11" s="46">
        <f t="shared" si="1"/>
        <v>0</v>
      </c>
      <c r="J11" s="269">
        <f t="shared" si="4"/>
        <v>35497.3313925279</v>
      </c>
      <c r="K11" s="47"/>
      <c r="L11" s="47">
        <v>1500000</v>
      </c>
      <c r="M11" s="48"/>
      <c r="N11" s="270">
        <f t="shared" si="5"/>
        <v>15000000</v>
      </c>
      <c r="O11" s="270">
        <f t="shared" si="5"/>
        <v>0</v>
      </c>
      <c r="P11" s="271">
        <f t="shared" si="6"/>
        <v>36390.101892285296</v>
      </c>
      <c r="Q11" s="483">
        <v>1500000</v>
      </c>
      <c r="R11" s="79">
        <v>0</v>
      </c>
      <c r="S11" s="272">
        <f t="shared" si="2"/>
        <v>15000000</v>
      </c>
      <c r="T11" s="272">
        <f t="shared" si="3"/>
        <v>0</v>
      </c>
      <c r="U11" s="399">
        <f t="shared" si="7"/>
        <v>36390.101892285296</v>
      </c>
      <c r="V11" s="409"/>
    </row>
    <row r="12" spans="2:22" ht="11.25" x14ac:dyDescent="0.25">
      <c r="B12" s="34" t="s">
        <v>28</v>
      </c>
      <c r="C12" s="42" t="s">
        <v>29</v>
      </c>
      <c r="D12" s="43" t="s">
        <v>23</v>
      </c>
      <c r="E12" s="44">
        <v>10</v>
      </c>
      <c r="F12" s="273">
        <f>'[1]commercial (2)'!V12</f>
        <v>2286800</v>
      </c>
      <c r="G12" s="274">
        <v>0</v>
      </c>
      <c r="H12" s="46">
        <f t="shared" si="0"/>
        <v>22868000</v>
      </c>
      <c r="I12" s="46">
        <f t="shared" si="1"/>
        <v>0</v>
      </c>
      <c r="J12" s="269">
        <f t="shared" si="4"/>
        <v>55477.923338185348</v>
      </c>
      <c r="K12" s="47"/>
      <c r="L12" s="47">
        <v>1500000</v>
      </c>
      <c r="M12" s="48"/>
      <c r="N12" s="270">
        <f t="shared" si="5"/>
        <v>15000000</v>
      </c>
      <c r="O12" s="270">
        <f t="shared" si="5"/>
        <v>0</v>
      </c>
      <c r="P12" s="271">
        <f t="shared" si="6"/>
        <v>36390.101892285296</v>
      </c>
      <c r="Q12" s="483">
        <v>1500000</v>
      </c>
      <c r="R12" s="79">
        <v>0</v>
      </c>
      <c r="S12" s="272">
        <f t="shared" si="2"/>
        <v>15000000</v>
      </c>
      <c r="T12" s="272">
        <f t="shared" si="3"/>
        <v>0</v>
      </c>
      <c r="U12" s="399">
        <f t="shared" si="7"/>
        <v>36390.101892285296</v>
      </c>
      <c r="V12" s="409"/>
    </row>
    <row r="13" spans="2:22" ht="11.25" x14ac:dyDescent="0.25">
      <c r="B13" s="34" t="s">
        <v>30</v>
      </c>
      <c r="C13" s="42" t="s">
        <v>31</v>
      </c>
      <c r="D13" s="43" t="s">
        <v>23</v>
      </c>
      <c r="E13" s="44">
        <v>10</v>
      </c>
      <c r="F13" s="273">
        <f>'[1]commercial (2)'!V13</f>
        <v>2695600</v>
      </c>
      <c r="G13" s="274">
        <v>0</v>
      </c>
      <c r="H13" s="46">
        <f t="shared" si="0"/>
        <v>26956000</v>
      </c>
      <c r="I13" s="46">
        <f t="shared" si="1"/>
        <v>0</v>
      </c>
      <c r="J13" s="269">
        <f t="shared" si="4"/>
        <v>65395.439107229504</v>
      </c>
      <c r="K13" s="47"/>
      <c r="L13" s="47">
        <v>1500000</v>
      </c>
      <c r="M13" s="48"/>
      <c r="N13" s="270">
        <f t="shared" si="5"/>
        <v>15000000</v>
      </c>
      <c r="O13" s="270">
        <f t="shared" si="5"/>
        <v>0</v>
      </c>
      <c r="P13" s="271">
        <f t="shared" si="6"/>
        <v>36390.101892285296</v>
      </c>
      <c r="Q13" s="483">
        <v>1500000</v>
      </c>
      <c r="R13" s="79">
        <v>0</v>
      </c>
      <c r="S13" s="272">
        <f t="shared" si="2"/>
        <v>15000000</v>
      </c>
      <c r="T13" s="272">
        <f t="shared" si="3"/>
        <v>0</v>
      </c>
      <c r="U13" s="399">
        <f t="shared" si="7"/>
        <v>36390.101892285296</v>
      </c>
      <c r="V13" s="409"/>
    </row>
    <row r="14" spans="2:22" ht="11.25" x14ac:dyDescent="0.25">
      <c r="B14" s="34" t="s">
        <v>32</v>
      </c>
      <c r="C14" s="42" t="s">
        <v>33</v>
      </c>
      <c r="D14" s="43" t="s">
        <v>23</v>
      </c>
      <c r="E14" s="44">
        <v>10</v>
      </c>
      <c r="F14" s="273">
        <f>'[1]commercial (2)'!V14</f>
        <v>3104400</v>
      </c>
      <c r="G14" s="274">
        <v>0</v>
      </c>
      <c r="H14" s="46">
        <f t="shared" si="0"/>
        <v>31044000</v>
      </c>
      <c r="I14" s="46">
        <f t="shared" si="1"/>
        <v>0</v>
      </c>
      <c r="J14" s="269">
        <f t="shared" si="4"/>
        <v>75312.954876273652</v>
      </c>
      <c r="K14" s="47"/>
      <c r="L14" s="47">
        <v>2000000</v>
      </c>
      <c r="M14" s="48"/>
      <c r="N14" s="270">
        <f t="shared" si="5"/>
        <v>20000000</v>
      </c>
      <c r="O14" s="270">
        <f t="shared" si="5"/>
        <v>0</v>
      </c>
      <c r="P14" s="271">
        <f t="shared" si="6"/>
        <v>48520.135856380402</v>
      </c>
      <c r="Q14" s="483">
        <v>2000000</v>
      </c>
      <c r="R14" s="79">
        <v>0</v>
      </c>
      <c r="S14" s="272">
        <f t="shared" si="2"/>
        <v>20000000</v>
      </c>
      <c r="T14" s="272">
        <f t="shared" si="3"/>
        <v>0</v>
      </c>
      <c r="U14" s="399">
        <f t="shared" si="7"/>
        <v>48520.135856380402</v>
      </c>
      <c r="V14" s="409"/>
    </row>
    <row r="15" spans="2:22" ht="11.25" x14ac:dyDescent="0.25">
      <c r="B15" s="34" t="s">
        <v>34</v>
      </c>
      <c r="C15" s="42" t="s">
        <v>35</v>
      </c>
      <c r="D15" s="43" t="s">
        <v>23</v>
      </c>
      <c r="E15" s="44">
        <v>10</v>
      </c>
      <c r="F15" s="273">
        <f>'[1]commercial (2)'!V15</f>
        <v>3513200</v>
      </c>
      <c r="G15" s="274">
        <v>0</v>
      </c>
      <c r="H15" s="46">
        <f t="shared" si="0"/>
        <v>35132000</v>
      </c>
      <c r="I15" s="46">
        <f t="shared" si="1"/>
        <v>0</v>
      </c>
      <c r="J15" s="269">
        <f t="shared" si="4"/>
        <v>85230.470645317808</v>
      </c>
      <c r="K15" s="47"/>
      <c r="L15" s="47">
        <v>2100000</v>
      </c>
      <c r="M15" s="48"/>
      <c r="N15" s="270">
        <f t="shared" si="5"/>
        <v>21000000</v>
      </c>
      <c r="O15" s="270">
        <f t="shared" si="5"/>
        <v>0</v>
      </c>
      <c r="P15" s="271">
        <f t="shared" si="6"/>
        <v>50946.142649199421</v>
      </c>
      <c r="Q15" s="137">
        <v>430000</v>
      </c>
      <c r="R15" s="79">
        <v>0</v>
      </c>
      <c r="S15" s="272">
        <f t="shared" si="2"/>
        <v>4300000</v>
      </c>
      <c r="T15" s="272">
        <f t="shared" si="3"/>
        <v>0</v>
      </c>
      <c r="U15" s="399">
        <f t="shared" si="7"/>
        <v>10431.829209121786</v>
      </c>
      <c r="V15" s="409"/>
    </row>
    <row r="16" spans="2:22" ht="11.25" x14ac:dyDescent="0.25">
      <c r="B16" s="34" t="s">
        <v>36</v>
      </c>
      <c r="C16" s="49" t="s">
        <v>37</v>
      </c>
      <c r="D16" s="43" t="s">
        <v>23</v>
      </c>
      <c r="E16" s="44">
        <v>10</v>
      </c>
      <c r="F16" s="273">
        <f>'[1]commercial (2)'!V16</f>
        <v>3922000</v>
      </c>
      <c r="G16" s="274">
        <v>0</v>
      </c>
      <c r="H16" s="46">
        <f t="shared" si="0"/>
        <v>39220000</v>
      </c>
      <c r="I16" s="46">
        <f t="shared" si="1"/>
        <v>0</v>
      </c>
      <c r="J16" s="269">
        <f t="shared" si="4"/>
        <v>95147.986414361963</v>
      </c>
      <c r="K16" s="47"/>
      <c r="L16" s="47">
        <v>2500000</v>
      </c>
      <c r="M16" s="48"/>
      <c r="N16" s="270">
        <f t="shared" si="5"/>
        <v>25000000</v>
      </c>
      <c r="O16" s="270">
        <f t="shared" si="5"/>
        <v>0</v>
      </c>
      <c r="P16" s="271">
        <f t="shared" si="6"/>
        <v>60650.169820475501</v>
      </c>
      <c r="Q16" s="483">
        <v>2500000</v>
      </c>
      <c r="R16" s="79">
        <v>0</v>
      </c>
      <c r="S16" s="272">
        <f t="shared" si="2"/>
        <v>25000000</v>
      </c>
      <c r="T16" s="272">
        <f t="shared" si="3"/>
        <v>0</v>
      </c>
      <c r="U16" s="397">
        <f t="shared" si="7"/>
        <v>60650.169820475501</v>
      </c>
      <c r="V16" s="409"/>
    </row>
    <row r="17" spans="2:22" ht="11.25" x14ac:dyDescent="0.25">
      <c r="B17" s="34" t="s">
        <v>38</v>
      </c>
      <c r="C17" s="50" t="s">
        <v>39</v>
      </c>
      <c r="D17" s="43"/>
      <c r="E17" s="44"/>
      <c r="F17" s="273"/>
      <c r="G17" s="274"/>
      <c r="H17" s="77"/>
      <c r="I17" s="77"/>
      <c r="J17" s="87">
        <f t="shared" si="4"/>
        <v>0</v>
      </c>
      <c r="K17" s="47"/>
      <c r="L17" s="47"/>
      <c r="M17" s="48"/>
      <c r="N17" s="79"/>
      <c r="O17" s="79"/>
      <c r="P17" s="277"/>
      <c r="Q17" s="275"/>
      <c r="R17" s="88"/>
      <c r="S17" s="88"/>
      <c r="T17" s="88"/>
      <c r="U17" s="277"/>
      <c r="V17" s="409"/>
    </row>
    <row r="18" spans="2:22" ht="114.95" customHeight="1" x14ac:dyDescent="0.25">
      <c r="B18" s="430" t="s">
        <v>40</v>
      </c>
      <c r="C18" s="52" t="s">
        <v>41</v>
      </c>
      <c r="D18" s="53" t="s">
        <v>20</v>
      </c>
      <c r="E18" s="44">
        <v>50</v>
      </c>
      <c r="F18" s="273">
        <f>'[1]commercial (2)'!V18</f>
        <v>276800</v>
      </c>
      <c r="G18" s="274">
        <v>0</v>
      </c>
      <c r="H18" s="46">
        <f t="shared" si="0"/>
        <v>13840000</v>
      </c>
      <c r="I18" s="46">
        <f t="shared" si="1"/>
        <v>0</v>
      </c>
      <c r="J18" s="269">
        <f t="shared" si="4"/>
        <v>33575.934012615238</v>
      </c>
      <c r="K18" s="47"/>
      <c r="L18" s="47">
        <v>265000</v>
      </c>
      <c r="M18" s="48"/>
      <c r="N18" s="270">
        <f t="shared" ref="N18:O26" si="8">$E18*L18</f>
        <v>13250000</v>
      </c>
      <c r="O18" s="270">
        <f t="shared" si="8"/>
        <v>0</v>
      </c>
      <c r="P18" s="271">
        <f t="shared" ref="P18:P26" si="9">O18+(N18/$K$2)</f>
        <v>32144.590004852016</v>
      </c>
      <c r="Q18" s="483">
        <v>265000</v>
      </c>
      <c r="R18" s="79">
        <v>0</v>
      </c>
      <c r="S18" s="272">
        <f t="shared" ref="S18:S26" si="10">Q18*E18</f>
        <v>13250000</v>
      </c>
      <c r="T18" s="272">
        <f>R18*E18</f>
        <v>0</v>
      </c>
      <c r="U18" s="397">
        <f t="shared" ref="U18:U26" si="11">T18+(S18/$K$2)</f>
        <v>32144.590004852016</v>
      </c>
      <c r="V18" s="409"/>
    </row>
    <row r="19" spans="2:22" ht="11.25" x14ac:dyDescent="0.25">
      <c r="B19" s="430" t="s">
        <v>42</v>
      </c>
      <c r="C19" s="42" t="s">
        <v>22</v>
      </c>
      <c r="D19" s="43" t="s">
        <v>23</v>
      </c>
      <c r="E19" s="44">
        <v>50</v>
      </c>
      <c r="F19" s="273">
        <f>'[1]commercial (2)'!V19</f>
        <v>725600</v>
      </c>
      <c r="G19" s="274">
        <v>0</v>
      </c>
      <c r="H19" s="46">
        <f t="shared" si="0"/>
        <v>36280000</v>
      </c>
      <c r="I19" s="46">
        <f t="shared" si="1"/>
        <v>0</v>
      </c>
      <c r="J19" s="269">
        <f t="shared" si="4"/>
        <v>88015.526443474038</v>
      </c>
      <c r="K19" s="47"/>
      <c r="L19" s="47">
        <v>425000</v>
      </c>
      <c r="M19" s="48"/>
      <c r="N19" s="270">
        <f t="shared" si="8"/>
        <v>21250000</v>
      </c>
      <c r="O19" s="270">
        <f t="shared" si="8"/>
        <v>0</v>
      </c>
      <c r="P19" s="271">
        <f t="shared" si="9"/>
        <v>51552.644347404173</v>
      </c>
      <c r="Q19" s="483">
        <v>425000</v>
      </c>
      <c r="R19" s="88">
        <v>0</v>
      </c>
      <c r="S19" s="276">
        <f t="shared" si="10"/>
        <v>21250000</v>
      </c>
      <c r="T19" s="276">
        <f t="shared" ref="T19:T82" si="12">R19*E19</f>
        <v>0</v>
      </c>
      <c r="U19" s="398">
        <f t="shared" si="11"/>
        <v>51552.644347404173</v>
      </c>
      <c r="V19" s="409"/>
    </row>
    <row r="20" spans="2:22" ht="11.25" x14ac:dyDescent="0.25">
      <c r="B20" s="430" t="s">
        <v>43</v>
      </c>
      <c r="C20" s="42" t="s">
        <v>25</v>
      </c>
      <c r="D20" s="43" t="s">
        <v>23</v>
      </c>
      <c r="E20" s="44">
        <v>50</v>
      </c>
      <c r="F20" s="273">
        <f>'[1]commercial (2)'!V20</f>
        <v>1174400</v>
      </c>
      <c r="G20" s="274">
        <v>0</v>
      </c>
      <c r="H20" s="46">
        <f t="shared" si="0"/>
        <v>58720000</v>
      </c>
      <c r="I20" s="46">
        <f t="shared" si="1"/>
        <v>0</v>
      </c>
      <c r="J20" s="269">
        <f t="shared" si="4"/>
        <v>142455.11887433284</v>
      </c>
      <c r="K20" s="47"/>
      <c r="L20" s="47">
        <v>650000</v>
      </c>
      <c r="M20" s="48"/>
      <c r="N20" s="270">
        <f t="shared" si="8"/>
        <v>32500000</v>
      </c>
      <c r="O20" s="270">
        <f t="shared" si="8"/>
        <v>0</v>
      </c>
      <c r="P20" s="271">
        <f t="shared" si="9"/>
        <v>78845.220766618149</v>
      </c>
      <c r="Q20" s="483">
        <v>650000</v>
      </c>
      <c r="R20" s="79">
        <v>0</v>
      </c>
      <c r="S20" s="272">
        <f t="shared" si="10"/>
        <v>32500000</v>
      </c>
      <c r="T20" s="272">
        <f t="shared" si="12"/>
        <v>0</v>
      </c>
      <c r="U20" s="399">
        <f t="shared" si="11"/>
        <v>78845.220766618149</v>
      </c>
      <c r="V20" s="409"/>
    </row>
    <row r="21" spans="2:22" ht="11.25" x14ac:dyDescent="0.25">
      <c r="B21" s="430" t="s">
        <v>44</v>
      </c>
      <c r="C21" s="49" t="s">
        <v>27</v>
      </c>
      <c r="D21" s="43" t="s">
        <v>23</v>
      </c>
      <c r="E21" s="44">
        <v>10</v>
      </c>
      <c r="F21" s="273">
        <f>'[1]commercial (2)'!V21</f>
        <v>1623200</v>
      </c>
      <c r="G21" s="274">
        <v>0</v>
      </c>
      <c r="H21" s="46">
        <f t="shared" si="0"/>
        <v>16232000</v>
      </c>
      <c r="I21" s="46">
        <f t="shared" si="1"/>
        <v>0</v>
      </c>
      <c r="J21" s="269">
        <f t="shared" si="4"/>
        <v>39378.942261038334</v>
      </c>
      <c r="K21" s="47"/>
      <c r="L21" s="47">
        <v>1500000</v>
      </c>
      <c r="M21" s="48"/>
      <c r="N21" s="270">
        <f t="shared" si="8"/>
        <v>15000000</v>
      </c>
      <c r="O21" s="270">
        <f t="shared" si="8"/>
        <v>0</v>
      </c>
      <c r="P21" s="271">
        <f t="shared" si="9"/>
        <v>36390.101892285296</v>
      </c>
      <c r="Q21" s="483">
        <v>1500000</v>
      </c>
      <c r="R21" s="79">
        <v>0</v>
      </c>
      <c r="S21" s="272">
        <f t="shared" si="10"/>
        <v>15000000</v>
      </c>
      <c r="T21" s="272">
        <f t="shared" si="12"/>
        <v>0</v>
      </c>
      <c r="U21" s="399">
        <f t="shared" si="11"/>
        <v>36390.101892285296</v>
      </c>
      <c r="V21" s="409"/>
    </row>
    <row r="22" spans="2:22" ht="11.25" x14ac:dyDescent="0.25">
      <c r="B22" s="430" t="s">
        <v>45</v>
      </c>
      <c r="C22" s="49" t="s">
        <v>29</v>
      </c>
      <c r="D22" s="43" t="s">
        <v>23</v>
      </c>
      <c r="E22" s="44">
        <v>10</v>
      </c>
      <c r="F22" s="273">
        <f>'[1]commercial (2)'!V22</f>
        <v>2526800</v>
      </c>
      <c r="G22" s="274">
        <v>0</v>
      </c>
      <c r="H22" s="46">
        <f t="shared" si="0"/>
        <v>25268000</v>
      </c>
      <c r="I22" s="46">
        <f t="shared" si="1"/>
        <v>0</v>
      </c>
      <c r="J22" s="269">
        <f t="shared" si="4"/>
        <v>61300.339640950995</v>
      </c>
      <c r="K22" s="47"/>
      <c r="L22" s="47">
        <v>1500000</v>
      </c>
      <c r="M22" s="48"/>
      <c r="N22" s="270">
        <f t="shared" si="8"/>
        <v>15000000</v>
      </c>
      <c r="O22" s="270">
        <f t="shared" si="8"/>
        <v>0</v>
      </c>
      <c r="P22" s="271">
        <f t="shared" si="9"/>
        <v>36390.101892285296</v>
      </c>
      <c r="Q22" s="483">
        <v>1500000</v>
      </c>
      <c r="R22" s="79">
        <v>0</v>
      </c>
      <c r="S22" s="272">
        <f t="shared" si="10"/>
        <v>15000000</v>
      </c>
      <c r="T22" s="272">
        <f t="shared" si="12"/>
        <v>0</v>
      </c>
      <c r="U22" s="399">
        <f t="shared" si="11"/>
        <v>36390.101892285296</v>
      </c>
      <c r="V22" s="409"/>
    </row>
    <row r="23" spans="2:22" ht="11.25" x14ac:dyDescent="0.25">
      <c r="B23" s="430" t="s">
        <v>46</v>
      </c>
      <c r="C23" s="49" t="s">
        <v>31</v>
      </c>
      <c r="D23" s="53" t="s">
        <v>20</v>
      </c>
      <c r="E23" s="44">
        <v>10</v>
      </c>
      <c r="F23" s="273">
        <f>'[1]commercial (2)'!V23</f>
        <v>2975600</v>
      </c>
      <c r="G23" s="274">
        <v>0</v>
      </c>
      <c r="H23" s="46">
        <f t="shared" si="0"/>
        <v>29756000</v>
      </c>
      <c r="I23" s="46">
        <f t="shared" si="1"/>
        <v>0</v>
      </c>
      <c r="J23" s="269">
        <f t="shared" si="4"/>
        <v>72188.258127122754</v>
      </c>
      <c r="K23" s="47"/>
      <c r="L23" s="47">
        <v>1500000</v>
      </c>
      <c r="M23" s="48"/>
      <c r="N23" s="270">
        <f t="shared" si="8"/>
        <v>15000000</v>
      </c>
      <c r="O23" s="270">
        <f t="shared" si="8"/>
        <v>0</v>
      </c>
      <c r="P23" s="271">
        <f t="shared" si="9"/>
        <v>36390.101892285296</v>
      </c>
      <c r="Q23" s="483">
        <v>1500000</v>
      </c>
      <c r="R23" s="79">
        <v>0</v>
      </c>
      <c r="S23" s="272">
        <f t="shared" si="10"/>
        <v>15000000</v>
      </c>
      <c r="T23" s="272">
        <f t="shared" si="12"/>
        <v>0</v>
      </c>
      <c r="U23" s="399">
        <f t="shared" si="11"/>
        <v>36390.101892285296</v>
      </c>
      <c r="V23" s="409"/>
    </row>
    <row r="24" spans="2:22" ht="11.25" x14ac:dyDescent="0.25">
      <c r="B24" s="430" t="s">
        <v>47</v>
      </c>
      <c r="C24" s="49" t="s">
        <v>33</v>
      </c>
      <c r="D24" s="43" t="s">
        <v>23</v>
      </c>
      <c r="E24" s="44">
        <v>10</v>
      </c>
      <c r="F24" s="273">
        <f>'[1]commercial (2)'!V24</f>
        <v>3424400</v>
      </c>
      <c r="G24" s="274">
        <v>0</v>
      </c>
      <c r="H24" s="46">
        <f t="shared" si="0"/>
        <v>34244000</v>
      </c>
      <c r="I24" s="46">
        <f t="shared" si="1"/>
        <v>0</v>
      </c>
      <c r="J24" s="269">
        <f t="shared" si="4"/>
        <v>83076.176613294519</v>
      </c>
      <c r="K24" s="47"/>
      <c r="L24" s="47">
        <v>2000000</v>
      </c>
      <c r="M24" s="48"/>
      <c r="N24" s="270">
        <f t="shared" si="8"/>
        <v>20000000</v>
      </c>
      <c r="O24" s="270">
        <f t="shared" si="8"/>
        <v>0</v>
      </c>
      <c r="P24" s="271">
        <f t="shared" si="9"/>
        <v>48520.135856380402</v>
      </c>
      <c r="Q24" s="483">
        <v>2000000</v>
      </c>
      <c r="R24" s="79">
        <v>0</v>
      </c>
      <c r="S24" s="272">
        <f t="shared" si="10"/>
        <v>20000000</v>
      </c>
      <c r="T24" s="272">
        <f t="shared" si="12"/>
        <v>0</v>
      </c>
      <c r="U24" s="399">
        <f t="shared" si="11"/>
        <v>48520.135856380402</v>
      </c>
      <c r="V24" s="409"/>
    </row>
    <row r="25" spans="2:22" ht="11.25" x14ac:dyDescent="0.25">
      <c r="B25" s="430" t="s">
        <v>48</v>
      </c>
      <c r="C25" s="49" t="s">
        <v>35</v>
      </c>
      <c r="D25" s="43" t="s">
        <v>23</v>
      </c>
      <c r="E25" s="44">
        <v>10</v>
      </c>
      <c r="F25" s="273">
        <f>'[1]commercial (2)'!V25</f>
        <v>3873200</v>
      </c>
      <c r="G25" s="274">
        <v>0</v>
      </c>
      <c r="H25" s="46">
        <f t="shared" si="0"/>
        <v>38732000</v>
      </c>
      <c r="I25" s="46">
        <f t="shared" si="1"/>
        <v>0</v>
      </c>
      <c r="J25" s="269">
        <f t="shared" si="4"/>
        <v>93964.095099466285</v>
      </c>
      <c r="K25" s="47"/>
      <c r="L25" s="47">
        <v>2100000</v>
      </c>
      <c r="M25" s="48"/>
      <c r="N25" s="270">
        <f t="shared" si="8"/>
        <v>21000000</v>
      </c>
      <c r="O25" s="270">
        <f t="shared" si="8"/>
        <v>0</v>
      </c>
      <c r="P25" s="271">
        <f t="shared" si="9"/>
        <v>50946.142649199421</v>
      </c>
      <c r="Q25" s="483">
        <v>2100000</v>
      </c>
      <c r="R25" s="79">
        <v>0</v>
      </c>
      <c r="S25" s="272">
        <f t="shared" si="10"/>
        <v>21000000</v>
      </c>
      <c r="T25" s="272">
        <f t="shared" si="12"/>
        <v>0</v>
      </c>
      <c r="U25" s="399">
        <f t="shared" si="11"/>
        <v>50946.142649199421</v>
      </c>
      <c r="V25" s="409"/>
    </row>
    <row r="26" spans="2:22" ht="12" thickBot="1" x14ac:dyDescent="0.3">
      <c r="B26" s="54" t="s">
        <v>49</v>
      </c>
      <c r="C26" s="55" t="s">
        <v>37</v>
      </c>
      <c r="D26" s="56" t="s">
        <v>23</v>
      </c>
      <c r="E26" s="57">
        <v>10</v>
      </c>
      <c r="F26" s="278">
        <f>'[1]commercial (2)'!V26</f>
        <v>4322000</v>
      </c>
      <c r="G26" s="279">
        <v>0</v>
      </c>
      <c r="H26" s="58">
        <f t="shared" si="0"/>
        <v>43220000</v>
      </c>
      <c r="I26" s="58">
        <f t="shared" si="1"/>
        <v>0</v>
      </c>
      <c r="J26" s="269">
        <f t="shared" si="4"/>
        <v>104852.01358563804</v>
      </c>
      <c r="K26" s="59"/>
      <c r="L26" s="59">
        <v>2500000</v>
      </c>
      <c r="M26" s="60"/>
      <c r="N26" s="263">
        <f t="shared" si="8"/>
        <v>25000000</v>
      </c>
      <c r="O26" s="263">
        <f t="shared" si="8"/>
        <v>0</v>
      </c>
      <c r="P26" s="264">
        <f t="shared" si="9"/>
        <v>60650.169820475501</v>
      </c>
      <c r="Q26" s="484">
        <v>2500000</v>
      </c>
      <c r="R26" s="104">
        <v>0</v>
      </c>
      <c r="S26" s="281">
        <f t="shared" si="10"/>
        <v>25000000</v>
      </c>
      <c r="T26" s="281">
        <f t="shared" si="12"/>
        <v>0</v>
      </c>
      <c r="U26" s="400">
        <f t="shared" si="11"/>
        <v>60650.169820475501</v>
      </c>
      <c r="V26" s="409"/>
    </row>
    <row r="27" spans="2:22" ht="15" customHeight="1" thickBot="1" x14ac:dyDescent="0.3">
      <c r="B27" s="447" t="s">
        <v>50</v>
      </c>
      <c r="C27" s="455"/>
      <c r="D27" s="455"/>
      <c r="E27" s="456"/>
      <c r="F27" s="61"/>
      <c r="G27" s="62"/>
      <c r="H27" s="63">
        <f>SUM(H8:H26)</f>
        <v>707184000</v>
      </c>
      <c r="I27" s="63">
        <f t="shared" ref="I27" si="13">SUM(I8:I26)</f>
        <v>0</v>
      </c>
      <c r="J27" s="66">
        <f>SUM(J8:J26)</f>
        <v>1715633.1877729257</v>
      </c>
      <c r="K27" s="65"/>
      <c r="L27" s="66"/>
      <c r="M27" s="63"/>
      <c r="N27" s="63">
        <f t="shared" ref="N27:P27" si="14">SUM(N8:N26)</f>
        <v>476000000</v>
      </c>
      <c r="O27" s="63">
        <f t="shared" si="14"/>
        <v>0</v>
      </c>
      <c r="P27" s="67">
        <f t="shared" si="14"/>
        <v>1154779.2333818534</v>
      </c>
      <c r="Q27" s="282"/>
      <c r="R27" s="256"/>
      <c r="S27" s="63">
        <f t="shared" ref="S27:U27" si="15">SUM(S8:S26)</f>
        <v>422300000</v>
      </c>
      <c r="T27" s="63">
        <f t="shared" si="15"/>
        <v>0</v>
      </c>
      <c r="U27" s="67">
        <f t="shared" si="15"/>
        <v>1024502.6686074721</v>
      </c>
      <c r="V27" s="409"/>
    </row>
    <row r="28" spans="2:22" ht="11.25" x14ac:dyDescent="0.25">
      <c r="B28" s="68" t="s">
        <v>51</v>
      </c>
      <c r="C28" s="416" t="s">
        <v>52</v>
      </c>
      <c r="D28" s="69"/>
      <c r="E28" s="70"/>
      <c r="F28" s="283"/>
      <c r="G28" s="284"/>
      <c r="H28" s="71"/>
      <c r="I28" s="71"/>
      <c r="J28" s="87">
        <f t="shared" si="4"/>
        <v>0</v>
      </c>
      <c r="K28" s="73"/>
      <c r="L28" s="73"/>
      <c r="M28" s="74"/>
      <c r="N28" s="75"/>
      <c r="O28" s="75"/>
      <c r="P28" s="285"/>
      <c r="Q28" s="265"/>
      <c r="R28" s="75"/>
      <c r="S28" s="75"/>
      <c r="T28" s="75">
        <f t="shared" si="12"/>
        <v>0</v>
      </c>
      <c r="U28" s="285"/>
      <c r="V28" s="409"/>
    </row>
    <row r="29" spans="2:22" ht="11.25" x14ac:dyDescent="0.25">
      <c r="B29" s="430" t="s">
        <v>53</v>
      </c>
      <c r="C29" s="417" t="s">
        <v>17</v>
      </c>
      <c r="D29" s="53"/>
      <c r="E29" s="44"/>
      <c r="F29" s="273"/>
      <c r="G29" s="274"/>
      <c r="H29" s="77"/>
      <c r="I29" s="77"/>
      <c r="J29" s="87">
        <f t="shared" si="4"/>
        <v>0</v>
      </c>
      <c r="K29" s="47"/>
      <c r="L29" s="47"/>
      <c r="M29" s="48"/>
      <c r="N29" s="79"/>
      <c r="O29" s="79"/>
      <c r="P29" s="277"/>
      <c r="Q29" s="137"/>
      <c r="R29" s="79"/>
      <c r="S29" s="79"/>
      <c r="T29" s="79">
        <f t="shared" si="12"/>
        <v>0</v>
      </c>
      <c r="U29" s="287"/>
      <c r="V29" s="409"/>
    </row>
    <row r="30" spans="2:22" ht="114.6" customHeight="1" thickBot="1" x14ac:dyDescent="0.3">
      <c r="B30" s="80" t="s">
        <v>54</v>
      </c>
      <c r="C30" s="35" t="s">
        <v>55</v>
      </c>
      <c r="D30" s="36" t="s">
        <v>20</v>
      </c>
      <c r="E30" s="37">
        <v>600</v>
      </c>
      <c r="F30" s="273">
        <f>'[1]commercial (2)'!V29</f>
        <v>236800</v>
      </c>
      <c r="G30" s="268">
        <v>0</v>
      </c>
      <c r="H30" s="39">
        <f t="shared" ref="H30:H38" si="16">E30*F30</f>
        <v>142080000</v>
      </c>
      <c r="I30" s="39">
        <f t="shared" ref="I30:I38" si="17">E30*G30</f>
        <v>0</v>
      </c>
      <c r="J30" s="269">
        <f t="shared" si="4"/>
        <v>344687.04512372636</v>
      </c>
      <c r="K30" s="40"/>
      <c r="L30" s="47">
        <v>300000</v>
      </c>
      <c r="M30" s="41"/>
      <c r="N30" s="270">
        <f t="shared" ref="N30:O38" si="18">$E30*L30</f>
        <v>180000000</v>
      </c>
      <c r="O30" s="270">
        <f t="shared" si="18"/>
        <v>0</v>
      </c>
      <c r="P30" s="271">
        <f t="shared" ref="P30:P38" si="19">O30+(N30/$K$2)</f>
        <v>436681.22270742361</v>
      </c>
      <c r="Q30" s="137">
        <v>480000</v>
      </c>
      <c r="R30" s="79">
        <v>3100</v>
      </c>
      <c r="S30" s="272">
        <f t="shared" ref="S30:S91" si="20">Q30*E30</f>
        <v>288000000</v>
      </c>
      <c r="T30" s="272">
        <f>R30*E30</f>
        <v>1860000</v>
      </c>
      <c r="U30" s="397">
        <f t="shared" ref="U30:U38" si="21">T30+(S30/$K$2)</f>
        <v>2558689.956331878</v>
      </c>
      <c r="V30" s="409"/>
    </row>
    <row r="31" spans="2:22" ht="26.25" customHeight="1" thickBot="1" x14ac:dyDescent="0.3">
      <c r="B31" s="430" t="s">
        <v>56</v>
      </c>
      <c r="C31" s="42" t="s">
        <v>22</v>
      </c>
      <c r="D31" s="43" t="s">
        <v>20</v>
      </c>
      <c r="E31" s="44">
        <v>200</v>
      </c>
      <c r="F31" s="273">
        <f>'[1]commercial (2)'!V30</f>
        <v>627600</v>
      </c>
      <c r="G31" s="274">
        <v>0</v>
      </c>
      <c r="H31" s="46">
        <f t="shared" si="16"/>
        <v>125520000</v>
      </c>
      <c r="I31" s="46">
        <f t="shared" si="17"/>
        <v>0</v>
      </c>
      <c r="J31" s="269">
        <f t="shared" si="4"/>
        <v>304512.3726346434</v>
      </c>
      <c r="K31" s="73"/>
      <c r="L31" s="40">
        <v>425000</v>
      </c>
      <c r="M31" s="48"/>
      <c r="N31" s="270">
        <f t="shared" si="18"/>
        <v>85000000</v>
      </c>
      <c r="O31" s="270">
        <f t="shared" si="18"/>
        <v>0</v>
      </c>
      <c r="P31" s="271">
        <f t="shared" si="19"/>
        <v>206210.57738961669</v>
      </c>
      <c r="Q31" s="485">
        <v>425000</v>
      </c>
      <c r="R31" s="88">
        <v>0</v>
      </c>
      <c r="S31" s="276">
        <f t="shared" si="20"/>
        <v>85000000</v>
      </c>
      <c r="T31" s="276">
        <f t="shared" si="12"/>
        <v>0</v>
      </c>
      <c r="U31" s="398">
        <f t="shared" si="21"/>
        <v>206210.57738961669</v>
      </c>
      <c r="V31" s="408" t="s">
        <v>672</v>
      </c>
    </row>
    <row r="32" spans="2:22" ht="12" thickBot="1" x14ac:dyDescent="0.3">
      <c r="B32" s="34" t="s">
        <v>57</v>
      </c>
      <c r="C32" s="49" t="s">
        <v>25</v>
      </c>
      <c r="D32" s="43" t="s">
        <v>20</v>
      </c>
      <c r="E32" s="44">
        <v>200</v>
      </c>
      <c r="F32" s="273">
        <f>'[1]commercial (2)'!V31</f>
        <v>1018400</v>
      </c>
      <c r="G32" s="274">
        <v>0</v>
      </c>
      <c r="H32" s="46">
        <f t="shared" si="16"/>
        <v>203680000</v>
      </c>
      <c r="I32" s="46">
        <f t="shared" si="17"/>
        <v>0</v>
      </c>
      <c r="J32" s="269">
        <f t="shared" si="4"/>
        <v>494129.06356137799</v>
      </c>
      <c r="K32" s="73"/>
      <c r="L32" s="40">
        <v>650000</v>
      </c>
      <c r="M32" s="48"/>
      <c r="N32" s="270">
        <f t="shared" si="18"/>
        <v>130000000</v>
      </c>
      <c r="O32" s="270">
        <f t="shared" si="18"/>
        <v>0</v>
      </c>
      <c r="P32" s="271">
        <f t="shared" si="19"/>
        <v>315380.8830664726</v>
      </c>
      <c r="Q32" s="483">
        <v>650000</v>
      </c>
      <c r="R32" s="79">
        <v>0</v>
      </c>
      <c r="S32" s="272">
        <f t="shared" si="20"/>
        <v>130000000</v>
      </c>
      <c r="T32" s="272">
        <f t="shared" si="12"/>
        <v>0</v>
      </c>
      <c r="U32" s="399">
        <f t="shared" si="21"/>
        <v>315380.8830664726</v>
      </c>
      <c r="V32" s="409"/>
    </row>
    <row r="33" spans="2:22" ht="12" thickBot="1" x14ac:dyDescent="0.3">
      <c r="B33" s="430" t="s">
        <v>58</v>
      </c>
      <c r="C33" s="49" t="s">
        <v>27</v>
      </c>
      <c r="D33" s="43" t="s">
        <v>20</v>
      </c>
      <c r="E33" s="44">
        <v>50</v>
      </c>
      <c r="F33" s="273">
        <f>'[1]commercial (2)'!V32</f>
        <v>1409200</v>
      </c>
      <c r="G33" s="274">
        <v>0</v>
      </c>
      <c r="H33" s="46">
        <f t="shared" si="16"/>
        <v>70460000</v>
      </c>
      <c r="I33" s="46">
        <f t="shared" si="17"/>
        <v>0</v>
      </c>
      <c r="J33" s="269">
        <f t="shared" si="4"/>
        <v>170936.43862202816</v>
      </c>
      <c r="K33" s="73"/>
      <c r="L33" s="40">
        <v>1500000</v>
      </c>
      <c r="M33" s="48"/>
      <c r="N33" s="270">
        <f t="shared" si="18"/>
        <v>75000000</v>
      </c>
      <c r="O33" s="270">
        <f t="shared" si="18"/>
        <v>0</v>
      </c>
      <c r="P33" s="271">
        <f t="shared" si="19"/>
        <v>181950.5094614265</v>
      </c>
      <c r="Q33" s="483">
        <v>1500000</v>
      </c>
      <c r="R33" s="79">
        <v>0</v>
      </c>
      <c r="S33" s="272">
        <f t="shared" si="20"/>
        <v>75000000</v>
      </c>
      <c r="T33" s="272">
        <f t="shared" si="12"/>
        <v>0</v>
      </c>
      <c r="U33" s="399">
        <f t="shared" si="21"/>
        <v>181950.5094614265</v>
      </c>
      <c r="V33" s="409"/>
    </row>
    <row r="34" spans="2:22" ht="12" thickBot="1" x14ac:dyDescent="0.3">
      <c r="B34" s="34" t="s">
        <v>59</v>
      </c>
      <c r="C34" s="49" t="s">
        <v>29</v>
      </c>
      <c r="D34" s="43" t="s">
        <v>20</v>
      </c>
      <c r="E34" s="44">
        <v>50</v>
      </c>
      <c r="F34" s="273">
        <f>'[1]commercial (2)'!V33</f>
        <v>2196800</v>
      </c>
      <c r="G34" s="274">
        <v>0</v>
      </c>
      <c r="H34" s="46">
        <f t="shared" si="16"/>
        <v>109840000</v>
      </c>
      <c r="I34" s="46">
        <f t="shared" si="17"/>
        <v>0</v>
      </c>
      <c r="J34" s="269">
        <f t="shared" si="4"/>
        <v>266472.58612324117</v>
      </c>
      <c r="K34" s="73"/>
      <c r="L34" s="40">
        <v>1500000</v>
      </c>
      <c r="M34" s="48"/>
      <c r="N34" s="270">
        <f t="shared" si="18"/>
        <v>75000000</v>
      </c>
      <c r="O34" s="270">
        <f t="shared" si="18"/>
        <v>0</v>
      </c>
      <c r="P34" s="271">
        <f t="shared" si="19"/>
        <v>181950.5094614265</v>
      </c>
      <c r="Q34" s="483">
        <v>1500000</v>
      </c>
      <c r="R34" s="79">
        <v>0</v>
      </c>
      <c r="S34" s="272">
        <f t="shared" si="20"/>
        <v>75000000</v>
      </c>
      <c r="T34" s="272">
        <f t="shared" si="12"/>
        <v>0</v>
      </c>
      <c r="U34" s="399">
        <f t="shared" si="21"/>
        <v>181950.5094614265</v>
      </c>
      <c r="V34" s="409"/>
    </row>
    <row r="35" spans="2:22" ht="12" thickBot="1" x14ac:dyDescent="0.3">
      <c r="B35" s="430" t="s">
        <v>60</v>
      </c>
      <c r="C35" s="49" t="s">
        <v>31</v>
      </c>
      <c r="D35" s="43" t="s">
        <v>20</v>
      </c>
      <c r="E35" s="44">
        <v>10</v>
      </c>
      <c r="F35" s="267">
        <f>'[1]commercial (2)'!V34</f>
        <v>2587600</v>
      </c>
      <c r="G35" s="274">
        <v>0</v>
      </c>
      <c r="H35" s="46">
        <f t="shared" si="16"/>
        <v>25876000</v>
      </c>
      <c r="I35" s="46">
        <f t="shared" si="17"/>
        <v>0</v>
      </c>
      <c r="J35" s="269">
        <f t="shared" si="4"/>
        <v>62775.351770984962</v>
      </c>
      <c r="K35" s="73"/>
      <c r="L35" s="40">
        <v>1500000</v>
      </c>
      <c r="M35" s="48"/>
      <c r="N35" s="270">
        <f t="shared" si="18"/>
        <v>15000000</v>
      </c>
      <c r="O35" s="270">
        <f t="shared" si="18"/>
        <v>0</v>
      </c>
      <c r="P35" s="271">
        <f t="shared" si="19"/>
        <v>36390.101892285296</v>
      </c>
      <c r="Q35" s="483">
        <v>1500000</v>
      </c>
      <c r="R35" s="79">
        <v>0</v>
      </c>
      <c r="S35" s="272">
        <f t="shared" si="20"/>
        <v>15000000</v>
      </c>
      <c r="T35" s="272">
        <f t="shared" si="12"/>
        <v>0</v>
      </c>
      <c r="U35" s="399">
        <f t="shared" si="21"/>
        <v>36390.101892285296</v>
      </c>
      <c r="V35" s="409"/>
    </row>
    <row r="36" spans="2:22" ht="12" thickBot="1" x14ac:dyDescent="0.3">
      <c r="B36" s="34" t="s">
        <v>61</v>
      </c>
      <c r="C36" s="49" t="s">
        <v>33</v>
      </c>
      <c r="D36" s="43" t="s">
        <v>20</v>
      </c>
      <c r="E36" s="44">
        <v>10</v>
      </c>
      <c r="F36" s="273">
        <f>'[1]commercial (2)'!V35</f>
        <v>2978400</v>
      </c>
      <c r="G36" s="274">
        <v>0</v>
      </c>
      <c r="H36" s="46">
        <f t="shared" si="16"/>
        <v>29784000</v>
      </c>
      <c r="I36" s="46">
        <f t="shared" si="17"/>
        <v>0</v>
      </c>
      <c r="J36" s="269">
        <f t="shared" si="4"/>
        <v>72256.186317321684</v>
      </c>
      <c r="K36" s="73"/>
      <c r="L36" s="40">
        <v>2000000</v>
      </c>
      <c r="M36" s="48"/>
      <c r="N36" s="270">
        <f t="shared" si="18"/>
        <v>20000000</v>
      </c>
      <c r="O36" s="270">
        <f t="shared" si="18"/>
        <v>0</v>
      </c>
      <c r="P36" s="271">
        <f t="shared" si="19"/>
        <v>48520.135856380402</v>
      </c>
      <c r="Q36" s="483">
        <v>2000000</v>
      </c>
      <c r="R36" s="79">
        <v>0</v>
      </c>
      <c r="S36" s="272">
        <f t="shared" si="20"/>
        <v>20000000</v>
      </c>
      <c r="T36" s="272">
        <f t="shared" si="12"/>
        <v>0</v>
      </c>
      <c r="U36" s="399">
        <f t="shared" si="21"/>
        <v>48520.135856380402</v>
      </c>
      <c r="V36" s="409"/>
    </row>
    <row r="37" spans="2:22" ht="12" thickBot="1" x14ac:dyDescent="0.3">
      <c r="B37" s="430" t="s">
        <v>62</v>
      </c>
      <c r="C37" s="49" t="s">
        <v>35</v>
      </c>
      <c r="D37" s="43" t="s">
        <v>20</v>
      </c>
      <c r="E37" s="44">
        <v>10</v>
      </c>
      <c r="F37" s="267">
        <f>'[1]commercial (2)'!V36</f>
        <v>3369200</v>
      </c>
      <c r="G37" s="274">
        <v>0</v>
      </c>
      <c r="H37" s="46">
        <f t="shared" si="16"/>
        <v>33692000</v>
      </c>
      <c r="I37" s="46">
        <f t="shared" si="17"/>
        <v>0</v>
      </c>
      <c r="J37" s="269">
        <f t="shared" si="4"/>
        <v>81737.020863658414</v>
      </c>
      <c r="K37" s="73"/>
      <c r="L37" s="47">
        <v>2100000</v>
      </c>
      <c r="M37" s="48"/>
      <c r="N37" s="270">
        <f t="shared" si="18"/>
        <v>21000000</v>
      </c>
      <c r="O37" s="270">
        <f t="shared" si="18"/>
        <v>0</v>
      </c>
      <c r="P37" s="271">
        <f t="shared" si="19"/>
        <v>50946.142649199421</v>
      </c>
      <c r="Q37" s="483">
        <v>2100000</v>
      </c>
      <c r="R37" s="79">
        <v>0</v>
      </c>
      <c r="S37" s="272">
        <f t="shared" si="20"/>
        <v>21000000</v>
      </c>
      <c r="T37" s="272">
        <f t="shared" si="12"/>
        <v>0</v>
      </c>
      <c r="U37" s="399">
        <f t="shared" si="21"/>
        <v>50946.142649199421</v>
      </c>
      <c r="V37" s="409"/>
    </row>
    <row r="38" spans="2:22" ht="11.25" x14ac:dyDescent="0.25">
      <c r="B38" s="34" t="s">
        <v>63</v>
      </c>
      <c r="C38" s="81" t="s">
        <v>37</v>
      </c>
      <c r="D38" s="43" t="s">
        <v>20</v>
      </c>
      <c r="E38" s="44">
        <v>10</v>
      </c>
      <c r="F38" s="267">
        <f>'[1]commercial (2)'!V37</f>
        <v>3760000</v>
      </c>
      <c r="G38" s="274">
        <v>0</v>
      </c>
      <c r="H38" s="46">
        <f t="shared" si="16"/>
        <v>37600000</v>
      </c>
      <c r="I38" s="46">
        <f t="shared" si="17"/>
        <v>0</v>
      </c>
      <c r="J38" s="269">
        <f t="shared" si="4"/>
        <v>91217.855409995143</v>
      </c>
      <c r="K38" s="73"/>
      <c r="L38" s="40">
        <v>2500000</v>
      </c>
      <c r="M38" s="48"/>
      <c r="N38" s="270">
        <f t="shared" si="18"/>
        <v>25000000</v>
      </c>
      <c r="O38" s="270">
        <f t="shared" si="18"/>
        <v>0</v>
      </c>
      <c r="P38" s="271">
        <f t="shared" si="19"/>
        <v>60650.169820475501</v>
      </c>
      <c r="Q38" s="483">
        <v>2500000</v>
      </c>
      <c r="R38" s="79">
        <v>0</v>
      </c>
      <c r="S38" s="272">
        <f t="shared" si="20"/>
        <v>25000000</v>
      </c>
      <c r="T38" s="272">
        <f t="shared" si="12"/>
        <v>0</v>
      </c>
      <c r="U38" s="397">
        <f t="shared" si="21"/>
        <v>60650.169820475501</v>
      </c>
      <c r="V38" s="409"/>
    </row>
    <row r="39" spans="2:22" ht="11.25" x14ac:dyDescent="0.25">
      <c r="B39" s="80" t="s">
        <v>64</v>
      </c>
      <c r="C39" s="82" t="s">
        <v>39</v>
      </c>
      <c r="D39" s="53"/>
      <c r="E39" s="44"/>
      <c r="F39" s="273"/>
      <c r="G39" s="274"/>
      <c r="H39" s="77"/>
      <c r="I39" s="77"/>
      <c r="J39" s="78"/>
      <c r="K39" s="47"/>
      <c r="L39" s="47"/>
      <c r="M39" s="48"/>
      <c r="N39" s="79"/>
      <c r="O39" s="79"/>
      <c r="P39" s="277"/>
      <c r="Q39" s="275"/>
      <c r="R39" s="88"/>
      <c r="S39" s="88"/>
      <c r="T39" s="88">
        <f t="shared" si="12"/>
        <v>0</v>
      </c>
      <c r="U39" s="401"/>
      <c r="V39" s="409"/>
    </row>
    <row r="40" spans="2:22" ht="123" customHeight="1" x14ac:dyDescent="0.25">
      <c r="B40" s="430" t="s">
        <v>65</v>
      </c>
      <c r="C40" s="52" t="s">
        <v>66</v>
      </c>
      <c r="D40" s="53" t="s">
        <v>23</v>
      </c>
      <c r="E40" s="44">
        <v>200</v>
      </c>
      <c r="F40" s="273">
        <f>'[1]commercial (2)'!V40</f>
        <v>276799</v>
      </c>
      <c r="G40" s="274">
        <v>0</v>
      </c>
      <c r="H40" s="46">
        <f t="shared" ref="H40:H48" si="22">E40*F40</f>
        <v>55359800</v>
      </c>
      <c r="I40" s="46">
        <f t="shared" ref="I40:I48" si="23">E40*G40</f>
        <v>0</v>
      </c>
      <c r="J40" s="269">
        <f t="shared" si="4"/>
        <v>134303.25084910239</v>
      </c>
      <c r="K40" s="47"/>
      <c r="L40" s="47">
        <v>300000</v>
      </c>
      <c r="M40" s="48"/>
      <c r="N40" s="270">
        <f t="shared" ref="N40:O48" si="24">$E40*L40</f>
        <v>60000000</v>
      </c>
      <c r="O40" s="270">
        <f t="shared" si="24"/>
        <v>0</v>
      </c>
      <c r="P40" s="271">
        <f t="shared" ref="P40:P48" si="25">O40+(N40/$K$2)</f>
        <v>145560.40756914119</v>
      </c>
      <c r="Q40" s="483">
        <v>300000</v>
      </c>
      <c r="R40" s="79">
        <v>0</v>
      </c>
      <c r="S40" s="272">
        <f t="shared" si="20"/>
        <v>60000000</v>
      </c>
      <c r="T40" s="272">
        <f t="shared" si="12"/>
        <v>0</v>
      </c>
      <c r="U40" s="397">
        <f t="shared" ref="U40:U48" si="26">T40+(S40/$K$2)</f>
        <v>145560.40756914119</v>
      </c>
      <c r="V40" s="409"/>
    </row>
    <row r="41" spans="2:22" ht="15" customHeight="1" x14ac:dyDescent="0.25">
      <c r="B41" s="430" t="s">
        <v>67</v>
      </c>
      <c r="C41" s="42" t="s">
        <v>22</v>
      </c>
      <c r="D41" s="53" t="s">
        <v>68</v>
      </c>
      <c r="E41" s="44">
        <v>200</v>
      </c>
      <c r="F41" s="273">
        <f>'[1]commercial (2)'!V41</f>
        <v>707600</v>
      </c>
      <c r="G41" s="274">
        <v>0</v>
      </c>
      <c r="H41" s="46">
        <f t="shared" si="22"/>
        <v>141520000</v>
      </c>
      <c r="I41" s="46">
        <f t="shared" si="23"/>
        <v>0</v>
      </c>
      <c r="J41" s="269">
        <f t="shared" si="4"/>
        <v>343328.48131974769</v>
      </c>
      <c r="K41" s="47"/>
      <c r="L41" s="47">
        <v>425000</v>
      </c>
      <c r="M41" s="48"/>
      <c r="N41" s="270">
        <f t="shared" si="24"/>
        <v>85000000</v>
      </c>
      <c r="O41" s="270">
        <f t="shared" si="24"/>
        <v>0</v>
      </c>
      <c r="P41" s="271">
        <f t="shared" si="25"/>
        <v>206210.57738961669</v>
      </c>
      <c r="Q41" s="485">
        <v>425000</v>
      </c>
      <c r="R41" s="88">
        <v>0</v>
      </c>
      <c r="S41" s="276">
        <f t="shared" si="20"/>
        <v>85000000</v>
      </c>
      <c r="T41" s="276">
        <f t="shared" si="12"/>
        <v>0</v>
      </c>
      <c r="U41" s="398">
        <f t="shared" si="26"/>
        <v>206210.57738961669</v>
      </c>
      <c r="V41" s="408" t="s">
        <v>671</v>
      </c>
    </row>
    <row r="42" spans="2:22" ht="11.25" x14ac:dyDescent="0.25">
      <c r="B42" s="430" t="s">
        <v>69</v>
      </c>
      <c r="C42" s="49" t="s">
        <v>25</v>
      </c>
      <c r="D42" s="53" t="s">
        <v>68</v>
      </c>
      <c r="E42" s="44">
        <v>200</v>
      </c>
      <c r="F42" s="273">
        <f>'[1]commercial (2)'!V42</f>
        <v>1138400</v>
      </c>
      <c r="G42" s="274">
        <v>0</v>
      </c>
      <c r="H42" s="46">
        <f t="shared" si="22"/>
        <v>227680000</v>
      </c>
      <c r="I42" s="46">
        <f t="shared" si="23"/>
        <v>0</v>
      </c>
      <c r="J42" s="269">
        <f t="shared" si="4"/>
        <v>552353.22658903443</v>
      </c>
      <c r="K42" s="47"/>
      <c r="L42" s="47">
        <v>650000</v>
      </c>
      <c r="M42" s="48"/>
      <c r="N42" s="270">
        <f t="shared" si="24"/>
        <v>130000000</v>
      </c>
      <c r="O42" s="270">
        <f t="shared" si="24"/>
        <v>0</v>
      </c>
      <c r="P42" s="271">
        <f t="shared" si="25"/>
        <v>315380.8830664726</v>
      </c>
      <c r="Q42" s="483">
        <v>650000</v>
      </c>
      <c r="R42" s="79">
        <v>0</v>
      </c>
      <c r="S42" s="272">
        <f t="shared" si="20"/>
        <v>130000000</v>
      </c>
      <c r="T42" s="272">
        <f t="shared" si="12"/>
        <v>0</v>
      </c>
      <c r="U42" s="399">
        <f t="shared" si="26"/>
        <v>315380.8830664726</v>
      </c>
      <c r="V42" s="409"/>
    </row>
    <row r="43" spans="2:22" ht="11.25" x14ac:dyDescent="0.25">
      <c r="B43" s="430" t="s">
        <v>70</v>
      </c>
      <c r="C43" s="49" t="s">
        <v>27</v>
      </c>
      <c r="D43" s="53" t="s">
        <v>68</v>
      </c>
      <c r="E43" s="44">
        <v>50</v>
      </c>
      <c r="F43" s="273">
        <f>'[1]commercial (2)'!V43</f>
        <v>1569200</v>
      </c>
      <c r="G43" s="274">
        <v>0</v>
      </c>
      <c r="H43" s="46">
        <f t="shared" si="22"/>
        <v>78460000</v>
      </c>
      <c r="I43" s="46">
        <f t="shared" si="23"/>
        <v>0</v>
      </c>
      <c r="J43" s="269">
        <f t="shared" si="4"/>
        <v>190344.49296458031</v>
      </c>
      <c r="K43" s="47"/>
      <c r="L43" s="47">
        <v>1500000</v>
      </c>
      <c r="M43" s="48"/>
      <c r="N43" s="270">
        <f t="shared" si="24"/>
        <v>75000000</v>
      </c>
      <c r="O43" s="270">
        <f t="shared" si="24"/>
        <v>0</v>
      </c>
      <c r="P43" s="271">
        <f t="shared" si="25"/>
        <v>181950.5094614265</v>
      </c>
      <c r="Q43" s="483">
        <v>1500000</v>
      </c>
      <c r="R43" s="79">
        <v>0</v>
      </c>
      <c r="S43" s="272">
        <f t="shared" si="20"/>
        <v>75000000</v>
      </c>
      <c r="T43" s="272">
        <f t="shared" si="12"/>
        <v>0</v>
      </c>
      <c r="U43" s="399">
        <f t="shared" si="26"/>
        <v>181950.5094614265</v>
      </c>
      <c r="V43" s="409"/>
    </row>
    <row r="44" spans="2:22" ht="11.25" x14ac:dyDescent="0.25">
      <c r="B44" s="430" t="s">
        <v>71</v>
      </c>
      <c r="C44" s="49" t="s">
        <v>29</v>
      </c>
      <c r="D44" s="53" t="s">
        <v>68</v>
      </c>
      <c r="E44" s="44">
        <v>50</v>
      </c>
      <c r="F44" s="273">
        <f>'[1]commercial (2)'!V44</f>
        <v>2436800</v>
      </c>
      <c r="G44" s="274">
        <v>0</v>
      </c>
      <c r="H44" s="46">
        <f t="shared" si="22"/>
        <v>121840000</v>
      </c>
      <c r="I44" s="46">
        <f t="shared" si="23"/>
        <v>0</v>
      </c>
      <c r="J44" s="269">
        <f t="shared" si="4"/>
        <v>295584.66763706942</v>
      </c>
      <c r="K44" s="47"/>
      <c r="L44" s="47">
        <v>1500000</v>
      </c>
      <c r="M44" s="48"/>
      <c r="N44" s="270">
        <f t="shared" si="24"/>
        <v>75000000</v>
      </c>
      <c r="O44" s="270">
        <f t="shared" si="24"/>
        <v>0</v>
      </c>
      <c r="P44" s="271">
        <f t="shared" si="25"/>
        <v>181950.5094614265</v>
      </c>
      <c r="Q44" s="483">
        <v>1500000</v>
      </c>
      <c r="R44" s="79">
        <v>0</v>
      </c>
      <c r="S44" s="272">
        <f t="shared" si="20"/>
        <v>75000000</v>
      </c>
      <c r="T44" s="272">
        <f t="shared" si="12"/>
        <v>0</v>
      </c>
      <c r="U44" s="399">
        <f t="shared" si="26"/>
        <v>181950.5094614265</v>
      </c>
      <c r="V44" s="409"/>
    </row>
    <row r="45" spans="2:22" ht="11.25" x14ac:dyDescent="0.25">
      <c r="B45" s="430" t="s">
        <v>72</v>
      </c>
      <c r="C45" s="49" t="s">
        <v>31</v>
      </c>
      <c r="D45" s="53" t="s">
        <v>68</v>
      </c>
      <c r="E45" s="44">
        <v>50</v>
      </c>
      <c r="F45" s="273">
        <f>'[1]commercial (2)'!V45</f>
        <v>2867600</v>
      </c>
      <c r="G45" s="274">
        <v>0</v>
      </c>
      <c r="H45" s="46">
        <f t="shared" si="22"/>
        <v>143380000</v>
      </c>
      <c r="I45" s="46">
        <f t="shared" si="23"/>
        <v>0</v>
      </c>
      <c r="J45" s="269">
        <f t="shared" si="4"/>
        <v>347840.85395439109</v>
      </c>
      <c r="K45" s="47"/>
      <c r="L45" s="47">
        <v>1500000</v>
      </c>
      <c r="M45" s="48"/>
      <c r="N45" s="270">
        <f t="shared" si="24"/>
        <v>75000000</v>
      </c>
      <c r="O45" s="270">
        <f t="shared" si="24"/>
        <v>0</v>
      </c>
      <c r="P45" s="271">
        <f t="shared" si="25"/>
        <v>181950.5094614265</v>
      </c>
      <c r="Q45" s="483">
        <v>1500000</v>
      </c>
      <c r="R45" s="79">
        <v>0</v>
      </c>
      <c r="S45" s="272">
        <f t="shared" si="20"/>
        <v>75000000</v>
      </c>
      <c r="T45" s="272">
        <f t="shared" si="12"/>
        <v>0</v>
      </c>
      <c r="U45" s="399">
        <f t="shared" si="26"/>
        <v>181950.5094614265</v>
      </c>
      <c r="V45" s="409"/>
    </row>
    <row r="46" spans="2:22" ht="11.25" x14ac:dyDescent="0.25">
      <c r="B46" s="430" t="s">
        <v>73</v>
      </c>
      <c r="C46" s="49" t="s">
        <v>33</v>
      </c>
      <c r="D46" s="53" t="s">
        <v>68</v>
      </c>
      <c r="E46" s="44">
        <v>10</v>
      </c>
      <c r="F46" s="273">
        <f>'[1]commercial (2)'!V46</f>
        <v>3298400</v>
      </c>
      <c r="G46" s="274">
        <v>0</v>
      </c>
      <c r="H46" s="46">
        <f t="shared" si="22"/>
        <v>32984000</v>
      </c>
      <c r="I46" s="46">
        <f t="shared" si="23"/>
        <v>0</v>
      </c>
      <c r="J46" s="269">
        <f t="shared" si="4"/>
        <v>80019.408054342552</v>
      </c>
      <c r="K46" s="47"/>
      <c r="L46" s="47">
        <v>2000000</v>
      </c>
      <c r="M46" s="48"/>
      <c r="N46" s="270">
        <f t="shared" si="24"/>
        <v>20000000</v>
      </c>
      <c r="O46" s="270">
        <f t="shared" si="24"/>
        <v>0</v>
      </c>
      <c r="P46" s="271">
        <f t="shared" si="25"/>
        <v>48520.135856380402</v>
      </c>
      <c r="Q46" s="483">
        <v>2000000</v>
      </c>
      <c r="R46" s="79">
        <v>0</v>
      </c>
      <c r="S46" s="272">
        <f t="shared" si="20"/>
        <v>20000000</v>
      </c>
      <c r="T46" s="272">
        <f t="shared" si="12"/>
        <v>0</v>
      </c>
      <c r="U46" s="399">
        <f t="shared" si="26"/>
        <v>48520.135856380402</v>
      </c>
      <c r="V46" s="409"/>
    </row>
    <row r="47" spans="2:22" ht="11.25" x14ac:dyDescent="0.25">
      <c r="B47" s="430" t="s">
        <v>74</v>
      </c>
      <c r="C47" s="49" t="s">
        <v>35</v>
      </c>
      <c r="D47" s="53" t="s">
        <v>68</v>
      </c>
      <c r="E47" s="44">
        <v>10</v>
      </c>
      <c r="F47" s="273">
        <f>'[1]commercial (2)'!V47</f>
        <v>3729200</v>
      </c>
      <c r="G47" s="274">
        <v>0</v>
      </c>
      <c r="H47" s="46">
        <f t="shared" si="22"/>
        <v>37292000</v>
      </c>
      <c r="I47" s="46">
        <f t="shared" si="23"/>
        <v>0</v>
      </c>
      <c r="J47" s="269">
        <f t="shared" si="4"/>
        <v>90470.645317806891</v>
      </c>
      <c r="K47" s="47"/>
      <c r="L47" s="47">
        <v>2100000</v>
      </c>
      <c r="M47" s="48"/>
      <c r="N47" s="270">
        <f t="shared" si="24"/>
        <v>21000000</v>
      </c>
      <c r="O47" s="270">
        <f t="shared" si="24"/>
        <v>0</v>
      </c>
      <c r="P47" s="271">
        <f t="shared" si="25"/>
        <v>50946.142649199421</v>
      </c>
      <c r="Q47" s="483">
        <v>2100000</v>
      </c>
      <c r="R47" s="79">
        <v>0</v>
      </c>
      <c r="S47" s="272">
        <f t="shared" si="20"/>
        <v>21000000</v>
      </c>
      <c r="T47" s="272">
        <f t="shared" si="12"/>
        <v>0</v>
      </c>
      <c r="U47" s="399">
        <f t="shared" si="26"/>
        <v>50946.142649199421</v>
      </c>
      <c r="V47" s="409"/>
    </row>
    <row r="48" spans="2:22" ht="12" thickBot="1" x14ac:dyDescent="0.3">
      <c r="B48" s="54" t="s">
        <v>75</v>
      </c>
      <c r="C48" s="55" t="s">
        <v>37</v>
      </c>
      <c r="D48" s="83" t="s">
        <v>68</v>
      </c>
      <c r="E48" s="57">
        <v>10</v>
      </c>
      <c r="F48" s="278">
        <f>'[1]commercial (2)'!V48</f>
        <v>4160000</v>
      </c>
      <c r="G48" s="279">
        <v>0</v>
      </c>
      <c r="H48" s="58">
        <f t="shared" si="22"/>
        <v>41600000</v>
      </c>
      <c r="I48" s="58">
        <f t="shared" si="23"/>
        <v>0</v>
      </c>
      <c r="J48" s="269">
        <f t="shared" si="4"/>
        <v>100921.88258127123</v>
      </c>
      <c r="K48" s="59"/>
      <c r="L48" s="59">
        <v>2500000</v>
      </c>
      <c r="M48" s="60"/>
      <c r="N48" s="263">
        <f t="shared" si="24"/>
        <v>25000000</v>
      </c>
      <c r="O48" s="263">
        <f t="shared" si="24"/>
        <v>0</v>
      </c>
      <c r="P48" s="264">
        <f t="shared" si="25"/>
        <v>60650.169820475501</v>
      </c>
      <c r="Q48" s="484">
        <v>2500000</v>
      </c>
      <c r="R48" s="104">
        <v>0</v>
      </c>
      <c r="S48" s="281">
        <f t="shared" si="20"/>
        <v>25000000</v>
      </c>
      <c r="T48" s="281">
        <f t="shared" si="12"/>
        <v>0</v>
      </c>
      <c r="U48" s="400">
        <f t="shared" si="26"/>
        <v>60650.169820475501</v>
      </c>
      <c r="V48" s="409"/>
    </row>
    <row r="49" spans="2:22" ht="15" customHeight="1" thickBot="1" x14ac:dyDescent="0.3">
      <c r="B49" s="447" t="s">
        <v>76</v>
      </c>
      <c r="C49" s="448"/>
      <c r="D49" s="173"/>
      <c r="E49" s="286"/>
      <c r="F49" s="61"/>
      <c r="G49" s="62"/>
      <c r="H49" s="63">
        <f>SUM(H30:H48)</f>
        <v>1658647800</v>
      </c>
      <c r="I49" s="63">
        <f t="shared" ref="I49:J49" si="27">SUM(I30:I48)</f>
        <v>0</v>
      </c>
      <c r="J49" s="64">
        <f t="shared" si="27"/>
        <v>4023890.8296943228</v>
      </c>
      <c r="K49" s="61"/>
      <c r="L49" s="61"/>
      <c r="M49" s="62"/>
      <c r="N49" s="63">
        <f t="shared" ref="N49:P49" si="28">SUM(N30:N48)</f>
        <v>1192000000</v>
      </c>
      <c r="O49" s="63">
        <f t="shared" si="28"/>
        <v>0</v>
      </c>
      <c r="P49" s="67">
        <f t="shared" si="28"/>
        <v>2891800.0970402719</v>
      </c>
      <c r="Q49" s="282"/>
      <c r="R49" s="256"/>
      <c r="S49" s="63">
        <f t="shared" ref="S49:U49" si="29">SUM(S30:S48)</f>
        <v>1300000000</v>
      </c>
      <c r="T49" s="63">
        <f t="shared" si="29"/>
        <v>1860000</v>
      </c>
      <c r="U49" s="67">
        <f t="shared" si="29"/>
        <v>5013808.830664726</v>
      </c>
      <c r="V49" s="409"/>
    </row>
    <row r="50" spans="2:22" ht="11.25" x14ac:dyDescent="0.25">
      <c r="B50" s="68" t="s">
        <v>77</v>
      </c>
      <c r="C50" s="416" t="s">
        <v>78</v>
      </c>
      <c r="D50" s="84"/>
      <c r="E50" s="70"/>
      <c r="F50" s="267"/>
      <c r="G50" s="268"/>
      <c r="H50" s="86"/>
      <c r="I50" s="86"/>
      <c r="J50" s="87"/>
      <c r="K50" s="40"/>
      <c r="L50" s="40"/>
      <c r="M50" s="41"/>
      <c r="N50" s="88"/>
      <c r="O50" s="88"/>
      <c r="P50" s="287"/>
      <c r="Q50" s="265"/>
      <c r="R50" s="75"/>
      <c r="S50" s="75"/>
      <c r="T50" s="75"/>
      <c r="U50" s="285"/>
      <c r="V50" s="409"/>
    </row>
    <row r="51" spans="2:22" ht="11.25" x14ac:dyDescent="0.25">
      <c r="B51" s="89" t="s">
        <v>79</v>
      </c>
      <c r="C51" s="417" t="s">
        <v>17</v>
      </c>
      <c r="D51" s="90"/>
      <c r="E51" s="44"/>
      <c r="F51" s="273"/>
      <c r="G51" s="274"/>
      <c r="H51" s="77"/>
      <c r="I51" s="77"/>
      <c r="J51" s="78"/>
      <c r="K51" s="47"/>
      <c r="L51" s="47"/>
      <c r="M51" s="48"/>
      <c r="N51" s="79"/>
      <c r="O51" s="79"/>
      <c r="P51" s="277"/>
      <c r="Q51" s="137"/>
      <c r="R51" s="79"/>
      <c r="S51" s="79"/>
      <c r="T51" s="79"/>
      <c r="U51" s="287"/>
      <c r="V51" s="409"/>
    </row>
    <row r="52" spans="2:22" ht="109.5" customHeight="1" x14ac:dyDescent="0.25">
      <c r="B52" s="91" t="s">
        <v>80</v>
      </c>
      <c r="C52" s="35" t="s">
        <v>81</v>
      </c>
      <c r="D52" s="92" t="s">
        <v>23</v>
      </c>
      <c r="E52" s="37">
        <v>250</v>
      </c>
      <c r="F52" s="267">
        <f>'[1]commercial (2)'!V51</f>
        <v>236800</v>
      </c>
      <c r="G52" s="268">
        <v>0</v>
      </c>
      <c r="H52" s="39">
        <f t="shared" ref="H52:H70" si="30">E52*F52</f>
        <v>59200000</v>
      </c>
      <c r="I52" s="39">
        <f t="shared" ref="I52:I70" si="31">E52*G52</f>
        <v>0</v>
      </c>
      <c r="J52" s="269">
        <f t="shared" ref="J52:J70" si="32">(H52/412.2)+I52</f>
        <v>143619.60213488599</v>
      </c>
      <c r="K52" s="40"/>
      <c r="L52" s="40">
        <v>200000</v>
      </c>
      <c r="M52" s="41"/>
      <c r="N52" s="270">
        <f t="shared" ref="N52:O60" si="33">$E52*L52</f>
        <v>50000000</v>
      </c>
      <c r="O52" s="270">
        <f t="shared" si="33"/>
        <v>0</v>
      </c>
      <c r="P52" s="271">
        <f t="shared" ref="P52:P60" si="34">O52+(N52/$K$2)</f>
        <v>121300.339640951</v>
      </c>
      <c r="Q52" s="483">
        <v>200000</v>
      </c>
      <c r="R52" s="79"/>
      <c r="S52" s="272">
        <f t="shared" si="20"/>
        <v>50000000</v>
      </c>
      <c r="T52" s="272">
        <f t="shared" si="12"/>
        <v>0</v>
      </c>
      <c r="U52" s="397">
        <f t="shared" ref="U52:U60" si="35">T52+(S52/$K$2)</f>
        <v>121300.339640951</v>
      </c>
      <c r="V52" s="409"/>
    </row>
    <row r="53" spans="2:22" ht="35.25" customHeight="1" x14ac:dyDescent="0.25">
      <c r="B53" s="430" t="s">
        <v>82</v>
      </c>
      <c r="C53" s="42" t="s">
        <v>22</v>
      </c>
      <c r="D53" s="53" t="s">
        <v>23</v>
      </c>
      <c r="E53" s="44">
        <v>70</v>
      </c>
      <c r="F53" s="267">
        <f>'[1]commercial (2)'!V52</f>
        <v>699600</v>
      </c>
      <c r="G53" s="274">
        <v>0</v>
      </c>
      <c r="H53" s="46">
        <f t="shared" si="30"/>
        <v>48972000</v>
      </c>
      <c r="I53" s="46">
        <f t="shared" si="31"/>
        <v>0</v>
      </c>
      <c r="J53" s="269">
        <f t="shared" si="32"/>
        <v>118806.40465793305</v>
      </c>
      <c r="K53" s="40"/>
      <c r="L53" s="40">
        <v>400000</v>
      </c>
      <c r="M53" s="48"/>
      <c r="N53" s="270">
        <f t="shared" si="33"/>
        <v>28000000</v>
      </c>
      <c r="O53" s="270">
        <f t="shared" si="33"/>
        <v>0</v>
      </c>
      <c r="P53" s="271">
        <f t="shared" si="34"/>
        <v>67928.190198932556</v>
      </c>
      <c r="Q53" s="485">
        <v>400000</v>
      </c>
      <c r="R53" s="88">
        <v>0</v>
      </c>
      <c r="S53" s="276">
        <f t="shared" si="20"/>
        <v>28000000</v>
      </c>
      <c r="T53" s="276">
        <f t="shared" si="12"/>
        <v>0</v>
      </c>
      <c r="U53" s="398">
        <f t="shared" si="35"/>
        <v>67928.190198932556</v>
      </c>
      <c r="V53" s="410" t="s">
        <v>671</v>
      </c>
    </row>
    <row r="54" spans="2:22" ht="11.25" x14ac:dyDescent="0.25">
      <c r="B54" s="91" t="s">
        <v>83</v>
      </c>
      <c r="C54" s="42" t="s">
        <v>25</v>
      </c>
      <c r="D54" s="53" t="s">
        <v>23</v>
      </c>
      <c r="E54" s="44">
        <v>70</v>
      </c>
      <c r="F54" s="273">
        <f>'[1]commercial (2)'!V53</f>
        <v>1162400</v>
      </c>
      <c r="G54" s="274">
        <v>0</v>
      </c>
      <c r="H54" s="46">
        <f t="shared" si="30"/>
        <v>81368000</v>
      </c>
      <c r="I54" s="46">
        <f t="shared" si="31"/>
        <v>0</v>
      </c>
      <c r="J54" s="269">
        <f t="shared" si="32"/>
        <v>197399.32071809802</v>
      </c>
      <c r="K54" s="47"/>
      <c r="L54" s="47">
        <v>600000</v>
      </c>
      <c r="M54" s="48"/>
      <c r="N54" s="270">
        <f t="shared" si="33"/>
        <v>42000000</v>
      </c>
      <c r="O54" s="270">
        <f t="shared" si="33"/>
        <v>0</v>
      </c>
      <c r="P54" s="271">
        <f t="shared" si="34"/>
        <v>101892.28529839884</v>
      </c>
      <c r="Q54" s="137">
        <v>800000</v>
      </c>
      <c r="R54" s="79"/>
      <c r="S54" s="272">
        <f t="shared" si="20"/>
        <v>56000000</v>
      </c>
      <c r="T54" s="272">
        <f t="shared" si="12"/>
        <v>0</v>
      </c>
      <c r="U54" s="399">
        <f t="shared" si="35"/>
        <v>135856.38039786511</v>
      </c>
      <c r="V54" s="409"/>
    </row>
    <row r="55" spans="2:22" ht="11.25" x14ac:dyDescent="0.25">
      <c r="B55" s="430" t="s">
        <v>84</v>
      </c>
      <c r="C55" s="42" t="s">
        <v>27</v>
      </c>
      <c r="D55" s="53" t="s">
        <v>23</v>
      </c>
      <c r="E55" s="44">
        <v>50</v>
      </c>
      <c r="F55" s="273">
        <f>'[1]commercial (2)'!V54</f>
        <v>1625200</v>
      </c>
      <c r="G55" s="274">
        <v>0</v>
      </c>
      <c r="H55" s="46">
        <f t="shared" si="30"/>
        <v>81260000</v>
      </c>
      <c r="I55" s="46">
        <f t="shared" si="31"/>
        <v>0</v>
      </c>
      <c r="J55" s="269">
        <f t="shared" si="32"/>
        <v>197137.31198447355</v>
      </c>
      <c r="K55" s="47"/>
      <c r="L55" s="47">
        <v>1200000</v>
      </c>
      <c r="M55" s="48"/>
      <c r="N55" s="270">
        <f t="shared" si="33"/>
        <v>60000000</v>
      </c>
      <c r="O55" s="270">
        <f t="shared" si="33"/>
        <v>0</v>
      </c>
      <c r="P55" s="271">
        <f t="shared" si="34"/>
        <v>145560.40756914119</v>
      </c>
      <c r="Q55" s="483">
        <v>1200000</v>
      </c>
      <c r="R55" s="79"/>
      <c r="S55" s="272">
        <f t="shared" si="20"/>
        <v>60000000</v>
      </c>
      <c r="T55" s="272">
        <f t="shared" si="12"/>
        <v>0</v>
      </c>
      <c r="U55" s="399">
        <f t="shared" si="35"/>
        <v>145560.40756914119</v>
      </c>
      <c r="V55" s="409"/>
    </row>
    <row r="56" spans="2:22" ht="11.25" x14ac:dyDescent="0.25">
      <c r="B56" s="91" t="s">
        <v>85</v>
      </c>
      <c r="C56" s="42" t="s">
        <v>29</v>
      </c>
      <c r="D56" s="53" t="s">
        <v>23</v>
      </c>
      <c r="E56" s="44">
        <v>10</v>
      </c>
      <c r="F56" s="273">
        <f>'[1]commercial (2)'!V55</f>
        <v>2556800</v>
      </c>
      <c r="G56" s="274">
        <v>0</v>
      </c>
      <c r="H56" s="46">
        <f t="shared" si="30"/>
        <v>25568000</v>
      </c>
      <c r="I56" s="46">
        <f t="shared" si="31"/>
        <v>0</v>
      </c>
      <c r="J56" s="269">
        <f t="shared" si="32"/>
        <v>62028.141678796703</v>
      </c>
      <c r="K56" s="47"/>
      <c r="L56" s="47">
        <v>1800000</v>
      </c>
      <c r="M56" s="48"/>
      <c r="N56" s="270">
        <f t="shared" si="33"/>
        <v>18000000</v>
      </c>
      <c r="O56" s="270">
        <f t="shared" si="33"/>
        <v>0</v>
      </c>
      <c r="P56" s="271">
        <f t="shared" si="34"/>
        <v>43668.122270742359</v>
      </c>
      <c r="Q56" s="483">
        <v>1800000</v>
      </c>
      <c r="R56" s="79"/>
      <c r="S56" s="272">
        <f t="shared" si="20"/>
        <v>18000000</v>
      </c>
      <c r="T56" s="272">
        <f t="shared" si="12"/>
        <v>0</v>
      </c>
      <c r="U56" s="399">
        <f t="shared" si="35"/>
        <v>43668.122270742359</v>
      </c>
      <c r="V56" s="409"/>
    </row>
    <row r="57" spans="2:22" ht="11.25" x14ac:dyDescent="0.25">
      <c r="B57" s="430" t="s">
        <v>86</v>
      </c>
      <c r="C57" s="42" t="s">
        <v>31</v>
      </c>
      <c r="D57" s="53" t="s">
        <v>23</v>
      </c>
      <c r="E57" s="44">
        <v>10</v>
      </c>
      <c r="F57" s="273">
        <f>'[1]commercial (2)'!V56</f>
        <v>3019600</v>
      </c>
      <c r="G57" s="274">
        <v>0</v>
      </c>
      <c r="H57" s="46">
        <f t="shared" si="30"/>
        <v>30196000</v>
      </c>
      <c r="I57" s="46">
        <f t="shared" si="31"/>
        <v>0</v>
      </c>
      <c r="J57" s="269">
        <f t="shared" si="32"/>
        <v>73255.701115963122</v>
      </c>
      <c r="K57" s="47"/>
      <c r="L57" s="47">
        <v>2150000</v>
      </c>
      <c r="M57" s="48"/>
      <c r="N57" s="270">
        <f t="shared" si="33"/>
        <v>21500000</v>
      </c>
      <c r="O57" s="270">
        <f t="shared" si="33"/>
        <v>0</v>
      </c>
      <c r="P57" s="271">
        <f t="shared" si="34"/>
        <v>52159.146045608926</v>
      </c>
      <c r="Q57" s="483">
        <v>2150000</v>
      </c>
      <c r="R57" s="79"/>
      <c r="S57" s="272">
        <f t="shared" si="20"/>
        <v>21500000</v>
      </c>
      <c r="T57" s="272">
        <f t="shared" si="12"/>
        <v>0</v>
      </c>
      <c r="U57" s="399">
        <f t="shared" si="35"/>
        <v>52159.146045608926</v>
      </c>
      <c r="V57" s="409"/>
    </row>
    <row r="58" spans="2:22" ht="11.25" x14ac:dyDescent="0.25">
      <c r="B58" s="430" t="s">
        <v>87</v>
      </c>
      <c r="C58" s="42" t="s">
        <v>33</v>
      </c>
      <c r="D58" s="53" t="s">
        <v>23</v>
      </c>
      <c r="E58" s="44">
        <v>10</v>
      </c>
      <c r="F58" s="267">
        <f>'[1]commercial (2)'!V57</f>
        <v>3482400</v>
      </c>
      <c r="G58" s="274">
        <v>0</v>
      </c>
      <c r="H58" s="46">
        <f t="shared" si="30"/>
        <v>34824000</v>
      </c>
      <c r="I58" s="46">
        <f t="shared" si="31"/>
        <v>0</v>
      </c>
      <c r="J58" s="269">
        <f t="shared" si="32"/>
        <v>84483.260553129556</v>
      </c>
      <c r="K58" s="40"/>
      <c r="L58" s="40">
        <v>2200000</v>
      </c>
      <c r="M58" s="48"/>
      <c r="N58" s="270">
        <f t="shared" si="33"/>
        <v>22000000</v>
      </c>
      <c r="O58" s="270">
        <f t="shared" si="33"/>
        <v>0</v>
      </c>
      <c r="P58" s="271">
        <f t="shared" si="34"/>
        <v>53372.149442018439</v>
      </c>
      <c r="Q58" s="483">
        <v>2200000</v>
      </c>
      <c r="R58" s="79"/>
      <c r="S58" s="272">
        <f t="shared" si="20"/>
        <v>22000000</v>
      </c>
      <c r="T58" s="272">
        <f t="shared" si="12"/>
        <v>0</v>
      </c>
      <c r="U58" s="399">
        <f t="shared" si="35"/>
        <v>53372.149442018439</v>
      </c>
      <c r="V58" s="409"/>
    </row>
    <row r="59" spans="2:22" ht="11.25" x14ac:dyDescent="0.25">
      <c r="B59" s="430" t="s">
        <v>88</v>
      </c>
      <c r="C59" s="42" t="s">
        <v>35</v>
      </c>
      <c r="D59" s="53" t="s">
        <v>23</v>
      </c>
      <c r="E59" s="44">
        <v>10</v>
      </c>
      <c r="F59" s="273">
        <f>'[1]commercial (2)'!V58</f>
        <v>3945200</v>
      </c>
      <c r="G59" s="274">
        <v>0</v>
      </c>
      <c r="H59" s="46">
        <f t="shared" si="30"/>
        <v>39452000</v>
      </c>
      <c r="I59" s="46">
        <f t="shared" si="31"/>
        <v>0</v>
      </c>
      <c r="J59" s="269">
        <f t="shared" si="32"/>
        <v>95710.819990295975</v>
      </c>
      <c r="K59" s="47"/>
      <c r="L59" s="47">
        <v>2500000</v>
      </c>
      <c r="M59" s="48"/>
      <c r="N59" s="270">
        <f t="shared" si="33"/>
        <v>25000000</v>
      </c>
      <c r="O59" s="270">
        <f t="shared" si="33"/>
        <v>0</v>
      </c>
      <c r="P59" s="271">
        <f t="shared" si="34"/>
        <v>60650.169820475501</v>
      </c>
      <c r="Q59" s="137">
        <v>900000</v>
      </c>
      <c r="R59" s="79"/>
      <c r="S59" s="272">
        <f t="shared" si="20"/>
        <v>9000000</v>
      </c>
      <c r="T59" s="272">
        <f t="shared" si="12"/>
        <v>0</v>
      </c>
      <c r="U59" s="399">
        <f t="shared" si="35"/>
        <v>21834.061135371179</v>
      </c>
      <c r="V59" s="409"/>
    </row>
    <row r="60" spans="2:22" ht="11.25" x14ac:dyDescent="0.25">
      <c r="B60" s="91" t="s">
        <v>89</v>
      </c>
      <c r="C60" s="49" t="s">
        <v>37</v>
      </c>
      <c r="D60" s="53" t="s">
        <v>23</v>
      </c>
      <c r="E60" s="44">
        <v>10</v>
      </c>
      <c r="F60" s="267">
        <f>'[1]commercial (2)'!V59</f>
        <v>4408000</v>
      </c>
      <c r="G60" s="274">
        <v>0</v>
      </c>
      <c r="H60" s="46">
        <f t="shared" si="30"/>
        <v>44080000</v>
      </c>
      <c r="I60" s="46">
        <f t="shared" si="31"/>
        <v>0</v>
      </c>
      <c r="J60" s="269">
        <f t="shared" si="32"/>
        <v>106938.37942746239</v>
      </c>
      <c r="K60" s="40"/>
      <c r="L60" s="40">
        <v>2850000</v>
      </c>
      <c r="M60" s="48"/>
      <c r="N60" s="270">
        <f t="shared" si="33"/>
        <v>28500000</v>
      </c>
      <c r="O60" s="270">
        <f t="shared" si="33"/>
        <v>0</v>
      </c>
      <c r="P60" s="271">
        <f t="shared" si="34"/>
        <v>69141.193595342062</v>
      </c>
      <c r="Q60" s="483">
        <v>2850000</v>
      </c>
      <c r="R60" s="79"/>
      <c r="S60" s="272">
        <f t="shared" si="20"/>
        <v>28500000</v>
      </c>
      <c r="T60" s="272">
        <f t="shared" si="12"/>
        <v>0</v>
      </c>
      <c r="U60" s="397">
        <f t="shared" si="35"/>
        <v>69141.193595342062</v>
      </c>
      <c r="V60" s="409"/>
    </row>
    <row r="61" spans="2:22" ht="11.25" x14ac:dyDescent="0.25">
      <c r="B61" s="93" t="s">
        <v>90</v>
      </c>
      <c r="C61" s="50" t="s">
        <v>39</v>
      </c>
      <c r="D61" s="53"/>
      <c r="E61" s="44"/>
      <c r="F61" s="267"/>
      <c r="G61" s="274"/>
      <c r="H61" s="77"/>
      <c r="I61" s="77"/>
      <c r="J61" s="78"/>
      <c r="K61" s="40"/>
      <c r="L61" s="40"/>
      <c r="M61" s="48"/>
      <c r="N61" s="79"/>
      <c r="O61" s="79"/>
      <c r="P61" s="277"/>
      <c r="Q61" s="275"/>
      <c r="R61" s="88"/>
      <c r="S61" s="88"/>
      <c r="T61" s="88"/>
      <c r="U61" s="277"/>
      <c r="V61" s="409"/>
    </row>
    <row r="62" spans="2:22" ht="112.5" customHeight="1" x14ac:dyDescent="0.25">
      <c r="B62" s="430" t="s">
        <v>91</v>
      </c>
      <c r="C62" s="52" t="s">
        <v>92</v>
      </c>
      <c r="D62" s="53" t="s">
        <v>23</v>
      </c>
      <c r="E62" s="44">
        <v>100</v>
      </c>
      <c r="F62" s="273">
        <f>'[1]commercial (2)'!V61</f>
        <v>276800</v>
      </c>
      <c r="G62" s="274">
        <v>0</v>
      </c>
      <c r="H62" s="46">
        <f t="shared" si="30"/>
        <v>27680000</v>
      </c>
      <c r="I62" s="46">
        <f t="shared" si="31"/>
        <v>0</v>
      </c>
      <c r="J62" s="269">
        <f t="shared" si="32"/>
        <v>67151.868025230477</v>
      </c>
      <c r="K62" s="47"/>
      <c r="L62" s="47">
        <v>200000</v>
      </c>
      <c r="M62" s="48"/>
      <c r="N62" s="270">
        <f t="shared" ref="N62:O70" si="36">$E62*L62</f>
        <v>20000000</v>
      </c>
      <c r="O62" s="270">
        <f t="shared" si="36"/>
        <v>0</v>
      </c>
      <c r="P62" s="271">
        <f t="shared" ref="P62:P70" si="37">O62+(N62/$K$2)</f>
        <v>48520.135856380402</v>
      </c>
      <c r="Q62" s="483">
        <v>200000</v>
      </c>
      <c r="R62" s="79"/>
      <c r="S62" s="272">
        <f t="shared" si="20"/>
        <v>20000000</v>
      </c>
      <c r="T62" s="272">
        <f t="shared" si="12"/>
        <v>0</v>
      </c>
      <c r="U62" s="397">
        <f t="shared" ref="U62:U70" si="38">T62+(S62/$K$2)</f>
        <v>48520.135856380402</v>
      </c>
      <c r="V62" s="409"/>
    </row>
    <row r="63" spans="2:22" ht="14.1" customHeight="1" x14ac:dyDescent="0.25">
      <c r="B63" s="430" t="s">
        <v>93</v>
      </c>
      <c r="C63" s="42" t="s">
        <v>22</v>
      </c>
      <c r="D63" s="53" t="s">
        <v>23</v>
      </c>
      <c r="E63" s="44">
        <v>50</v>
      </c>
      <c r="F63" s="273">
        <f>'[1]commercial (2)'!V62</f>
        <v>779600</v>
      </c>
      <c r="G63" s="274">
        <v>0</v>
      </c>
      <c r="H63" s="46">
        <f t="shared" si="30"/>
        <v>38980000</v>
      </c>
      <c r="I63" s="46">
        <f t="shared" si="31"/>
        <v>0</v>
      </c>
      <c r="J63" s="269">
        <f t="shared" si="32"/>
        <v>94565.7447840854</v>
      </c>
      <c r="K63" s="47"/>
      <c r="L63" s="47">
        <v>400000</v>
      </c>
      <c r="M63" s="48"/>
      <c r="N63" s="270">
        <f t="shared" si="36"/>
        <v>20000000</v>
      </c>
      <c r="O63" s="270">
        <f t="shared" si="36"/>
        <v>0</v>
      </c>
      <c r="P63" s="271">
        <f t="shared" si="37"/>
        <v>48520.135856380402</v>
      </c>
      <c r="Q63" s="485">
        <v>400000</v>
      </c>
      <c r="R63" s="88"/>
      <c r="S63" s="276">
        <f t="shared" si="20"/>
        <v>20000000</v>
      </c>
      <c r="T63" s="276">
        <f t="shared" si="12"/>
        <v>0</v>
      </c>
      <c r="U63" s="398">
        <f t="shared" si="38"/>
        <v>48520.135856380402</v>
      </c>
      <c r="V63" s="409"/>
    </row>
    <row r="64" spans="2:22" ht="11.25" x14ac:dyDescent="0.25">
      <c r="B64" s="430" t="s">
        <v>94</v>
      </c>
      <c r="C64" s="42" t="s">
        <v>25</v>
      </c>
      <c r="D64" s="53" t="s">
        <v>23</v>
      </c>
      <c r="E64" s="44">
        <v>50</v>
      </c>
      <c r="F64" s="273">
        <f>'[1]commercial (2)'!V63</f>
        <v>1282400</v>
      </c>
      <c r="G64" s="274">
        <v>0</v>
      </c>
      <c r="H64" s="46">
        <f t="shared" si="30"/>
        <v>64120000</v>
      </c>
      <c r="I64" s="46">
        <f t="shared" si="31"/>
        <v>0</v>
      </c>
      <c r="J64" s="269">
        <f t="shared" si="32"/>
        <v>155555.55555555556</v>
      </c>
      <c r="K64" s="47"/>
      <c r="L64" s="47">
        <v>600000</v>
      </c>
      <c r="M64" s="48"/>
      <c r="N64" s="270">
        <f t="shared" si="36"/>
        <v>30000000</v>
      </c>
      <c r="O64" s="270">
        <f t="shared" si="36"/>
        <v>0</v>
      </c>
      <c r="P64" s="271">
        <f t="shared" si="37"/>
        <v>72780.203784570593</v>
      </c>
      <c r="Q64" s="483">
        <v>600000</v>
      </c>
      <c r="R64" s="79"/>
      <c r="S64" s="272">
        <f t="shared" si="20"/>
        <v>30000000</v>
      </c>
      <c r="T64" s="272">
        <f t="shared" si="12"/>
        <v>0</v>
      </c>
      <c r="U64" s="399">
        <f t="shared" si="38"/>
        <v>72780.203784570593</v>
      </c>
      <c r="V64" s="409"/>
    </row>
    <row r="65" spans="1:22" ht="11.25" x14ac:dyDescent="0.25">
      <c r="B65" s="430" t="s">
        <v>95</v>
      </c>
      <c r="C65" s="42" t="s">
        <v>27</v>
      </c>
      <c r="D65" s="53" t="s">
        <v>23</v>
      </c>
      <c r="E65" s="44">
        <v>20</v>
      </c>
      <c r="F65" s="273">
        <f>'[1]commercial (2)'!V64</f>
        <v>1785200</v>
      </c>
      <c r="G65" s="274">
        <v>0</v>
      </c>
      <c r="H65" s="46">
        <f t="shared" si="30"/>
        <v>35704000</v>
      </c>
      <c r="I65" s="46">
        <f t="shared" si="31"/>
        <v>0</v>
      </c>
      <c r="J65" s="269">
        <f t="shared" si="32"/>
        <v>86618.146530810292</v>
      </c>
      <c r="K65" s="47"/>
      <c r="L65" s="47">
        <v>1200000</v>
      </c>
      <c r="M65" s="48"/>
      <c r="N65" s="270">
        <f t="shared" si="36"/>
        <v>24000000</v>
      </c>
      <c r="O65" s="270">
        <f t="shared" si="36"/>
        <v>0</v>
      </c>
      <c r="P65" s="271">
        <f t="shared" si="37"/>
        <v>58224.163027656476</v>
      </c>
      <c r="Q65" s="483">
        <v>1200000</v>
      </c>
      <c r="R65" s="79"/>
      <c r="S65" s="272">
        <f t="shared" si="20"/>
        <v>24000000</v>
      </c>
      <c r="T65" s="272">
        <f t="shared" si="12"/>
        <v>0</v>
      </c>
      <c r="U65" s="399">
        <f t="shared" si="38"/>
        <v>58224.163027656476</v>
      </c>
      <c r="V65" s="409"/>
    </row>
    <row r="66" spans="1:22" ht="11.25" x14ac:dyDescent="0.25">
      <c r="B66" s="430" t="s">
        <v>96</v>
      </c>
      <c r="C66" s="42" t="s">
        <v>29</v>
      </c>
      <c r="D66" s="53" t="s">
        <v>23</v>
      </c>
      <c r="E66" s="44">
        <v>10</v>
      </c>
      <c r="F66" s="273">
        <f>'[1]commercial (2)'!V65</f>
        <v>2796800</v>
      </c>
      <c r="G66" s="274">
        <v>0</v>
      </c>
      <c r="H66" s="46">
        <f t="shared" si="30"/>
        <v>27968000</v>
      </c>
      <c r="I66" s="46">
        <f t="shared" si="31"/>
        <v>0</v>
      </c>
      <c r="J66" s="269">
        <f t="shared" si="32"/>
        <v>67850.55798156235</v>
      </c>
      <c r="K66" s="47"/>
      <c r="L66" s="47">
        <v>1800000</v>
      </c>
      <c r="M66" s="48"/>
      <c r="N66" s="270">
        <f t="shared" si="36"/>
        <v>18000000</v>
      </c>
      <c r="O66" s="270">
        <f t="shared" si="36"/>
        <v>0</v>
      </c>
      <c r="P66" s="271">
        <f t="shared" si="37"/>
        <v>43668.122270742359</v>
      </c>
      <c r="Q66" s="483">
        <v>1800000</v>
      </c>
      <c r="R66" s="79"/>
      <c r="S66" s="272">
        <f t="shared" si="20"/>
        <v>18000000</v>
      </c>
      <c r="T66" s="272">
        <f t="shared" si="12"/>
        <v>0</v>
      </c>
      <c r="U66" s="399">
        <f t="shared" si="38"/>
        <v>43668.122270742359</v>
      </c>
      <c r="V66" s="409"/>
    </row>
    <row r="67" spans="1:22" ht="11.25" x14ac:dyDescent="0.25">
      <c r="B67" s="430" t="s">
        <v>97</v>
      </c>
      <c r="C67" s="42" t="s">
        <v>31</v>
      </c>
      <c r="D67" s="53" t="s">
        <v>23</v>
      </c>
      <c r="E67" s="44">
        <v>10</v>
      </c>
      <c r="F67" s="273">
        <f>'[1]commercial (2)'!V66</f>
        <v>3299600</v>
      </c>
      <c r="G67" s="274">
        <v>0</v>
      </c>
      <c r="H67" s="46">
        <f t="shared" si="30"/>
        <v>32996000</v>
      </c>
      <c r="I67" s="46">
        <f t="shared" si="31"/>
        <v>0</v>
      </c>
      <c r="J67" s="269">
        <f t="shared" si="32"/>
        <v>80048.520135856379</v>
      </c>
      <c r="K67" s="47"/>
      <c r="L67" s="47">
        <v>2150000</v>
      </c>
      <c r="M67" s="48"/>
      <c r="N67" s="270">
        <f t="shared" si="36"/>
        <v>21500000</v>
      </c>
      <c r="O67" s="270">
        <f t="shared" si="36"/>
        <v>0</v>
      </c>
      <c r="P67" s="271">
        <f t="shared" si="37"/>
        <v>52159.146045608926</v>
      </c>
      <c r="Q67" s="483">
        <v>2150000</v>
      </c>
      <c r="R67" s="79"/>
      <c r="S67" s="272">
        <f t="shared" si="20"/>
        <v>21500000</v>
      </c>
      <c r="T67" s="272">
        <f t="shared" si="12"/>
        <v>0</v>
      </c>
      <c r="U67" s="399">
        <f t="shared" si="38"/>
        <v>52159.146045608926</v>
      </c>
      <c r="V67" s="409"/>
    </row>
    <row r="68" spans="1:22" ht="11.25" x14ac:dyDescent="0.25">
      <c r="B68" s="430" t="s">
        <v>98</v>
      </c>
      <c r="C68" s="42" t="s">
        <v>33</v>
      </c>
      <c r="D68" s="53" t="s">
        <v>23</v>
      </c>
      <c r="E68" s="44">
        <v>10</v>
      </c>
      <c r="F68" s="273">
        <f>'[1]commercial (2)'!V67</f>
        <v>3802400</v>
      </c>
      <c r="G68" s="274">
        <v>0</v>
      </c>
      <c r="H68" s="46">
        <f t="shared" si="30"/>
        <v>38024000</v>
      </c>
      <c r="I68" s="46">
        <f t="shared" si="31"/>
        <v>0</v>
      </c>
      <c r="J68" s="269">
        <f t="shared" si="32"/>
        <v>92246.482290150409</v>
      </c>
      <c r="K68" s="47"/>
      <c r="L68" s="47">
        <v>2200000</v>
      </c>
      <c r="M68" s="48"/>
      <c r="N68" s="270">
        <f t="shared" si="36"/>
        <v>22000000</v>
      </c>
      <c r="O68" s="270">
        <f t="shared" si="36"/>
        <v>0</v>
      </c>
      <c r="P68" s="271">
        <f t="shared" si="37"/>
        <v>53372.149442018439</v>
      </c>
      <c r="Q68" s="483">
        <v>2200000</v>
      </c>
      <c r="R68" s="79"/>
      <c r="S68" s="272">
        <f t="shared" si="20"/>
        <v>22000000</v>
      </c>
      <c r="T68" s="272">
        <f t="shared" si="12"/>
        <v>0</v>
      </c>
      <c r="U68" s="399">
        <f t="shared" si="38"/>
        <v>53372.149442018439</v>
      </c>
      <c r="V68" s="409"/>
    </row>
    <row r="69" spans="1:22" ht="11.25" x14ac:dyDescent="0.25">
      <c r="B69" s="430" t="s">
        <v>99</v>
      </c>
      <c r="C69" s="49" t="s">
        <v>35</v>
      </c>
      <c r="D69" s="53" t="s">
        <v>23</v>
      </c>
      <c r="E69" s="44">
        <v>10</v>
      </c>
      <c r="F69" s="273">
        <f>'[1]commercial (2)'!V68</f>
        <v>4305200</v>
      </c>
      <c r="G69" s="274">
        <v>0</v>
      </c>
      <c r="H69" s="46">
        <f t="shared" si="30"/>
        <v>43052000</v>
      </c>
      <c r="I69" s="46">
        <f t="shared" si="31"/>
        <v>0</v>
      </c>
      <c r="J69" s="269">
        <f t="shared" si="32"/>
        <v>104444.44444444445</v>
      </c>
      <c r="K69" s="47"/>
      <c r="L69" s="47">
        <v>2500000</v>
      </c>
      <c r="M69" s="48"/>
      <c r="N69" s="270">
        <f t="shared" si="36"/>
        <v>25000000</v>
      </c>
      <c r="O69" s="270">
        <f t="shared" si="36"/>
        <v>0</v>
      </c>
      <c r="P69" s="271">
        <f t="shared" si="37"/>
        <v>60650.169820475501</v>
      </c>
      <c r="Q69" s="483">
        <v>2500000</v>
      </c>
      <c r="R69" s="79"/>
      <c r="S69" s="272">
        <f t="shared" si="20"/>
        <v>25000000</v>
      </c>
      <c r="T69" s="272">
        <f t="shared" si="12"/>
        <v>0</v>
      </c>
      <c r="U69" s="399">
        <f t="shared" si="38"/>
        <v>60650.169820475501</v>
      </c>
      <c r="V69" s="409"/>
    </row>
    <row r="70" spans="1:22" ht="12" thickBot="1" x14ac:dyDescent="0.3">
      <c r="B70" s="54" t="s">
        <v>100</v>
      </c>
      <c r="C70" s="55" t="s">
        <v>37</v>
      </c>
      <c r="D70" s="83" t="s">
        <v>23</v>
      </c>
      <c r="E70" s="57">
        <v>10</v>
      </c>
      <c r="F70" s="278">
        <f>'[1]commercial (2)'!V69</f>
        <v>4808000</v>
      </c>
      <c r="G70" s="279">
        <v>0</v>
      </c>
      <c r="H70" s="58">
        <f t="shared" si="30"/>
        <v>48080000</v>
      </c>
      <c r="I70" s="58">
        <f t="shared" si="31"/>
        <v>0</v>
      </c>
      <c r="J70" s="269">
        <f t="shared" si="32"/>
        <v>116642.40659873848</v>
      </c>
      <c r="K70" s="59"/>
      <c r="L70" s="59">
        <v>2850000</v>
      </c>
      <c r="M70" s="60"/>
      <c r="N70" s="263">
        <f t="shared" si="36"/>
        <v>28500000</v>
      </c>
      <c r="O70" s="263">
        <f t="shared" si="36"/>
        <v>0</v>
      </c>
      <c r="P70" s="264">
        <f t="shared" si="37"/>
        <v>69141.193595342062</v>
      </c>
      <c r="Q70" s="484">
        <v>2850000</v>
      </c>
      <c r="R70" s="104"/>
      <c r="S70" s="281">
        <f t="shared" si="20"/>
        <v>28500000</v>
      </c>
      <c r="T70" s="281">
        <f t="shared" si="12"/>
        <v>0</v>
      </c>
      <c r="U70" s="400">
        <f t="shared" si="38"/>
        <v>69141.193595342062</v>
      </c>
      <c r="V70" s="409"/>
    </row>
    <row r="71" spans="1:22" ht="12.6" customHeight="1" thickBot="1" x14ac:dyDescent="0.3">
      <c r="B71" s="447" t="s">
        <v>101</v>
      </c>
      <c r="C71" s="448"/>
      <c r="D71" s="173"/>
      <c r="E71" s="288"/>
      <c r="F71" s="65"/>
      <c r="G71" s="63"/>
      <c r="H71" s="63">
        <f>SUM(H52:H70)</f>
        <v>801524000</v>
      </c>
      <c r="I71" s="63">
        <f t="shared" ref="I71:J71" si="39">SUM(I52:I70)</f>
        <v>0</v>
      </c>
      <c r="J71" s="64">
        <f t="shared" si="39"/>
        <v>1944502.668607472</v>
      </c>
      <c r="K71" s="65"/>
      <c r="L71" s="65"/>
      <c r="M71" s="63"/>
      <c r="N71" s="63">
        <f t="shared" ref="N71:P71" si="40">SUM(N52:N70)</f>
        <v>504000000</v>
      </c>
      <c r="O71" s="63">
        <f t="shared" si="40"/>
        <v>0</v>
      </c>
      <c r="P71" s="67">
        <f t="shared" si="40"/>
        <v>1222707.423580786</v>
      </c>
      <c r="Q71" s="282"/>
      <c r="R71" s="256"/>
      <c r="S71" s="63">
        <f t="shared" ref="S71:U71" si="41">SUM(S52:S70)</f>
        <v>502000000</v>
      </c>
      <c r="T71" s="63">
        <f t="shared" si="41"/>
        <v>0</v>
      </c>
      <c r="U71" s="67">
        <f t="shared" si="41"/>
        <v>1217855.409995148</v>
      </c>
      <c r="V71" s="409"/>
    </row>
    <row r="72" spans="1:22" ht="11.25" x14ac:dyDescent="0.25">
      <c r="B72" s="418" t="s">
        <v>102</v>
      </c>
      <c r="C72" s="419" t="s">
        <v>103</v>
      </c>
      <c r="D72" s="420"/>
      <c r="E72" s="70"/>
      <c r="F72" s="283"/>
      <c r="G72" s="284"/>
      <c r="H72" s="71"/>
      <c r="I72" s="71"/>
      <c r="J72" s="72"/>
      <c r="K72" s="73"/>
      <c r="L72" s="73"/>
      <c r="M72" s="74"/>
      <c r="N72" s="75"/>
      <c r="O72" s="75"/>
      <c r="P72" s="285"/>
      <c r="Q72" s="265"/>
      <c r="R72" s="75"/>
      <c r="S72" s="75"/>
      <c r="T72" s="75"/>
      <c r="U72" s="285"/>
      <c r="V72" s="409"/>
    </row>
    <row r="73" spans="1:22" ht="83.45" customHeight="1" x14ac:dyDescent="0.25">
      <c r="B73" s="96" t="s">
        <v>104</v>
      </c>
      <c r="C73" s="35" t="s">
        <v>105</v>
      </c>
      <c r="D73" s="97" t="s">
        <v>20</v>
      </c>
      <c r="E73" s="37">
        <v>800</v>
      </c>
      <c r="F73" s="267">
        <v>500000</v>
      </c>
      <c r="G73" s="268">
        <v>0</v>
      </c>
      <c r="H73" s="39">
        <f>E73*F73</f>
        <v>400000000</v>
      </c>
      <c r="I73" s="39">
        <f>E73*G73</f>
        <v>0</v>
      </c>
      <c r="J73" s="269">
        <f t="shared" ref="J73:J74" si="42">(H73/412.2)+I73</f>
        <v>970402.71712760802</v>
      </c>
      <c r="K73" s="40"/>
      <c r="L73" s="40">
        <v>350000</v>
      </c>
      <c r="M73" s="41"/>
      <c r="N73" s="270">
        <f t="shared" ref="N73:O74" si="43">$E73*L73</f>
        <v>280000000</v>
      </c>
      <c r="O73" s="270">
        <f t="shared" si="43"/>
        <v>0</v>
      </c>
      <c r="P73" s="271">
        <f>O73+(N73/$K$2)</f>
        <v>679281.90198932553</v>
      </c>
      <c r="Q73" s="137">
        <v>480000</v>
      </c>
      <c r="R73" s="79">
        <v>2300</v>
      </c>
      <c r="S73" s="272">
        <f t="shared" si="20"/>
        <v>384000000</v>
      </c>
      <c r="T73" s="272">
        <f t="shared" si="12"/>
        <v>1840000</v>
      </c>
      <c r="U73" s="399">
        <f>T73+(S73/$K$2)</f>
        <v>2771586.6084425035</v>
      </c>
      <c r="V73" s="409"/>
    </row>
    <row r="74" spans="1:22" ht="135" customHeight="1" thickBot="1" x14ac:dyDescent="0.3">
      <c r="B74" s="98" t="s">
        <v>106</v>
      </c>
      <c r="C74" s="99" t="s">
        <v>107</v>
      </c>
      <c r="D74" s="100" t="s">
        <v>23</v>
      </c>
      <c r="E74" s="101">
        <v>120</v>
      </c>
      <c r="F74" s="289">
        <v>800000</v>
      </c>
      <c r="G74" s="290">
        <v>2000</v>
      </c>
      <c r="H74" s="102">
        <f>E74*F74</f>
        <v>96000000</v>
      </c>
      <c r="I74" s="102">
        <f>E74*G74</f>
        <v>240000</v>
      </c>
      <c r="J74" s="269">
        <f t="shared" si="42"/>
        <v>472896.65211062587</v>
      </c>
      <c r="K74" s="103"/>
      <c r="L74" s="103">
        <v>700000</v>
      </c>
      <c r="M74" s="105">
        <v>1500</v>
      </c>
      <c r="N74" s="270">
        <f t="shared" si="43"/>
        <v>84000000</v>
      </c>
      <c r="O74" s="270">
        <f t="shared" si="43"/>
        <v>180000</v>
      </c>
      <c r="P74" s="271">
        <f>O74+(N74/$K$2)</f>
        <v>383784.57059679768</v>
      </c>
      <c r="Q74" s="280">
        <v>760000</v>
      </c>
      <c r="R74" s="104">
        <v>3500</v>
      </c>
      <c r="S74" s="281">
        <f t="shared" si="20"/>
        <v>91200000</v>
      </c>
      <c r="T74" s="281">
        <f t="shared" si="12"/>
        <v>420000</v>
      </c>
      <c r="U74" s="400">
        <f>T74+(S74/$K$2)</f>
        <v>641251.81950509455</v>
      </c>
      <c r="V74" s="409"/>
    </row>
    <row r="75" spans="1:22" ht="13.5" customHeight="1" thickBot="1" x14ac:dyDescent="0.3">
      <c r="B75" s="447" t="s">
        <v>108</v>
      </c>
      <c r="C75" s="448"/>
      <c r="D75" s="121"/>
      <c r="E75" s="122"/>
      <c r="F75" s="61"/>
      <c r="G75" s="62"/>
      <c r="H75" s="63">
        <f>SUM(H73:H74)</f>
        <v>496000000</v>
      </c>
      <c r="I75" s="63">
        <f t="shared" ref="I75:J75" si="44">SUM(I73:I74)</f>
        <v>240000</v>
      </c>
      <c r="J75" s="64">
        <f t="shared" si="44"/>
        <v>1443299.3692382339</v>
      </c>
      <c r="K75" s="61"/>
      <c r="L75" s="61"/>
      <c r="M75" s="62"/>
      <c r="N75" s="63">
        <f t="shared" ref="N75:P75" si="45">SUM(N73:N74)</f>
        <v>364000000</v>
      </c>
      <c r="O75" s="63">
        <f t="shared" si="45"/>
        <v>180000</v>
      </c>
      <c r="P75" s="67">
        <f t="shared" si="45"/>
        <v>1063066.4725861233</v>
      </c>
      <c r="Q75" s="291"/>
      <c r="R75" s="292"/>
      <c r="S75" s="293">
        <f t="shared" ref="S75:U75" si="46">SUM(S73:S74)</f>
        <v>475200000</v>
      </c>
      <c r="T75" s="293">
        <f t="shared" si="46"/>
        <v>2260000</v>
      </c>
      <c r="U75" s="402">
        <f t="shared" si="46"/>
        <v>3412838.427947598</v>
      </c>
      <c r="V75" s="409"/>
    </row>
    <row r="76" spans="1:22" ht="12.95" customHeight="1" x14ac:dyDescent="0.25">
      <c r="B76" s="418" t="s">
        <v>109</v>
      </c>
      <c r="C76" s="419" t="s">
        <v>110</v>
      </c>
      <c r="D76" s="420"/>
      <c r="E76" s="70"/>
      <c r="F76" s="283"/>
      <c r="G76" s="284"/>
      <c r="H76" s="71"/>
      <c r="I76" s="71"/>
      <c r="J76" s="72"/>
      <c r="K76" s="73"/>
      <c r="L76" s="73"/>
      <c r="M76" s="74"/>
      <c r="N76" s="75"/>
      <c r="O76" s="75"/>
      <c r="P76" s="285"/>
      <c r="Q76" s="265"/>
      <c r="R76" s="75"/>
      <c r="S76" s="75"/>
      <c r="T76" s="75">
        <f t="shared" si="12"/>
        <v>0</v>
      </c>
      <c r="U76" s="285"/>
      <c r="V76" s="409"/>
    </row>
    <row r="77" spans="1:22" ht="33.75" x14ac:dyDescent="0.25">
      <c r="B77" s="91" t="s">
        <v>111</v>
      </c>
      <c r="C77" s="35" t="s">
        <v>112</v>
      </c>
      <c r="D77" s="92" t="s">
        <v>23</v>
      </c>
      <c r="E77" s="37">
        <v>100</v>
      </c>
      <c r="F77" s="267">
        <v>260000</v>
      </c>
      <c r="G77" s="268"/>
      <c r="H77" s="39">
        <f t="shared" ref="H77:H84" si="47">E77*F77</f>
        <v>26000000</v>
      </c>
      <c r="I77" s="39">
        <f t="shared" ref="I77:I84" si="48">E77*G77</f>
        <v>0</v>
      </c>
      <c r="J77" s="269">
        <f t="shared" ref="J77:J84" si="49">(H77/412.2)+I77</f>
        <v>63076.176613294519</v>
      </c>
      <c r="K77" s="40"/>
      <c r="L77" s="40">
        <v>250000</v>
      </c>
      <c r="M77" s="41"/>
      <c r="N77" s="270">
        <f t="shared" ref="N77:O84" si="50">$E77*L77</f>
        <v>25000000</v>
      </c>
      <c r="O77" s="270">
        <f t="shared" si="50"/>
        <v>0</v>
      </c>
      <c r="P77" s="271">
        <f t="shared" ref="P77:P84" si="51">O77+(N77/$K$2)</f>
        <v>60650.169820475501</v>
      </c>
      <c r="Q77" s="137">
        <v>80000</v>
      </c>
      <c r="R77" s="79"/>
      <c r="S77" s="272">
        <f t="shared" si="20"/>
        <v>8000000</v>
      </c>
      <c r="T77" s="272">
        <f t="shared" si="12"/>
        <v>0</v>
      </c>
      <c r="U77" s="398">
        <f t="shared" ref="U77:U104" si="52">T77+(S77/$K$2)</f>
        <v>19408.054342552161</v>
      </c>
      <c r="V77" s="409"/>
    </row>
    <row r="78" spans="1:22" ht="45" x14ac:dyDescent="0.25">
      <c r="B78" s="430" t="s">
        <v>113</v>
      </c>
      <c r="C78" s="52" t="s">
        <v>114</v>
      </c>
      <c r="D78" s="53" t="s">
        <v>68</v>
      </c>
      <c r="E78" s="44">
        <v>30</v>
      </c>
      <c r="F78" s="273">
        <v>340000</v>
      </c>
      <c r="G78" s="274"/>
      <c r="H78" s="46">
        <f t="shared" si="47"/>
        <v>10200000</v>
      </c>
      <c r="I78" s="46">
        <f t="shared" si="48"/>
        <v>0</v>
      </c>
      <c r="J78" s="269">
        <f t="shared" si="49"/>
        <v>24745.269286754003</v>
      </c>
      <c r="K78" s="47"/>
      <c r="L78" s="47">
        <v>250000</v>
      </c>
      <c r="M78" s="48"/>
      <c r="N78" s="270">
        <f t="shared" si="50"/>
        <v>7500000</v>
      </c>
      <c r="O78" s="270">
        <f t="shared" si="50"/>
        <v>0</v>
      </c>
      <c r="P78" s="271">
        <f t="shared" si="51"/>
        <v>18195.050946142648</v>
      </c>
      <c r="Q78" s="483">
        <v>250000</v>
      </c>
      <c r="R78" s="79"/>
      <c r="S78" s="272">
        <f t="shared" si="20"/>
        <v>7500000</v>
      </c>
      <c r="T78" s="272">
        <f t="shared" si="12"/>
        <v>0</v>
      </c>
      <c r="U78" s="398">
        <f t="shared" si="52"/>
        <v>18195.050946142648</v>
      </c>
      <c r="V78" s="409"/>
    </row>
    <row r="79" spans="1:22" ht="42" x14ac:dyDescent="0.25">
      <c r="A79" s="361"/>
      <c r="B79" s="91" t="s">
        <v>115</v>
      </c>
      <c r="C79" s="52" t="s">
        <v>116</v>
      </c>
      <c r="D79" s="53" t="s">
        <v>68</v>
      </c>
      <c r="E79" s="44">
        <v>20</v>
      </c>
      <c r="F79" s="273">
        <v>200000</v>
      </c>
      <c r="G79" s="274">
        <v>300</v>
      </c>
      <c r="H79" s="46">
        <f t="shared" si="47"/>
        <v>4000000</v>
      </c>
      <c r="I79" s="46">
        <f t="shared" si="48"/>
        <v>6000</v>
      </c>
      <c r="J79" s="269">
        <f t="shared" si="49"/>
        <v>15704.02717127608</v>
      </c>
      <c r="K79" s="47"/>
      <c r="L79" s="47">
        <v>200000</v>
      </c>
      <c r="M79" s="48">
        <v>150</v>
      </c>
      <c r="N79" s="270">
        <f t="shared" si="50"/>
        <v>4000000</v>
      </c>
      <c r="O79" s="270">
        <f t="shared" si="50"/>
        <v>3000</v>
      </c>
      <c r="P79" s="271">
        <f t="shared" si="51"/>
        <v>12704.02717127608</v>
      </c>
      <c r="Q79" s="483">
        <v>200000</v>
      </c>
      <c r="R79" s="79">
        <f>G79</f>
        <v>300</v>
      </c>
      <c r="S79" s="272">
        <f t="shared" si="20"/>
        <v>4000000</v>
      </c>
      <c r="T79" s="272">
        <f t="shared" si="12"/>
        <v>6000</v>
      </c>
      <c r="U79" s="398">
        <f t="shared" si="52"/>
        <v>15704.02717127608</v>
      </c>
      <c r="V79" s="408" t="s">
        <v>669</v>
      </c>
    </row>
    <row r="80" spans="1:22" ht="22.5" x14ac:dyDescent="0.25">
      <c r="A80" s="361"/>
      <c r="B80" s="430" t="s">
        <v>117</v>
      </c>
      <c r="C80" s="52" t="s">
        <v>118</v>
      </c>
      <c r="D80" s="53" t="s">
        <v>119</v>
      </c>
      <c r="E80" s="44">
        <v>20</v>
      </c>
      <c r="F80" s="273">
        <f>100000/3</f>
        <v>33333.333333333336</v>
      </c>
      <c r="G80" s="274">
        <f>140/3</f>
        <v>46.666666666666664</v>
      </c>
      <c r="H80" s="46">
        <f t="shared" si="47"/>
        <v>666666.66666666674</v>
      </c>
      <c r="I80" s="46">
        <f t="shared" si="48"/>
        <v>933.33333333333326</v>
      </c>
      <c r="J80" s="269">
        <f t="shared" si="49"/>
        <v>2550.6711952126798</v>
      </c>
      <c r="K80" s="47"/>
      <c r="L80" s="47">
        <v>30000</v>
      </c>
      <c r="M80" s="48">
        <v>60</v>
      </c>
      <c r="N80" s="270">
        <f t="shared" si="50"/>
        <v>600000</v>
      </c>
      <c r="O80" s="270">
        <f t="shared" si="50"/>
        <v>1200</v>
      </c>
      <c r="P80" s="271">
        <f t="shared" si="51"/>
        <v>2655.6040756914117</v>
      </c>
      <c r="Q80" s="483">
        <v>30000</v>
      </c>
      <c r="R80" s="79">
        <f>G80</f>
        <v>46.666666666666664</v>
      </c>
      <c r="S80" s="272">
        <f t="shared" si="20"/>
        <v>600000</v>
      </c>
      <c r="T80" s="272">
        <f t="shared" si="12"/>
        <v>933.33333333333326</v>
      </c>
      <c r="U80" s="398">
        <f t="shared" si="52"/>
        <v>2388.9374090247452</v>
      </c>
      <c r="V80" s="408" t="s">
        <v>670</v>
      </c>
    </row>
    <row r="81" spans="2:22" ht="45" x14ac:dyDescent="0.25">
      <c r="B81" s="91" t="s">
        <v>120</v>
      </c>
      <c r="C81" s="52" t="s">
        <v>121</v>
      </c>
      <c r="D81" s="53" t="s">
        <v>122</v>
      </c>
      <c r="E81" s="106">
        <v>400</v>
      </c>
      <c r="F81" s="273">
        <v>30000</v>
      </c>
      <c r="G81" s="274"/>
      <c r="H81" s="46">
        <f t="shared" si="47"/>
        <v>12000000</v>
      </c>
      <c r="I81" s="46">
        <f t="shared" si="48"/>
        <v>0</v>
      </c>
      <c r="J81" s="269">
        <f t="shared" si="49"/>
        <v>29112.081513828238</v>
      </c>
      <c r="K81" s="47"/>
      <c r="L81" s="47">
        <v>18000</v>
      </c>
      <c r="M81" s="48"/>
      <c r="N81" s="270">
        <f t="shared" si="50"/>
        <v>7200000</v>
      </c>
      <c r="O81" s="270">
        <f t="shared" si="50"/>
        <v>0</v>
      </c>
      <c r="P81" s="271">
        <f t="shared" si="51"/>
        <v>17467.248908296944</v>
      </c>
      <c r="Q81" s="137">
        <v>10000</v>
      </c>
      <c r="R81" s="79"/>
      <c r="S81" s="272">
        <f t="shared" si="20"/>
        <v>4000000</v>
      </c>
      <c r="T81" s="272">
        <f t="shared" si="12"/>
        <v>0</v>
      </c>
      <c r="U81" s="398">
        <f t="shared" si="52"/>
        <v>9704.0271712760805</v>
      </c>
      <c r="V81" s="409"/>
    </row>
    <row r="82" spans="2:22" ht="11.25" x14ac:dyDescent="0.25">
      <c r="B82" s="430" t="s">
        <v>123</v>
      </c>
      <c r="C82" s="49" t="s">
        <v>124</v>
      </c>
      <c r="D82" s="53" t="s">
        <v>122</v>
      </c>
      <c r="E82" s="106">
        <v>50</v>
      </c>
      <c r="F82" s="273">
        <v>35000</v>
      </c>
      <c r="G82" s="274"/>
      <c r="H82" s="46">
        <f t="shared" si="47"/>
        <v>1750000</v>
      </c>
      <c r="I82" s="46">
        <f t="shared" si="48"/>
        <v>0</v>
      </c>
      <c r="J82" s="269">
        <f t="shared" si="49"/>
        <v>4245.5118874332848</v>
      </c>
      <c r="K82" s="47"/>
      <c r="L82" s="47">
        <v>22000</v>
      </c>
      <c r="M82" s="48"/>
      <c r="N82" s="270">
        <f t="shared" si="50"/>
        <v>1100000</v>
      </c>
      <c r="O82" s="270">
        <f t="shared" si="50"/>
        <v>0</v>
      </c>
      <c r="P82" s="271">
        <f t="shared" si="51"/>
        <v>2668.6074721009218</v>
      </c>
      <c r="Q82" s="137">
        <v>10000</v>
      </c>
      <c r="R82" s="79"/>
      <c r="S82" s="272">
        <f t="shared" si="20"/>
        <v>500000</v>
      </c>
      <c r="T82" s="272">
        <f t="shared" si="12"/>
        <v>0</v>
      </c>
      <c r="U82" s="398">
        <f t="shared" si="52"/>
        <v>1213.0033964095101</v>
      </c>
      <c r="V82" s="409"/>
    </row>
    <row r="83" spans="2:22" ht="11.25" x14ac:dyDescent="0.25">
      <c r="B83" s="430" t="s">
        <v>125</v>
      </c>
      <c r="C83" s="49" t="s">
        <v>126</v>
      </c>
      <c r="D83" s="53" t="s">
        <v>122</v>
      </c>
      <c r="E83" s="106">
        <v>10</v>
      </c>
      <c r="F83" s="273">
        <v>40000</v>
      </c>
      <c r="G83" s="274"/>
      <c r="H83" s="46">
        <f t="shared" si="47"/>
        <v>400000</v>
      </c>
      <c r="I83" s="46">
        <f t="shared" si="48"/>
        <v>0</v>
      </c>
      <c r="J83" s="269">
        <f t="shared" si="49"/>
        <v>970.40271712760796</v>
      </c>
      <c r="K83" s="47"/>
      <c r="L83" s="47">
        <v>30000</v>
      </c>
      <c r="M83" s="48"/>
      <c r="N83" s="270">
        <f t="shared" si="50"/>
        <v>300000</v>
      </c>
      <c r="O83" s="270">
        <f t="shared" si="50"/>
        <v>0</v>
      </c>
      <c r="P83" s="271">
        <f t="shared" si="51"/>
        <v>727.80203784570597</v>
      </c>
      <c r="Q83" s="137">
        <v>23000</v>
      </c>
      <c r="R83" s="79"/>
      <c r="S83" s="272">
        <f t="shared" si="20"/>
        <v>230000</v>
      </c>
      <c r="T83" s="272">
        <f t="shared" ref="T83:T146" si="53">R83*E83</f>
        <v>0</v>
      </c>
      <c r="U83" s="398">
        <f t="shared" si="52"/>
        <v>557.98156234837461</v>
      </c>
      <c r="V83" s="409"/>
    </row>
    <row r="84" spans="2:22" ht="12" thickBot="1" x14ac:dyDescent="0.3">
      <c r="B84" s="54" t="s">
        <v>127</v>
      </c>
      <c r="C84" s="55" t="s">
        <v>128</v>
      </c>
      <c r="D84" s="83" t="s">
        <v>122</v>
      </c>
      <c r="E84" s="107">
        <v>10</v>
      </c>
      <c r="F84" s="278">
        <v>45000</v>
      </c>
      <c r="G84" s="279"/>
      <c r="H84" s="58">
        <f t="shared" si="47"/>
        <v>450000</v>
      </c>
      <c r="I84" s="58">
        <f t="shared" si="48"/>
        <v>0</v>
      </c>
      <c r="J84" s="269">
        <f t="shared" si="49"/>
        <v>1091.703056768559</v>
      </c>
      <c r="K84" s="47"/>
      <c r="L84" s="47">
        <v>35000</v>
      </c>
      <c r="M84" s="48"/>
      <c r="N84" s="270">
        <f t="shared" si="50"/>
        <v>350000</v>
      </c>
      <c r="O84" s="270">
        <f t="shared" si="50"/>
        <v>0</v>
      </c>
      <c r="P84" s="271">
        <f t="shared" si="51"/>
        <v>849.10237748665702</v>
      </c>
      <c r="Q84" s="484">
        <v>35000</v>
      </c>
      <c r="R84" s="104"/>
      <c r="S84" s="281">
        <f t="shared" si="20"/>
        <v>350000</v>
      </c>
      <c r="T84" s="281">
        <f t="shared" si="53"/>
        <v>0</v>
      </c>
      <c r="U84" s="403">
        <f t="shared" si="52"/>
        <v>849.10237748665702</v>
      </c>
      <c r="V84" s="409"/>
    </row>
    <row r="85" spans="2:22" ht="12" thickBot="1" x14ac:dyDescent="0.3">
      <c r="B85" s="447" t="s">
        <v>129</v>
      </c>
      <c r="C85" s="448"/>
      <c r="D85" s="173"/>
      <c r="E85" s="294"/>
      <c r="F85" s="61"/>
      <c r="G85" s="62"/>
      <c r="H85" s="63">
        <f>SUM(H77:H84)</f>
        <v>55466666.666666664</v>
      </c>
      <c r="I85" s="63">
        <f t="shared" ref="I85:J85" si="54">SUM(I77:I84)</f>
        <v>6933.333333333333</v>
      </c>
      <c r="J85" s="64">
        <f t="shared" si="54"/>
        <v>141495.843441695</v>
      </c>
      <c r="K85" s="61"/>
      <c r="L85" s="61"/>
      <c r="M85" s="62"/>
      <c r="N85" s="63">
        <f t="shared" ref="N85:P85" si="55">SUM(N77:N84)</f>
        <v>46050000</v>
      </c>
      <c r="O85" s="63">
        <f t="shared" si="55"/>
        <v>4200</v>
      </c>
      <c r="P85" s="67">
        <f t="shared" si="55"/>
        <v>115917.61280931586</v>
      </c>
      <c r="Q85" s="295"/>
      <c r="R85" s="296"/>
      <c r="S85" s="297">
        <f t="shared" ref="S85:U85" si="56">SUM(S77:S84)</f>
        <v>25180000</v>
      </c>
      <c r="T85" s="297">
        <f t="shared" si="56"/>
        <v>6933.333333333333</v>
      </c>
      <c r="U85" s="404">
        <f t="shared" si="56"/>
        <v>68020.184376516263</v>
      </c>
      <c r="V85" s="409"/>
    </row>
    <row r="86" spans="2:22" ht="22.5" x14ac:dyDescent="0.25">
      <c r="B86" s="94" t="s">
        <v>130</v>
      </c>
      <c r="C86" s="95" t="s">
        <v>131</v>
      </c>
      <c r="D86" s="108"/>
      <c r="E86" s="70"/>
      <c r="F86" s="283"/>
      <c r="G86" s="284"/>
      <c r="H86" s="71"/>
      <c r="I86" s="71"/>
      <c r="J86" s="72"/>
      <c r="K86" s="265"/>
      <c r="L86" s="265"/>
      <c r="M86" s="74"/>
      <c r="N86" s="75"/>
      <c r="O86" s="75"/>
      <c r="P86" s="285"/>
      <c r="Q86" s="265"/>
      <c r="R86" s="75"/>
      <c r="S86" s="298"/>
      <c r="T86" s="298"/>
      <c r="U86" s="405"/>
      <c r="V86" s="409"/>
    </row>
    <row r="87" spans="2:22" ht="96.75" customHeight="1" x14ac:dyDescent="0.25">
      <c r="B87" s="91" t="s">
        <v>132</v>
      </c>
      <c r="C87" s="109" t="s">
        <v>133</v>
      </c>
      <c r="D87" s="92" t="s">
        <v>122</v>
      </c>
      <c r="E87" s="37">
        <v>10</v>
      </c>
      <c r="F87" s="267">
        <v>650000</v>
      </c>
      <c r="G87" s="268"/>
      <c r="H87" s="39">
        <f>E87*F87</f>
        <v>6500000</v>
      </c>
      <c r="I87" s="39">
        <f>E87*G87</f>
        <v>0</v>
      </c>
      <c r="J87" s="269">
        <f t="shared" ref="J87:J91" si="57">(H87/412.2)+I87</f>
        <v>15769.04415332363</v>
      </c>
      <c r="K87" s="40"/>
      <c r="L87" s="40">
        <v>550000</v>
      </c>
      <c r="M87" s="41"/>
      <c r="N87" s="270">
        <f t="shared" ref="N87:O91" si="58">$E87*L87</f>
        <v>5500000</v>
      </c>
      <c r="O87" s="270">
        <f t="shared" si="58"/>
        <v>0</v>
      </c>
      <c r="P87" s="271">
        <f>O87+(N87/$K$2)</f>
        <v>13343.03736050461</v>
      </c>
      <c r="Q87" s="483">
        <v>550000</v>
      </c>
      <c r="R87" s="79">
        <f>G87</f>
        <v>0</v>
      </c>
      <c r="S87" s="272">
        <f t="shared" si="20"/>
        <v>5500000</v>
      </c>
      <c r="T87" s="272">
        <f t="shared" si="53"/>
        <v>0</v>
      </c>
      <c r="U87" s="398">
        <f t="shared" si="52"/>
        <v>13343.03736050461</v>
      </c>
      <c r="V87" s="408" t="s">
        <v>659</v>
      </c>
    </row>
    <row r="88" spans="2:22" ht="33.75" x14ac:dyDescent="0.25">
      <c r="B88" s="430" t="s">
        <v>134</v>
      </c>
      <c r="C88" s="110" t="s">
        <v>135</v>
      </c>
      <c r="D88" s="53" t="s">
        <v>122</v>
      </c>
      <c r="E88" s="44">
        <v>10</v>
      </c>
      <c r="F88" s="273">
        <v>500000</v>
      </c>
      <c r="G88" s="274"/>
      <c r="H88" s="46">
        <f>E88*F88</f>
        <v>5000000</v>
      </c>
      <c r="I88" s="46">
        <f>E88*G88</f>
        <v>0</v>
      </c>
      <c r="J88" s="269">
        <f t="shared" si="57"/>
        <v>12130.033964095101</v>
      </c>
      <c r="K88" s="47"/>
      <c r="L88" s="47">
        <v>600000</v>
      </c>
      <c r="M88" s="48"/>
      <c r="N88" s="270">
        <f t="shared" si="58"/>
        <v>6000000</v>
      </c>
      <c r="O88" s="270">
        <f t="shared" si="58"/>
        <v>0</v>
      </c>
      <c r="P88" s="271">
        <f>O88+(N88/$K$2)</f>
        <v>14556.040756914119</v>
      </c>
      <c r="Q88" s="483">
        <v>600000</v>
      </c>
      <c r="R88" s="79">
        <f t="shared" ref="Q88:R91" si="59">G88</f>
        <v>0</v>
      </c>
      <c r="S88" s="272">
        <f t="shared" si="20"/>
        <v>6000000</v>
      </c>
      <c r="T88" s="272">
        <f t="shared" si="53"/>
        <v>0</v>
      </c>
      <c r="U88" s="406">
        <f t="shared" si="52"/>
        <v>14556.040756914119</v>
      </c>
      <c r="V88" s="408" t="s">
        <v>659</v>
      </c>
    </row>
    <row r="89" spans="2:22" ht="33.75" x14ac:dyDescent="0.25">
      <c r="B89" s="91" t="s">
        <v>136</v>
      </c>
      <c r="C89" s="110" t="s">
        <v>137</v>
      </c>
      <c r="D89" s="53" t="s">
        <v>122</v>
      </c>
      <c r="E89" s="44">
        <v>10</v>
      </c>
      <c r="F89" s="273">
        <v>300000</v>
      </c>
      <c r="G89" s="274"/>
      <c r="H89" s="46">
        <f>E89*F89</f>
        <v>3000000</v>
      </c>
      <c r="I89" s="46">
        <f>E89*G89</f>
        <v>0</v>
      </c>
      <c r="J89" s="269">
        <f t="shared" si="57"/>
        <v>7278.0203784570595</v>
      </c>
      <c r="K89" s="47"/>
      <c r="L89" s="47">
        <v>275000</v>
      </c>
      <c r="M89" s="48"/>
      <c r="N89" s="270">
        <f t="shared" si="58"/>
        <v>2750000</v>
      </c>
      <c r="O89" s="270">
        <f t="shared" si="58"/>
        <v>0</v>
      </c>
      <c r="P89" s="271">
        <f>O89+(N89/$K$2)</f>
        <v>6671.5186802523049</v>
      </c>
      <c r="Q89" s="483">
        <v>275000</v>
      </c>
      <c r="R89" s="79">
        <f t="shared" si="59"/>
        <v>0</v>
      </c>
      <c r="S89" s="272">
        <f t="shared" si="20"/>
        <v>2750000</v>
      </c>
      <c r="T89" s="272">
        <f t="shared" si="53"/>
        <v>0</v>
      </c>
      <c r="U89" s="406">
        <f t="shared" si="52"/>
        <v>6671.5186802523049</v>
      </c>
      <c r="V89" s="408" t="s">
        <v>659</v>
      </c>
    </row>
    <row r="90" spans="2:22" ht="51.6" customHeight="1" x14ac:dyDescent="0.25">
      <c r="B90" s="430" t="s">
        <v>138</v>
      </c>
      <c r="C90" s="111" t="s">
        <v>139</v>
      </c>
      <c r="D90" s="53" t="s">
        <v>122</v>
      </c>
      <c r="E90" s="44">
        <v>10</v>
      </c>
      <c r="F90" s="273">
        <v>1600000</v>
      </c>
      <c r="G90" s="274"/>
      <c r="H90" s="46">
        <f>E90*F90</f>
        <v>16000000</v>
      </c>
      <c r="I90" s="46">
        <f>E90*G90</f>
        <v>0</v>
      </c>
      <c r="J90" s="269">
        <f t="shared" si="57"/>
        <v>38816.108685104322</v>
      </c>
      <c r="K90" s="47"/>
      <c r="L90" s="47">
        <v>1355000</v>
      </c>
      <c r="M90" s="48"/>
      <c r="N90" s="270">
        <f t="shared" si="58"/>
        <v>13550000</v>
      </c>
      <c r="O90" s="270">
        <f t="shared" si="58"/>
        <v>0</v>
      </c>
      <c r="P90" s="271">
        <f>O90+(N90/$K$2)</f>
        <v>32872.39204269772</v>
      </c>
      <c r="Q90" s="483">
        <v>1355000</v>
      </c>
      <c r="R90" s="79">
        <f t="shared" si="59"/>
        <v>0</v>
      </c>
      <c r="S90" s="272">
        <f t="shared" si="20"/>
        <v>13550000</v>
      </c>
      <c r="T90" s="272">
        <f t="shared" si="53"/>
        <v>0</v>
      </c>
      <c r="U90" s="406">
        <f t="shared" si="52"/>
        <v>32872.39204269772</v>
      </c>
      <c r="V90" s="408" t="s">
        <v>659</v>
      </c>
    </row>
    <row r="91" spans="2:22" ht="68.25" thickBot="1" x14ac:dyDescent="0.3">
      <c r="B91" s="91" t="s">
        <v>140</v>
      </c>
      <c r="C91" s="112" t="s">
        <v>141</v>
      </c>
      <c r="D91" s="100" t="s">
        <v>122</v>
      </c>
      <c r="E91" s="101">
        <v>10</v>
      </c>
      <c r="F91" s="289">
        <v>790000</v>
      </c>
      <c r="G91" s="290"/>
      <c r="H91" s="102">
        <f>E91*F91</f>
        <v>7900000</v>
      </c>
      <c r="I91" s="102">
        <f>E91*G91</f>
        <v>0</v>
      </c>
      <c r="J91" s="269">
        <f t="shared" si="57"/>
        <v>19165.453663270258</v>
      </c>
      <c r="K91" s="103"/>
      <c r="L91" s="103">
        <v>620000</v>
      </c>
      <c r="M91" s="105"/>
      <c r="N91" s="270">
        <f t="shared" si="58"/>
        <v>6200000</v>
      </c>
      <c r="O91" s="270">
        <f t="shared" si="58"/>
        <v>0</v>
      </c>
      <c r="P91" s="271">
        <f>O91+(N91/$K$2)</f>
        <v>15041.242115477924</v>
      </c>
      <c r="Q91" s="484">
        <v>620000</v>
      </c>
      <c r="R91" s="104">
        <f t="shared" si="59"/>
        <v>0</v>
      </c>
      <c r="S91" s="281">
        <f t="shared" si="20"/>
        <v>6200000</v>
      </c>
      <c r="T91" s="281">
        <f t="shared" si="53"/>
        <v>0</v>
      </c>
      <c r="U91" s="403">
        <f t="shared" si="52"/>
        <v>15041.242115477924</v>
      </c>
      <c r="V91" s="408" t="s">
        <v>659</v>
      </c>
    </row>
    <row r="92" spans="2:22" ht="12" thickBot="1" x14ac:dyDescent="0.3">
      <c r="B92" s="447" t="s">
        <v>142</v>
      </c>
      <c r="C92" s="448"/>
      <c r="D92" s="173"/>
      <c r="E92" s="286"/>
      <c r="F92" s="65"/>
      <c r="G92" s="63"/>
      <c r="H92" s="63">
        <f>SUM(H87:H91)</f>
        <v>38400000</v>
      </c>
      <c r="I92" s="63">
        <f t="shared" ref="I92:J92" si="60">SUM(I87:I91)</f>
        <v>0</v>
      </c>
      <c r="J92" s="64">
        <f t="shared" si="60"/>
        <v>93158.660844250378</v>
      </c>
      <c r="K92" s="65"/>
      <c r="L92" s="65"/>
      <c r="M92" s="63"/>
      <c r="N92" s="63">
        <f t="shared" ref="N92:P92" si="61">SUM(N87:N91)</f>
        <v>34000000</v>
      </c>
      <c r="O92" s="63">
        <f t="shared" si="61"/>
        <v>0</v>
      </c>
      <c r="P92" s="67">
        <f t="shared" si="61"/>
        <v>82484.23095584668</v>
      </c>
      <c r="Q92" s="282"/>
      <c r="R92" s="256"/>
      <c r="S92" s="63">
        <f t="shared" ref="S92:U92" si="62">SUM(S87:S91)</f>
        <v>34000000</v>
      </c>
      <c r="T92" s="63">
        <f t="shared" si="62"/>
        <v>0</v>
      </c>
      <c r="U92" s="67">
        <f t="shared" si="62"/>
        <v>82484.23095584668</v>
      </c>
      <c r="V92" s="409"/>
    </row>
    <row r="93" spans="2:22" ht="11.25" x14ac:dyDescent="0.25">
      <c r="B93" s="418" t="s">
        <v>143</v>
      </c>
      <c r="C93" s="419" t="s">
        <v>144</v>
      </c>
      <c r="D93" s="420"/>
      <c r="E93" s="70"/>
      <c r="F93" s="283"/>
      <c r="G93" s="284"/>
      <c r="H93" s="71"/>
      <c r="I93" s="71"/>
      <c r="J93" s="72"/>
      <c r="K93" s="73"/>
      <c r="L93" s="73"/>
      <c r="M93" s="74"/>
      <c r="N93" s="75"/>
      <c r="O93" s="75"/>
      <c r="P93" s="285"/>
      <c r="Q93" s="265"/>
      <c r="R93" s="75"/>
      <c r="S93" s="75"/>
      <c r="T93" s="75"/>
      <c r="U93" s="285"/>
      <c r="V93" s="409"/>
    </row>
    <row r="94" spans="2:22" ht="11.25" x14ac:dyDescent="0.25">
      <c r="B94" s="91" t="s">
        <v>145</v>
      </c>
      <c r="C94" s="113" t="s">
        <v>146</v>
      </c>
      <c r="D94" s="92" t="s">
        <v>122</v>
      </c>
      <c r="E94" s="37">
        <v>500</v>
      </c>
      <c r="F94" s="267">
        <v>5000</v>
      </c>
      <c r="G94" s="268"/>
      <c r="H94" s="39">
        <f>E94*F94</f>
        <v>2500000</v>
      </c>
      <c r="I94" s="39">
        <f>E94*G94</f>
        <v>0</v>
      </c>
      <c r="J94" s="269">
        <f t="shared" ref="J94:J97" si="63">(H94/412.2)+I94</f>
        <v>6065.0169820475503</v>
      </c>
      <c r="K94" s="40"/>
      <c r="L94" s="40">
        <v>5000</v>
      </c>
      <c r="M94" s="41"/>
      <c r="N94" s="270">
        <f t="shared" ref="N94:O97" si="64">$E94*L94</f>
        <v>2500000</v>
      </c>
      <c r="O94" s="270">
        <f t="shared" si="64"/>
        <v>0</v>
      </c>
      <c r="P94" s="271">
        <f>O94+(N94/$K$2)</f>
        <v>6065.0169820475503</v>
      </c>
      <c r="Q94" s="137">
        <v>2000</v>
      </c>
      <c r="R94" s="79"/>
      <c r="S94" s="272">
        <f t="shared" ref="S94:S157" si="65">Q94*E94</f>
        <v>1000000</v>
      </c>
      <c r="T94" s="272">
        <f t="shared" si="53"/>
        <v>0</v>
      </c>
      <c r="U94" s="398">
        <f t="shared" si="52"/>
        <v>2426.0067928190201</v>
      </c>
      <c r="V94" s="409"/>
    </row>
    <row r="95" spans="2:22" ht="11.25" x14ac:dyDescent="0.25">
      <c r="B95" s="430" t="s">
        <v>147</v>
      </c>
      <c r="C95" s="42" t="s">
        <v>148</v>
      </c>
      <c r="D95" s="53" t="s">
        <v>122</v>
      </c>
      <c r="E95" s="44">
        <v>500</v>
      </c>
      <c r="F95" s="273">
        <v>7000</v>
      </c>
      <c r="G95" s="274"/>
      <c r="H95" s="46">
        <f>E95*F95</f>
        <v>3500000</v>
      </c>
      <c r="I95" s="46">
        <f>E95*G95</f>
        <v>0</v>
      </c>
      <c r="J95" s="269">
        <f t="shared" si="63"/>
        <v>8491.0237748665695</v>
      </c>
      <c r="K95" s="47"/>
      <c r="L95" s="47">
        <v>5200</v>
      </c>
      <c r="M95" s="48"/>
      <c r="N95" s="270">
        <f t="shared" si="64"/>
        <v>2600000</v>
      </c>
      <c r="O95" s="270">
        <f t="shared" si="64"/>
        <v>0</v>
      </c>
      <c r="P95" s="271">
        <f>O95+(N95/$K$2)</f>
        <v>6307.6176613294519</v>
      </c>
      <c r="Q95" s="137">
        <v>3000</v>
      </c>
      <c r="R95" s="79"/>
      <c r="S95" s="272">
        <f t="shared" si="65"/>
        <v>1500000</v>
      </c>
      <c r="T95" s="272">
        <f t="shared" si="53"/>
        <v>0</v>
      </c>
      <c r="U95" s="406">
        <f t="shared" si="52"/>
        <v>3639.0101892285297</v>
      </c>
      <c r="V95" s="409"/>
    </row>
    <row r="96" spans="2:22" ht="11.25" x14ac:dyDescent="0.25">
      <c r="B96" s="91" t="s">
        <v>149</v>
      </c>
      <c r="C96" s="42" t="s">
        <v>150</v>
      </c>
      <c r="D96" s="53" t="s">
        <v>122</v>
      </c>
      <c r="E96" s="44">
        <v>500</v>
      </c>
      <c r="F96" s="273">
        <v>10000</v>
      </c>
      <c r="G96" s="274"/>
      <c r="H96" s="46">
        <f>E96*F96</f>
        <v>5000000</v>
      </c>
      <c r="I96" s="46">
        <f>E96*G96</f>
        <v>0</v>
      </c>
      <c r="J96" s="269">
        <f t="shared" si="63"/>
        <v>12130.033964095101</v>
      </c>
      <c r="K96" s="47"/>
      <c r="L96" s="47">
        <v>10000</v>
      </c>
      <c r="M96" s="48"/>
      <c r="N96" s="270">
        <f t="shared" si="64"/>
        <v>5000000</v>
      </c>
      <c r="O96" s="270">
        <f t="shared" si="64"/>
        <v>0</v>
      </c>
      <c r="P96" s="271">
        <f>O96+(N96/$K$2)</f>
        <v>12130.033964095101</v>
      </c>
      <c r="Q96" s="137">
        <v>3400</v>
      </c>
      <c r="R96" s="79"/>
      <c r="S96" s="272">
        <f t="shared" si="65"/>
        <v>1700000</v>
      </c>
      <c r="T96" s="272">
        <f t="shared" si="53"/>
        <v>0</v>
      </c>
      <c r="U96" s="398">
        <f t="shared" si="52"/>
        <v>4124.2115477923344</v>
      </c>
      <c r="V96" s="409"/>
    </row>
    <row r="97" spans="2:22" ht="68.25" thickBot="1" x14ac:dyDescent="0.3">
      <c r="B97" s="54" t="s">
        <v>151</v>
      </c>
      <c r="C97" s="114" t="s">
        <v>152</v>
      </c>
      <c r="D97" s="83" t="s">
        <v>122</v>
      </c>
      <c r="E97" s="57">
        <v>500</v>
      </c>
      <c r="F97" s="289">
        <v>20000</v>
      </c>
      <c r="G97" s="290"/>
      <c r="H97" s="102">
        <f>E97*F97</f>
        <v>10000000</v>
      </c>
      <c r="I97" s="102">
        <f>E97*G97</f>
        <v>0</v>
      </c>
      <c r="J97" s="269">
        <f t="shared" si="63"/>
        <v>24260.067928190201</v>
      </c>
      <c r="K97" s="59"/>
      <c r="L97" s="59">
        <v>17250</v>
      </c>
      <c r="M97" s="60"/>
      <c r="N97" s="270">
        <f t="shared" si="64"/>
        <v>8625000</v>
      </c>
      <c r="O97" s="270">
        <f t="shared" si="64"/>
        <v>0</v>
      </c>
      <c r="P97" s="271">
        <f>O97+(N97/$K$2)</f>
        <v>20924.308588064046</v>
      </c>
      <c r="Q97" s="280">
        <v>11000</v>
      </c>
      <c r="R97" s="104"/>
      <c r="S97" s="281">
        <f t="shared" si="65"/>
        <v>5500000</v>
      </c>
      <c r="T97" s="281">
        <f t="shared" si="53"/>
        <v>0</v>
      </c>
      <c r="U97" s="403">
        <f t="shared" si="52"/>
        <v>13343.03736050461</v>
      </c>
      <c r="V97" s="409"/>
    </row>
    <row r="98" spans="2:22" ht="12" thickBot="1" x14ac:dyDescent="0.3">
      <c r="B98" s="447" t="s">
        <v>153</v>
      </c>
      <c r="C98" s="448"/>
      <c r="D98" s="173"/>
      <c r="E98" s="286"/>
      <c r="F98" s="65"/>
      <c r="G98" s="63"/>
      <c r="H98" s="63">
        <f>SUM(H94:H97)</f>
        <v>21000000</v>
      </c>
      <c r="I98" s="63"/>
      <c r="J98" s="64">
        <f>SUM(J94:J97)</f>
        <v>50946.142649199421</v>
      </c>
      <c r="K98" s="65"/>
      <c r="L98" s="65"/>
      <c r="M98" s="63"/>
      <c r="N98" s="63">
        <f t="shared" ref="N98" si="66">SUM(N94:N97)</f>
        <v>18725000</v>
      </c>
      <c r="O98" s="63"/>
      <c r="P98" s="67">
        <f t="shared" ref="P98" si="67">SUM(P94:P97)</f>
        <v>45426.97719553615</v>
      </c>
      <c r="Q98" s="282"/>
      <c r="R98" s="256"/>
      <c r="S98" s="63">
        <f t="shared" ref="S98" si="68">SUM(S94:S97)</f>
        <v>9700000</v>
      </c>
      <c r="T98" s="63"/>
      <c r="U98" s="67">
        <f t="shared" ref="U98" si="69">SUM(U94:U97)</f>
        <v>23532.265890344494</v>
      </c>
      <c r="V98" s="409"/>
    </row>
    <row r="99" spans="2:22" ht="11.25" x14ac:dyDescent="0.25">
      <c r="B99" s="418" t="s">
        <v>154</v>
      </c>
      <c r="C99" s="419" t="s">
        <v>155</v>
      </c>
      <c r="D99" s="420"/>
      <c r="E99" s="70"/>
      <c r="F99" s="283"/>
      <c r="G99" s="284"/>
      <c r="H99" s="71"/>
      <c r="I99" s="71"/>
      <c r="J99" s="72"/>
      <c r="K99" s="73"/>
      <c r="L99" s="73"/>
      <c r="M99" s="74"/>
      <c r="N99" s="75"/>
      <c r="O99" s="75"/>
      <c r="P99" s="285"/>
      <c r="Q99" s="265"/>
      <c r="R99" s="75"/>
      <c r="S99" s="75"/>
      <c r="T99" s="75"/>
      <c r="U99" s="407"/>
      <c r="V99" s="409"/>
    </row>
    <row r="100" spans="2:22" ht="22.5" x14ac:dyDescent="0.25">
      <c r="B100" s="91" t="s">
        <v>156</v>
      </c>
      <c r="C100" s="113" t="s">
        <v>157</v>
      </c>
      <c r="D100" s="92" t="s">
        <v>158</v>
      </c>
      <c r="E100" s="37">
        <v>500</v>
      </c>
      <c r="F100" s="267">
        <v>15000</v>
      </c>
      <c r="G100" s="268"/>
      <c r="H100" s="39">
        <f>E100*F100</f>
        <v>7500000</v>
      </c>
      <c r="I100" s="39">
        <f>E100*G100</f>
        <v>0</v>
      </c>
      <c r="J100" s="269">
        <f t="shared" ref="J100:J102" si="70">(H100/412.2)+I100</f>
        <v>18195.050946142648</v>
      </c>
      <c r="K100" s="40"/>
      <c r="L100" s="40">
        <v>12000</v>
      </c>
      <c r="M100" s="41"/>
      <c r="N100" s="270">
        <f t="shared" ref="N100:O102" si="71">$E100*L100</f>
        <v>6000000</v>
      </c>
      <c r="O100" s="270">
        <f t="shared" si="71"/>
        <v>0</v>
      </c>
      <c r="P100" s="271">
        <f>O100+(N100/$K$2)</f>
        <v>14556.040756914119</v>
      </c>
      <c r="Q100" s="137">
        <v>5000</v>
      </c>
      <c r="R100" s="79"/>
      <c r="S100" s="272">
        <f t="shared" si="65"/>
        <v>2500000</v>
      </c>
      <c r="T100" s="272">
        <f t="shared" si="53"/>
        <v>0</v>
      </c>
      <c r="U100" s="406">
        <f t="shared" si="52"/>
        <v>6065.0169820475503</v>
      </c>
      <c r="V100" s="409"/>
    </row>
    <row r="101" spans="2:22" ht="11.25" x14ac:dyDescent="0.25">
      <c r="B101" s="430" t="s">
        <v>159</v>
      </c>
      <c r="C101" s="52" t="s">
        <v>160</v>
      </c>
      <c r="D101" s="53" t="s">
        <v>158</v>
      </c>
      <c r="E101" s="44">
        <v>500</v>
      </c>
      <c r="F101" s="273">
        <v>25000</v>
      </c>
      <c r="G101" s="274"/>
      <c r="H101" s="46">
        <f>E101*F101</f>
        <v>12500000</v>
      </c>
      <c r="I101" s="46">
        <f>E101*G101</f>
        <v>0</v>
      </c>
      <c r="J101" s="269">
        <f t="shared" si="70"/>
        <v>30325.084910237751</v>
      </c>
      <c r="K101" s="47"/>
      <c r="L101" s="47">
        <v>16000</v>
      </c>
      <c r="M101" s="48"/>
      <c r="N101" s="270">
        <f t="shared" si="71"/>
        <v>8000000</v>
      </c>
      <c r="O101" s="270">
        <f t="shared" si="71"/>
        <v>0</v>
      </c>
      <c r="P101" s="271">
        <f>O101+(N101/$K$2)</f>
        <v>19408.054342552161</v>
      </c>
      <c r="Q101" s="137">
        <v>21000</v>
      </c>
      <c r="R101" s="79"/>
      <c r="S101" s="272">
        <f t="shared" si="65"/>
        <v>10500000</v>
      </c>
      <c r="T101" s="272">
        <f t="shared" si="53"/>
        <v>0</v>
      </c>
      <c r="U101" s="406">
        <f t="shared" si="52"/>
        <v>25473.07132459971</v>
      </c>
      <c r="V101" s="409"/>
    </row>
    <row r="102" spans="2:22" ht="68.25" thickBot="1" x14ac:dyDescent="0.3">
      <c r="B102" s="54" t="s">
        <v>161</v>
      </c>
      <c r="C102" s="115" t="s">
        <v>162</v>
      </c>
      <c r="D102" s="83" t="s">
        <v>158</v>
      </c>
      <c r="E102" s="57">
        <v>500</v>
      </c>
      <c r="F102" s="289">
        <v>15000</v>
      </c>
      <c r="G102" s="290"/>
      <c r="H102" s="102">
        <f>E102*F102</f>
        <v>7500000</v>
      </c>
      <c r="I102" s="102">
        <f>E102*G102</f>
        <v>0</v>
      </c>
      <c r="J102" s="269">
        <f t="shared" si="70"/>
        <v>18195.050946142648</v>
      </c>
      <c r="K102" s="59"/>
      <c r="L102" s="59">
        <v>15000</v>
      </c>
      <c r="M102" s="60"/>
      <c r="N102" s="270">
        <f t="shared" si="71"/>
        <v>7500000</v>
      </c>
      <c r="O102" s="270">
        <f t="shared" si="71"/>
        <v>0</v>
      </c>
      <c r="P102" s="271">
        <f>O102+(N102/$K$2)</f>
        <v>18195.050946142648</v>
      </c>
      <c r="Q102" s="486">
        <f>F102</f>
        <v>15000</v>
      </c>
      <c r="R102" s="296">
        <f>G102</f>
        <v>0</v>
      </c>
      <c r="S102" s="299">
        <f t="shared" si="65"/>
        <v>7500000</v>
      </c>
      <c r="T102" s="299"/>
      <c r="U102" s="403">
        <f t="shared" si="52"/>
        <v>18195.050946142648</v>
      </c>
      <c r="V102" s="408" t="s">
        <v>660</v>
      </c>
    </row>
    <row r="103" spans="2:22" ht="12" thickBot="1" x14ac:dyDescent="0.3">
      <c r="B103" s="447" t="s">
        <v>163</v>
      </c>
      <c r="C103" s="448"/>
      <c r="D103" s="173"/>
      <c r="E103" s="286"/>
      <c r="F103" s="65"/>
      <c r="G103" s="63"/>
      <c r="H103" s="63">
        <f>SUM(H100:H102)</f>
        <v>27500000</v>
      </c>
      <c r="I103" s="63">
        <f t="shared" ref="I103:J103" si="72">SUM(I100:I102)</f>
        <v>0</v>
      </c>
      <c r="J103" s="64">
        <f t="shared" si="72"/>
        <v>66715.186802523036</v>
      </c>
      <c r="K103" s="65"/>
      <c r="L103" s="65"/>
      <c r="M103" s="63"/>
      <c r="N103" s="63">
        <f t="shared" ref="N103:P103" si="73">SUM(N100:N102)</f>
        <v>21500000</v>
      </c>
      <c r="O103" s="63">
        <f t="shared" si="73"/>
        <v>0</v>
      </c>
      <c r="P103" s="67">
        <f t="shared" si="73"/>
        <v>52159.146045608926</v>
      </c>
      <c r="Q103" s="282"/>
      <c r="R103" s="256"/>
      <c r="S103" s="63">
        <f t="shared" ref="S103:U103" si="74">SUM(S100:S102)</f>
        <v>20500000</v>
      </c>
      <c r="T103" s="63">
        <f t="shared" si="74"/>
        <v>0</v>
      </c>
      <c r="U103" s="67">
        <f t="shared" si="74"/>
        <v>49733.139252789908</v>
      </c>
      <c r="V103" s="409"/>
    </row>
    <row r="104" spans="2:22" ht="11.25" x14ac:dyDescent="0.25">
      <c r="B104" s="418" t="s">
        <v>164</v>
      </c>
      <c r="C104" s="419" t="s">
        <v>165</v>
      </c>
      <c r="D104" s="420"/>
      <c r="E104" s="70"/>
      <c r="F104" s="283"/>
      <c r="G104" s="284"/>
      <c r="H104" s="71"/>
      <c r="I104" s="71"/>
      <c r="J104" s="72"/>
      <c r="K104" s="73"/>
      <c r="L104" s="73"/>
      <c r="M104" s="74"/>
      <c r="N104" s="75"/>
      <c r="O104" s="75"/>
      <c r="P104" s="285"/>
      <c r="Q104" s="265"/>
      <c r="R104" s="75"/>
      <c r="S104" s="75"/>
      <c r="T104" s="75"/>
      <c r="U104" s="407">
        <f t="shared" si="52"/>
        <v>0</v>
      </c>
      <c r="V104" s="409"/>
    </row>
    <row r="105" spans="2:22" ht="106.5" customHeight="1" x14ac:dyDescent="0.25">
      <c r="B105" s="91" t="s">
        <v>166</v>
      </c>
      <c r="C105" s="35" t="s">
        <v>167</v>
      </c>
      <c r="D105" s="92" t="s">
        <v>158</v>
      </c>
      <c r="E105" s="37">
        <v>500</v>
      </c>
      <c r="F105" s="267">
        <v>100000</v>
      </c>
      <c r="G105" s="268"/>
      <c r="H105" s="39">
        <f>E105*F105</f>
        <v>50000000</v>
      </c>
      <c r="I105" s="39">
        <f>E105*G105</f>
        <v>0</v>
      </c>
      <c r="J105" s="269">
        <f t="shared" ref="J105:J106" si="75">(H105/412.2)+I105</f>
        <v>121300.339640951</v>
      </c>
      <c r="K105" s="40"/>
      <c r="L105" s="40">
        <v>32000</v>
      </c>
      <c r="M105" s="41"/>
      <c r="N105" s="270">
        <f t="shared" ref="N105:O106" si="76">$E105*L105</f>
        <v>16000000</v>
      </c>
      <c r="O105" s="270">
        <f t="shared" si="76"/>
        <v>0</v>
      </c>
      <c r="P105" s="271">
        <f>O105+(N105/$K$2)</f>
        <v>38816.108685104322</v>
      </c>
      <c r="Q105" s="137">
        <v>10000</v>
      </c>
      <c r="R105" s="79"/>
      <c r="S105" s="272">
        <f t="shared" si="65"/>
        <v>5000000</v>
      </c>
      <c r="T105" s="272">
        <f t="shared" si="53"/>
        <v>0</v>
      </c>
      <c r="U105" s="398">
        <f>T105+(S105/$K$2)</f>
        <v>12130.033964095101</v>
      </c>
      <c r="V105" s="409"/>
    </row>
    <row r="106" spans="2:22" ht="12" thickBot="1" x14ac:dyDescent="0.3">
      <c r="B106" s="98" t="s">
        <v>168</v>
      </c>
      <c r="C106" s="116" t="s">
        <v>169</v>
      </c>
      <c r="D106" s="100" t="s">
        <v>158</v>
      </c>
      <c r="E106" s="101">
        <v>100</v>
      </c>
      <c r="F106" s="289">
        <v>125000</v>
      </c>
      <c r="G106" s="290"/>
      <c r="H106" s="102">
        <f>E106*F106</f>
        <v>12500000</v>
      </c>
      <c r="I106" s="102">
        <f>E106*G106</f>
        <v>0</v>
      </c>
      <c r="J106" s="269">
        <f t="shared" si="75"/>
        <v>30325.084910237751</v>
      </c>
      <c r="K106" s="103"/>
      <c r="L106" s="103">
        <v>115000</v>
      </c>
      <c r="M106" s="105"/>
      <c r="N106" s="270">
        <f t="shared" si="76"/>
        <v>11500000</v>
      </c>
      <c r="O106" s="270">
        <f t="shared" si="76"/>
        <v>0</v>
      </c>
      <c r="P106" s="271">
        <f>O106+(N106/$K$2)</f>
        <v>27899.078117418729</v>
      </c>
      <c r="Q106" s="300">
        <v>10000</v>
      </c>
      <c r="R106" s="258"/>
      <c r="S106" s="301">
        <f t="shared" si="65"/>
        <v>1000000</v>
      </c>
      <c r="T106" s="301">
        <f t="shared" si="53"/>
        <v>0</v>
      </c>
      <c r="U106" s="397">
        <f>T106+(S106/$K$2)</f>
        <v>2426.0067928190201</v>
      </c>
      <c r="V106" s="409"/>
    </row>
    <row r="107" spans="2:22" ht="12" thickBot="1" x14ac:dyDescent="0.3">
      <c r="B107" s="447" t="s">
        <v>170</v>
      </c>
      <c r="C107" s="448"/>
      <c r="D107" s="173"/>
      <c r="E107" s="286"/>
      <c r="F107" s="65"/>
      <c r="G107" s="63"/>
      <c r="H107" s="63">
        <f>SUM(H105:H106)</f>
        <v>62500000</v>
      </c>
      <c r="I107" s="63">
        <f t="shared" ref="I107:J107" si="77">SUM(I105:I106)</f>
        <v>0</v>
      </c>
      <c r="J107" s="64">
        <f t="shared" si="77"/>
        <v>151625.42455118874</v>
      </c>
      <c r="K107" s="65"/>
      <c r="L107" s="65"/>
      <c r="M107" s="63"/>
      <c r="N107" s="63">
        <f t="shared" ref="N107:P107" si="78">SUM(N105:N106)</f>
        <v>27500000</v>
      </c>
      <c r="O107" s="63">
        <f t="shared" si="78"/>
        <v>0</v>
      </c>
      <c r="P107" s="67">
        <f t="shared" si="78"/>
        <v>66715.186802523051</v>
      </c>
      <c r="Q107" s="282"/>
      <c r="R107" s="256"/>
      <c r="S107" s="63">
        <f t="shared" ref="S107:U107" si="79">SUM(S105:S106)</f>
        <v>6000000</v>
      </c>
      <c r="T107" s="63">
        <f t="shared" si="79"/>
        <v>0</v>
      </c>
      <c r="U107" s="67">
        <f t="shared" si="79"/>
        <v>14556.040756914121</v>
      </c>
      <c r="V107" s="409"/>
    </row>
    <row r="108" spans="2:22" ht="11.25" x14ac:dyDescent="0.25">
      <c r="B108" s="418" t="s">
        <v>171</v>
      </c>
      <c r="C108" s="419" t="s">
        <v>172</v>
      </c>
      <c r="D108" s="420"/>
      <c r="E108" s="70"/>
      <c r="F108" s="283"/>
      <c r="G108" s="284"/>
      <c r="H108" s="71"/>
      <c r="I108" s="71"/>
      <c r="J108" s="72"/>
      <c r="K108" s="73"/>
      <c r="L108" s="73"/>
      <c r="M108" s="74"/>
      <c r="N108" s="75"/>
      <c r="O108" s="75"/>
      <c r="P108" s="285"/>
      <c r="Q108" s="275"/>
      <c r="R108" s="88"/>
      <c r="S108" s="88"/>
      <c r="T108" s="88"/>
      <c r="U108" s="287"/>
      <c r="V108" s="409"/>
    </row>
    <row r="109" spans="2:22" ht="11.25" x14ac:dyDescent="0.25">
      <c r="B109" s="91" t="s">
        <v>173</v>
      </c>
      <c r="C109" s="117" t="s">
        <v>174</v>
      </c>
      <c r="D109" s="118"/>
      <c r="E109" s="37"/>
      <c r="F109" s="267"/>
      <c r="G109" s="268"/>
      <c r="H109" s="86"/>
      <c r="I109" s="86"/>
      <c r="J109" s="87"/>
      <c r="K109" s="40"/>
      <c r="L109" s="40"/>
      <c r="M109" s="41"/>
      <c r="N109" s="88"/>
      <c r="O109" s="88"/>
      <c r="P109" s="287"/>
      <c r="Q109" s="137"/>
      <c r="R109" s="79"/>
      <c r="S109" s="79"/>
      <c r="T109" s="79"/>
      <c r="U109" s="287"/>
      <c r="V109" s="409"/>
    </row>
    <row r="110" spans="2:22" ht="11.25" x14ac:dyDescent="0.25">
      <c r="B110" s="430" t="s">
        <v>175</v>
      </c>
      <c r="C110" s="42" t="s">
        <v>176</v>
      </c>
      <c r="D110" s="53" t="s">
        <v>177</v>
      </c>
      <c r="E110" s="44">
        <v>2000</v>
      </c>
      <c r="F110" s="273">
        <v>1500</v>
      </c>
      <c r="G110" s="274"/>
      <c r="H110" s="46">
        <f>E110*F110</f>
        <v>3000000</v>
      </c>
      <c r="I110" s="46">
        <f>E110*G110</f>
        <v>0</v>
      </c>
      <c r="J110" s="269">
        <f t="shared" ref="J110:J120" si="80">(H110/412.2)+I110</f>
        <v>7278.0203784570595</v>
      </c>
      <c r="K110" s="47"/>
      <c r="L110" s="47">
        <v>1200</v>
      </c>
      <c r="M110" s="48"/>
      <c r="N110" s="270">
        <f t="shared" ref="N110:O120" si="81">$E110*L110</f>
        <v>2400000</v>
      </c>
      <c r="O110" s="270">
        <f t="shared" si="81"/>
        <v>0</v>
      </c>
      <c r="P110" s="271">
        <f t="shared" ref="P110:P120" si="82">O110+(N110/$K$2)</f>
        <v>5822.4163027656477</v>
      </c>
      <c r="Q110" s="137">
        <v>450</v>
      </c>
      <c r="R110" s="79"/>
      <c r="S110" s="272">
        <f t="shared" si="65"/>
        <v>900000</v>
      </c>
      <c r="T110" s="272">
        <f t="shared" si="53"/>
        <v>0</v>
      </c>
      <c r="U110" s="399">
        <f>T110+(S110/$K$2)</f>
        <v>2183.406113537118</v>
      </c>
      <c r="V110" s="409"/>
    </row>
    <row r="111" spans="2:22" ht="11.25" x14ac:dyDescent="0.25">
      <c r="B111" s="430" t="s">
        <v>178</v>
      </c>
      <c r="C111" s="42" t="s">
        <v>179</v>
      </c>
      <c r="D111" s="53" t="s">
        <v>177</v>
      </c>
      <c r="E111" s="44">
        <v>2000</v>
      </c>
      <c r="F111" s="273">
        <v>1500</v>
      </c>
      <c r="G111" s="274"/>
      <c r="H111" s="46">
        <f>E111*F111</f>
        <v>3000000</v>
      </c>
      <c r="I111" s="46">
        <f>E111*G111</f>
        <v>0</v>
      </c>
      <c r="J111" s="269">
        <f t="shared" si="80"/>
        <v>7278.0203784570595</v>
      </c>
      <c r="K111" s="47"/>
      <c r="L111" s="47">
        <v>1250</v>
      </c>
      <c r="M111" s="48"/>
      <c r="N111" s="270">
        <f t="shared" si="81"/>
        <v>2500000</v>
      </c>
      <c r="O111" s="270">
        <f t="shared" si="81"/>
        <v>0</v>
      </c>
      <c r="P111" s="271">
        <f t="shared" si="82"/>
        <v>6065.0169820475503</v>
      </c>
      <c r="Q111" s="137">
        <v>450</v>
      </c>
      <c r="R111" s="79"/>
      <c r="S111" s="272">
        <f t="shared" si="65"/>
        <v>900000</v>
      </c>
      <c r="T111" s="272">
        <f t="shared" si="53"/>
        <v>0</v>
      </c>
      <c r="U111" s="399">
        <f t="shared" ref="U111:U120" si="83">T111+(S111/$K$2)</f>
        <v>2183.406113537118</v>
      </c>
      <c r="V111" s="409"/>
    </row>
    <row r="112" spans="2:22" ht="11.25" x14ac:dyDescent="0.25">
      <c r="B112" s="430" t="s">
        <v>180</v>
      </c>
      <c r="C112" s="42" t="s">
        <v>181</v>
      </c>
      <c r="D112" s="53" t="s">
        <v>177</v>
      </c>
      <c r="E112" s="44">
        <v>2000</v>
      </c>
      <c r="F112" s="273">
        <v>1500</v>
      </c>
      <c r="G112" s="274"/>
      <c r="H112" s="46">
        <f>E112*F112</f>
        <v>3000000</v>
      </c>
      <c r="I112" s="46">
        <f>E112*G112</f>
        <v>0</v>
      </c>
      <c r="J112" s="269">
        <f t="shared" si="80"/>
        <v>7278.0203784570595</v>
      </c>
      <c r="K112" s="47"/>
      <c r="L112" s="47">
        <v>1200</v>
      </c>
      <c r="M112" s="48"/>
      <c r="N112" s="270">
        <f t="shared" si="81"/>
        <v>2400000</v>
      </c>
      <c r="O112" s="270">
        <f t="shared" si="81"/>
        <v>0</v>
      </c>
      <c r="P112" s="271">
        <f t="shared" si="82"/>
        <v>5822.4163027656477</v>
      </c>
      <c r="Q112" s="137">
        <v>450</v>
      </c>
      <c r="R112" s="79"/>
      <c r="S112" s="272">
        <f t="shared" si="65"/>
        <v>900000</v>
      </c>
      <c r="T112" s="272">
        <f t="shared" si="53"/>
        <v>0</v>
      </c>
      <c r="U112" s="399">
        <f t="shared" si="83"/>
        <v>2183.406113537118</v>
      </c>
      <c r="V112" s="409"/>
    </row>
    <row r="113" spans="2:22" ht="11.25" x14ac:dyDescent="0.25">
      <c r="B113" s="430" t="s">
        <v>182</v>
      </c>
      <c r="C113" s="42" t="s">
        <v>183</v>
      </c>
      <c r="D113" s="53" t="s">
        <v>177</v>
      </c>
      <c r="E113" s="44">
        <v>2000</v>
      </c>
      <c r="F113" s="273">
        <v>1500</v>
      </c>
      <c r="G113" s="274"/>
      <c r="H113" s="46">
        <f>E113*F113</f>
        <v>3000000</v>
      </c>
      <c r="I113" s="46">
        <f>E113*G113</f>
        <v>0</v>
      </c>
      <c r="J113" s="269">
        <f t="shared" si="80"/>
        <v>7278.0203784570595</v>
      </c>
      <c r="K113" s="47"/>
      <c r="L113" s="47">
        <v>1250</v>
      </c>
      <c r="M113" s="48"/>
      <c r="N113" s="270">
        <f t="shared" si="81"/>
        <v>2500000</v>
      </c>
      <c r="O113" s="270">
        <f t="shared" si="81"/>
        <v>0</v>
      </c>
      <c r="P113" s="271">
        <f t="shared" si="82"/>
        <v>6065.0169820475503</v>
      </c>
      <c r="Q113" s="137">
        <v>720</v>
      </c>
      <c r="R113" s="79"/>
      <c r="S113" s="272">
        <f t="shared" si="65"/>
        <v>1440000</v>
      </c>
      <c r="T113" s="272">
        <f t="shared" si="53"/>
        <v>0</v>
      </c>
      <c r="U113" s="397">
        <f t="shared" si="83"/>
        <v>3493.4497816593889</v>
      </c>
      <c r="V113" s="409"/>
    </row>
    <row r="114" spans="2:22" ht="11.25" x14ac:dyDescent="0.25">
      <c r="B114" s="430" t="s">
        <v>184</v>
      </c>
      <c r="C114" s="119" t="s">
        <v>185</v>
      </c>
      <c r="D114" s="120"/>
      <c r="E114" s="44"/>
      <c r="F114" s="273"/>
      <c r="G114" s="274"/>
      <c r="H114" s="46"/>
      <c r="I114" s="46"/>
      <c r="J114" s="269">
        <f t="shared" si="80"/>
        <v>0</v>
      </c>
      <c r="K114" s="47"/>
      <c r="L114" s="47"/>
      <c r="M114" s="48"/>
      <c r="N114" s="270">
        <f t="shared" si="81"/>
        <v>0</v>
      </c>
      <c r="O114" s="270">
        <f t="shared" si="81"/>
        <v>0</v>
      </c>
      <c r="P114" s="271">
        <f t="shared" si="82"/>
        <v>0</v>
      </c>
      <c r="Q114" s="275"/>
      <c r="R114" s="88"/>
      <c r="S114" s="276">
        <f t="shared" si="65"/>
        <v>0</v>
      </c>
      <c r="T114" s="276">
        <f t="shared" si="53"/>
        <v>0</v>
      </c>
      <c r="U114" s="406">
        <f t="shared" si="83"/>
        <v>0</v>
      </c>
      <c r="V114" s="409"/>
    </row>
    <row r="115" spans="2:22" ht="11.25" x14ac:dyDescent="0.25">
      <c r="B115" s="430" t="s">
        <v>186</v>
      </c>
      <c r="C115" s="42" t="s">
        <v>187</v>
      </c>
      <c r="D115" s="53" t="s">
        <v>177</v>
      </c>
      <c r="E115" s="44">
        <v>2000</v>
      </c>
      <c r="F115" s="273">
        <v>1500</v>
      </c>
      <c r="G115" s="274"/>
      <c r="H115" s="46">
        <f>E115*F115</f>
        <v>3000000</v>
      </c>
      <c r="I115" s="46">
        <f>E115*G115</f>
        <v>0</v>
      </c>
      <c r="J115" s="269">
        <f t="shared" si="80"/>
        <v>7278.0203784570595</v>
      </c>
      <c r="K115" s="47"/>
      <c r="L115" s="47">
        <v>1200</v>
      </c>
      <c r="M115" s="48"/>
      <c r="N115" s="270">
        <f t="shared" si="81"/>
        <v>2400000</v>
      </c>
      <c r="O115" s="270">
        <f t="shared" si="81"/>
        <v>0</v>
      </c>
      <c r="P115" s="271">
        <f t="shared" si="82"/>
        <v>5822.4163027656477</v>
      </c>
      <c r="Q115" s="137">
        <v>450</v>
      </c>
      <c r="R115" s="79"/>
      <c r="S115" s="272">
        <f t="shared" si="65"/>
        <v>900000</v>
      </c>
      <c r="T115" s="272">
        <f t="shared" si="53"/>
        <v>0</v>
      </c>
      <c r="U115" s="398">
        <f t="shared" si="83"/>
        <v>2183.406113537118</v>
      </c>
      <c r="V115" s="409"/>
    </row>
    <row r="116" spans="2:22" ht="11.25" x14ac:dyDescent="0.25">
      <c r="B116" s="430" t="s">
        <v>188</v>
      </c>
      <c r="C116" s="42" t="s">
        <v>189</v>
      </c>
      <c r="D116" s="53" t="s">
        <v>177</v>
      </c>
      <c r="E116" s="44">
        <v>2000</v>
      </c>
      <c r="F116" s="273">
        <v>1500</v>
      </c>
      <c r="G116" s="274"/>
      <c r="H116" s="46">
        <f>E116*F116</f>
        <v>3000000</v>
      </c>
      <c r="I116" s="46">
        <f>E116*G116</f>
        <v>0</v>
      </c>
      <c r="J116" s="269">
        <f t="shared" si="80"/>
        <v>7278.0203784570595</v>
      </c>
      <c r="K116" s="47"/>
      <c r="L116" s="47">
        <v>1250</v>
      </c>
      <c r="M116" s="48"/>
      <c r="N116" s="270">
        <f t="shared" si="81"/>
        <v>2500000</v>
      </c>
      <c r="O116" s="270">
        <f t="shared" si="81"/>
        <v>0</v>
      </c>
      <c r="P116" s="271">
        <f t="shared" si="82"/>
        <v>6065.0169820475503</v>
      </c>
      <c r="Q116" s="137">
        <v>450</v>
      </c>
      <c r="R116" s="79"/>
      <c r="S116" s="272">
        <f t="shared" si="65"/>
        <v>900000</v>
      </c>
      <c r="T116" s="272">
        <f t="shared" si="53"/>
        <v>0</v>
      </c>
      <c r="U116" s="399">
        <f t="shared" si="83"/>
        <v>2183.406113537118</v>
      </c>
      <c r="V116" s="409"/>
    </row>
    <row r="117" spans="2:22" ht="11.25" x14ac:dyDescent="0.25">
      <c r="B117" s="430" t="s">
        <v>190</v>
      </c>
      <c r="C117" s="42" t="s">
        <v>191</v>
      </c>
      <c r="D117" s="53" t="s">
        <v>177</v>
      </c>
      <c r="E117" s="44">
        <v>2000</v>
      </c>
      <c r="F117" s="273">
        <v>1500</v>
      </c>
      <c r="G117" s="274"/>
      <c r="H117" s="46">
        <f>E117*F117</f>
        <v>3000000</v>
      </c>
      <c r="I117" s="46">
        <f>E117*G117</f>
        <v>0</v>
      </c>
      <c r="J117" s="269">
        <f t="shared" si="80"/>
        <v>7278.0203784570595</v>
      </c>
      <c r="K117" s="47"/>
      <c r="L117" s="47">
        <v>1200</v>
      </c>
      <c r="M117" s="48"/>
      <c r="N117" s="270">
        <f t="shared" si="81"/>
        <v>2400000</v>
      </c>
      <c r="O117" s="270">
        <f t="shared" si="81"/>
        <v>0</v>
      </c>
      <c r="P117" s="271">
        <f t="shared" si="82"/>
        <v>5822.4163027656477</v>
      </c>
      <c r="Q117" s="137">
        <v>450</v>
      </c>
      <c r="R117" s="79"/>
      <c r="S117" s="272">
        <f t="shared" si="65"/>
        <v>900000</v>
      </c>
      <c r="T117" s="272">
        <f t="shared" si="53"/>
        <v>0</v>
      </c>
      <c r="U117" s="397">
        <f t="shared" si="83"/>
        <v>2183.406113537118</v>
      </c>
      <c r="V117" s="409"/>
    </row>
    <row r="118" spans="2:22" ht="11.25" x14ac:dyDescent="0.25">
      <c r="B118" s="430" t="s">
        <v>192</v>
      </c>
      <c r="C118" s="119" t="s">
        <v>193</v>
      </c>
      <c r="D118" s="120"/>
      <c r="E118" s="44"/>
      <c r="F118" s="273"/>
      <c r="G118" s="274"/>
      <c r="H118" s="46"/>
      <c r="I118" s="46"/>
      <c r="J118" s="269">
        <f t="shared" si="80"/>
        <v>0</v>
      </c>
      <c r="K118" s="47"/>
      <c r="L118" s="47"/>
      <c r="M118" s="48"/>
      <c r="N118" s="270">
        <f t="shared" si="81"/>
        <v>0</v>
      </c>
      <c r="O118" s="270">
        <f t="shared" si="81"/>
        <v>0</v>
      </c>
      <c r="P118" s="271">
        <f t="shared" si="82"/>
        <v>0</v>
      </c>
      <c r="Q118" s="275"/>
      <c r="R118" s="88"/>
      <c r="S118" s="276">
        <f t="shared" si="65"/>
        <v>0</v>
      </c>
      <c r="T118" s="276">
        <f t="shared" si="53"/>
        <v>0</v>
      </c>
      <c r="U118" s="406">
        <f t="shared" si="83"/>
        <v>0</v>
      </c>
      <c r="V118" s="409"/>
    </row>
    <row r="119" spans="2:22" ht="11.25" x14ac:dyDescent="0.25">
      <c r="B119" s="430" t="s">
        <v>194</v>
      </c>
      <c r="C119" s="42" t="s">
        <v>195</v>
      </c>
      <c r="D119" s="53" t="s">
        <v>177</v>
      </c>
      <c r="E119" s="44">
        <v>2000</v>
      </c>
      <c r="F119" s="273">
        <v>1500</v>
      </c>
      <c r="G119" s="274"/>
      <c r="H119" s="46">
        <f>E119*F119</f>
        <v>3000000</v>
      </c>
      <c r="I119" s="46">
        <f>E119*G119</f>
        <v>0</v>
      </c>
      <c r="J119" s="269">
        <f t="shared" si="80"/>
        <v>7278.0203784570595</v>
      </c>
      <c r="K119" s="47"/>
      <c r="L119" s="47">
        <v>1500</v>
      </c>
      <c r="M119" s="48"/>
      <c r="N119" s="270">
        <f t="shared" si="81"/>
        <v>3000000</v>
      </c>
      <c r="O119" s="270">
        <f t="shared" si="81"/>
        <v>0</v>
      </c>
      <c r="P119" s="271">
        <f t="shared" si="82"/>
        <v>7278.0203784570595</v>
      </c>
      <c r="Q119" s="137">
        <v>450</v>
      </c>
      <c r="R119" s="79"/>
      <c r="S119" s="272">
        <f t="shared" si="65"/>
        <v>900000</v>
      </c>
      <c r="T119" s="272">
        <f t="shared" si="53"/>
        <v>0</v>
      </c>
      <c r="U119" s="398">
        <f t="shared" si="83"/>
        <v>2183.406113537118</v>
      </c>
      <c r="V119" s="409"/>
    </row>
    <row r="120" spans="2:22" ht="12" thickBot="1" x14ac:dyDescent="0.3">
      <c r="B120" s="98" t="s">
        <v>196</v>
      </c>
      <c r="C120" s="116" t="s">
        <v>191</v>
      </c>
      <c r="D120" s="100" t="s">
        <v>177</v>
      </c>
      <c r="E120" s="101">
        <v>2000</v>
      </c>
      <c r="F120" s="289">
        <v>1500</v>
      </c>
      <c r="G120" s="290"/>
      <c r="H120" s="102">
        <f>E120*F120</f>
        <v>3000000</v>
      </c>
      <c r="I120" s="102">
        <f>E120*G120</f>
        <v>0</v>
      </c>
      <c r="J120" s="269">
        <f t="shared" si="80"/>
        <v>7278.0203784570595</v>
      </c>
      <c r="K120" s="103"/>
      <c r="L120" s="103">
        <v>1500</v>
      </c>
      <c r="M120" s="105"/>
      <c r="N120" s="270">
        <f t="shared" si="81"/>
        <v>3000000</v>
      </c>
      <c r="O120" s="270">
        <f t="shared" si="81"/>
        <v>0</v>
      </c>
      <c r="P120" s="271">
        <f t="shared" si="82"/>
        <v>7278.0203784570595</v>
      </c>
      <c r="Q120" s="280">
        <v>450</v>
      </c>
      <c r="R120" s="104"/>
      <c r="S120" s="281">
        <f t="shared" si="65"/>
        <v>900000</v>
      </c>
      <c r="T120" s="281">
        <f t="shared" si="53"/>
        <v>0</v>
      </c>
      <c r="U120" s="400">
        <f t="shared" si="83"/>
        <v>2183.406113537118</v>
      </c>
      <c r="V120" s="409"/>
    </row>
    <row r="121" spans="2:22" ht="12" thickBot="1" x14ac:dyDescent="0.3">
      <c r="B121" s="447" t="s">
        <v>197</v>
      </c>
      <c r="C121" s="448"/>
      <c r="D121" s="121"/>
      <c r="E121" s="122"/>
      <c r="F121" s="65"/>
      <c r="G121" s="63"/>
      <c r="H121" s="63">
        <f>SUM(H110:H120)</f>
        <v>27000000</v>
      </c>
      <c r="I121" s="63">
        <f t="shared" ref="I121:J121" si="84">SUM(I110:I120)</f>
        <v>0</v>
      </c>
      <c r="J121" s="64">
        <f t="shared" si="84"/>
        <v>65502.183406113545</v>
      </c>
      <c r="K121" s="65"/>
      <c r="L121" s="65"/>
      <c r="M121" s="63"/>
      <c r="N121" s="63">
        <f t="shared" ref="N121:P121" si="85">SUM(N110:N120)</f>
        <v>23100000</v>
      </c>
      <c r="O121" s="63">
        <f t="shared" si="85"/>
        <v>0</v>
      </c>
      <c r="P121" s="67">
        <f t="shared" si="85"/>
        <v>56040.756914119367</v>
      </c>
      <c r="Q121" s="282"/>
      <c r="R121" s="256"/>
      <c r="S121" s="63">
        <f t="shared" ref="S121:U121" si="86">SUM(S110:S120)</f>
        <v>8640000</v>
      </c>
      <c r="T121" s="63">
        <f t="shared" si="86"/>
        <v>0</v>
      </c>
      <c r="U121" s="67">
        <f t="shared" si="86"/>
        <v>20960.698689956334</v>
      </c>
      <c r="V121" s="409"/>
    </row>
    <row r="122" spans="2:22" ht="11.25" x14ac:dyDescent="0.25">
      <c r="B122" s="418" t="s">
        <v>198</v>
      </c>
      <c r="C122" s="419" t="s">
        <v>199</v>
      </c>
      <c r="D122" s="420"/>
      <c r="E122" s="70"/>
      <c r="F122" s="283"/>
      <c r="G122" s="284"/>
      <c r="H122" s="71"/>
      <c r="I122" s="71"/>
      <c r="J122" s="72"/>
      <c r="K122" s="73"/>
      <c r="L122" s="73"/>
      <c r="M122" s="74"/>
      <c r="N122" s="75"/>
      <c r="O122" s="75"/>
      <c r="P122" s="285"/>
      <c r="Q122" s="265"/>
      <c r="R122" s="75"/>
      <c r="S122" s="75"/>
      <c r="T122" s="75"/>
      <c r="U122" s="285"/>
      <c r="V122" s="409"/>
    </row>
    <row r="123" spans="2:22" ht="11.25" x14ac:dyDescent="0.25">
      <c r="B123" s="430" t="s">
        <v>200</v>
      </c>
      <c r="C123" s="123" t="s">
        <v>201</v>
      </c>
      <c r="D123" s="120"/>
      <c r="E123" s="44"/>
      <c r="F123" s="273"/>
      <c r="G123" s="274"/>
      <c r="H123" s="77"/>
      <c r="I123" s="77"/>
      <c r="J123" s="78"/>
      <c r="K123" s="47"/>
      <c r="L123" s="47"/>
      <c r="M123" s="48"/>
      <c r="N123" s="79"/>
      <c r="O123" s="79"/>
      <c r="P123" s="277"/>
      <c r="Q123" s="137"/>
      <c r="R123" s="79"/>
      <c r="S123" s="79"/>
      <c r="T123" s="79"/>
      <c r="U123" s="277"/>
      <c r="V123" s="409"/>
    </row>
    <row r="124" spans="2:22" ht="11.25" x14ac:dyDescent="0.25">
      <c r="B124" s="449" t="s">
        <v>202</v>
      </c>
      <c r="C124" s="42" t="s">
        <v>203</v>
      </c>
      <c r="D124" s="124"/>
      <c r="E124" s="44"/>
      <c r="F124" s="273"/>
      <c r="G124" s="274"/>
      <c r="H124" s="77"/>
      <c r="I124" s="77"/>
      <c r="J124" s="78"/>
      <c r="K124" s="47"/>
      <c r="L124" s="47"/>
      <c r="M124" s="48"/>
      <c r="N124" s="79"/>
      <c r="O124" s="79"/>
      <c r="P124" s="277"/>
      <c r="Q124" s="137"/>
      <c r="R124" s="79"/>
      <c r="S124" s="79"/>
      <c r="T124" s="79"/>
      <c r="U124" s="277"/>
      <c r="V124" s="409"/>
    </row>
    <row r="125" spans="2:22" ht="13.5" customHeight="1" x14ac:dyDescent="0.25">
      <c r="B125" s="449"/>
      <c r="C125" s="42" t="s">
        <v>204</v>
      </c>
      <c r="D125" s="53" t="s">
        <v>177</v>
      </c>
      <c r="E125" s="44">
        <v>20000</v>
      </c>
      <c r="F125" s="273">
        <v>12000</v>
      </c>
      <c r="G125" s="274">
        <v>10</v>
      </c>
      <c r="H125" s="46">
        <f>E125*F125</f>
        <v>240000000</v>
      </c>
      <c r="I125" s="46">
        <f>E125*G125</f>
        <v>200000</v>
      </c>
      <c r="J125" s="269">
        <f t="shared" ref="J125:J164" si="87">(H125/412.2)+I125</f>
        <v>782241.63027656474</v>
      </c>
      <c r="K125" s="47"/>
      <c r="L125" s="47">
        <v>8000</v>
      </c>
      <c r="M125" s="48">
        <v>9</v>
      </c>
      <c r="N125" s="270">
        <f t="shared" ref="N125:O125" si="88">$E125*L125</f>
        <v>160000000</v>
      </c>
      <c r="O125" s="270">
        <f t="shared" si="88"/>
        <v>180000</v>
      </c>
      <c r="P125" s="271">
        <f>O125+(N125/$K$2)</f>
        <v>568161.08685104316</v>
      </c>
      <c r="Q125" s="137">
        <v>8500</v>
      </c>
      <c r="R125" s="88">
        <v>0</v>
      </c>
      <c r="S125" s="272">
        <f t="shared" si="65"/>
        <v>170000000</v>
      </c>
      <c r="T125" s="272">
        <f t="shared" si="53"/>
        <v>0</v>
      </c>
      <c r="U125" s="397">
        <f>T125+(S125/$K$2)</f>
        <v>412421.15477923339</v>
      </c>
      <c r="V125" s="409"/>
    </row>
    <row r="126" spans="2:22" ht="11.25" x14ac:dyDescent="0.25">
      <c r="B126" s="430" t="s">
        <v>205</v>
      </c>
      <c r="C126" s="123" t="s">
        <v>206</v>
      </c>
      <c r="D126" s="120"/>
      <c r="E126" s="44"/>
      <c r="F126" s="273"/>
      <c r="G126" s="274"/>
      <c r="H126" s="46"/>
      <c r="I126" s="46"/>
      <c r="J126" s="269">
        <f t="shared" si="87"/>
        <v>0</v>
      </c>
      <c r="K126" s="47"/>
      <c r="L126" s="47"/>
      <c r="M126" s="48"/>
      <c r="N126" s="302"/>
      <c r="O126" s="302"/>
      <c r="P126" s="303"/>
      <c r="Q126" s="275"/>
      <c r="R126" s="88"/>
      <c r="S126" s="276"/>
      <c r="T126" s="276"/>
      <c r="U126" s="406">
        <f>T126+(S126/$K$2)</f>
        <v>0</v>
      </c>
      <c r="V126" s="409"/>
    </row>
    <row r="127" spans="2:22" ht="22.5" x14ac:dyDescent="0.25">
      <c r="B127" s="430" t="s">
        <v>207</v>
      </c>
      <c r="C127" s="42" t="s">
        <v>208</v>
      </c>
      <c r="D127" s="53" t="s">
        <v>177</v>
      </c>
      <c r="E127" s="44">
        <v>75000</v>
      </c>
      <c r="F127" s="273">
        <v>12000</v>
      </c>
      <c r="G127" s="274">
        <v>10</v>
      </c>
      <c r="H127" s="46">
        <f>E127*F127</f>
        <v>900000000</v>
      </c>
      <c r="I127" s="46">
        <f>E127*G127</f>
        <v>750000</v>
      </c>
      <c r="J127" s="269">
        <f t="shared" si="87"/>
        <v>2933406.1135371178</v>
      </c>
      <c r="K127" s="47"/>
      <c r="L127" s="47">
        <v>8500</v>
      </c>
      <c r="M127" s="48">
        <v>5</v>
      </c>
      <c r="N127" s="270">
        <f t="shared" ref="N127:O127" si="89">$E127*L127</f>
        <v>637500000</v>
      </c>
      <c r="O127" s="270">
        <f t="shared" si="89"/>
        <v>375000</v>
      </c>
      <c r="P127" s="271">
        <f>O127+(N127/$K$2)</f>
        <v>1921579.3304221253</v>
      </c>
      <c r="Q127" s="137">
        <v>10000</v>
      </c>
      <c r="R127" s="88">
        <v>0</v>
      </c>
      <c r="S127" s="272">
        <f t="shared" si="65"/>
        <v>750000000</v>
      </c>
      <c r="T127" s="272">
        <f t="shared" si="53"/>
        <v>0</v>
      </c>
      <c r="U127" s="398">
        <f t="shared" ref="U127:U164" si="90">T127+(S127/$K$2)</f>
        <v>1819505.094614265</v>
      </c>
      <c r="V127" s="409"/>
    </row>
    <row r="128" spans="2:22" ht="15.6" customHeight="1" x14ac:dyDescent="0.25">
      <c r="B128" s="430" t="s">
        <v>209</v>
      </c>
      <c r="C128" s="123" t="s">
        <v>210</v>
      </c>
      <c r="D128" s="120"/>
      <c r="E128" s="44"/>
      <c r="F128" s="273"/>
      <c r="G128" s="274"/>
      <c r="H128" s="46"/>
      <c r="I128" s="46"/>
      <c r="J128" s="269">
        <f t="shared" si="87"/>
        <v>0</v>
      </c>
      <c r="K128" s="47"/>
      <c r="L128" s="47"/>
      <c r="M128" s="48"/>
      <c r="N128" s="302"/>
      <c r="O128" s="302"/>
      <c r="P128" s="303"/>
      <c r="Q128" s="275"/>
      <c r="R128" s="88"/>
      <c r="S128" s="276"/>
      <c r="T128" s="276"/>
      <c r="U128" s="398"/>
      <c r="V128" s="409"/>
    </row>
    <row r="129" spans="2:22" ht="45.95" customHeight="1" x14ac:dyDescent="0.25">
      <c r="B129" s="430" t="s">
        <v>211</v>
      </c>
      <c r="C129" s="42" t="s">
        <v>212</v>
      </c>
      <c r="D129" s="53" t="s">
        <v>177</v>
      </c>
      <c r="E129" s="44">
        <v>75000</v>
      </c>
      <c r="F129" s="273">
        <v>12000</v>
      </c>
      <c r="G129" s="274">
        <v>10</v>
      </c>
      <c r="H129" s="46">
        <f>E129*F129</f>
        <v>900000000</v>
      </c>
      <c r="I129" s="46">
        <f>E129*G129</f>
        <v>750000</v>
      </c>
      <c r="J129" s="269">
        <f t="shared" si="87"/>
        <v>2933406.1135371178</v>
      </c>
      <c r="K129" s="47"/>
      <c r="L129" s="47">
        <v>8500</v>
      </c>
      <c r="M129" s="48">
        <v>4</v>
      </c>
      <c r="N129" s="270">
        <f t="shared" ref="N129:O129" si="91">$E129*L129</f>
        <v>637500000</v>
      </c>
      <c r="O129" s="270">
        <f t="shared" si="91"/>
        <v>300000</v>
      </c>
      <c r="P129" s="271">
        <f>O129+(N129/$K$2)</f>
        <v>1846579.3304221253</v>
      </c>
      <c r="Q129" s="137">
        <v>10000</v>
      </c>
      <c r="R129" s="88">
        <v>0</v>
      </c>
      <c r="S129" s="272">
        <f t="shared" si="65"/>
        <v>750000000</v>
      </c>
      <c r="T129" s="272">
        <f t="shared" si="53"/>
        <v>0</v>
      </c>
      <c r="U129" s="397">
        <f t="shared" si="90"/>
        <v>1819505.094614265</v>
      </c>
      <c r="V129" s="409"/>
    </row>
    <row r="130" spans="2:22" ht="11.25" x14ac:dyDescent="0.25">
      <c r="B130" s="430" t="s">
        <v>213</v>
      </c>
      <c r="C130" s="123" t="s">
        <v>214</v>
      </c>
      <c r="D130" s="120"/>
      <c r="E130" s="44"/>
      <c r="F130" s="273"/>
      <c r="G130" s="274"/>
      <c r="H130" s="46"/>
      <c r="I130" s="46"/>
      <c r="J130" s="269">
        <f t="shared" si="87"/>
        <v>0</v>
      </c>
      <c r="K130" s="47"/>
      <c r="L130" s="47"/>
      <c r="M130" s="48"/>
      <c r="N130" s="302"/>
      <c r="O130" s="302"/>
      <c r="P130" s="303"/>
      <c r="Q130" s="275"/>
      <c r="R130" s="88"/>
      <c r="S130" s="276"/>
      <c r="T130" s="276"/>
      <c r="U130" s="398"/>
      <c r="V130" s="409"/>
    </row>
    <row r="131" spans="2:22" ht="22.5" x14ac:dyDescent="0.25">
      <c r="B131" s="430" t="s">
        <v>215</v>
      </c>
      <c r="C131" s="42" t="s">
        <v>216</v>
      </c>
      <c r="D131" s="53" t="s">
        <v>177</v>
      </c>
      <c r="E131" s="44">
        <v>20000</v>
      </c>
      <c r="F131" s="273">
        <v>20000</v>
      </c>
      <c r="G131" s="274">
        <v>20</v>
      </c>
      <c r="H131" s="46">
        <f>E131*F131</f>
        <v>400000000</v>
      </c>
      <c r="I131" s="46">
        <f>E131*G131</f>
        <v>400000</v>
      </c>
      <c r="J131" s="269">
        <f t="shared" si="87"/>
        <v>1370402.7171276081</v>
      </c>
      <c r="K131" s="47"/>
      <c r="L131" s="47">
        <v>12000</v>
      </c>
      <c r="M131" s="48">
        <v>12</v>
      </c>
      <c r="N131" s="270">
        <f t="shared" ref="N131:O133" si="92">$E131*L131</f>
        <v>240000000</v>
      </c>
      <c r="O131" s="270">
        <f t="shared" si="92"/>
        <v>240000</v>
      </c>
      <c r="P131" s="271">
        <f>O131+(N131/$K$2)</f>
        <v>822241.63027656474</v>
      </c>
      <c r="Q131" s="137">
        <v>25000</v>
      </c>
      <c r="R131" s="88">
        <v>0</v>
      </c>
      <c r="S131" s="272">
        <f t="shared" si="65"/>
        <v>500000000</v>
      </c>
      <c r="T131" s="272">
        <f t="shared" si="53"/>
        <v>0</v>
      </c>
      <c r="U131" s="399">
        <f t="shared" si="90"/>
        <v>1213003.3964095099</v>
      </c>
      <c r="V131" s="409"/>
    </row>
    <row r="132" spans="2:22" ht="16.5" customHeight="1" x14ac:dyDescent="0.25">
      <c r="B132" s="430" t="s">
        <v>217</v>
      </c>
      <c r="C132" s="42" t="s">
        <v>218</v>
      </c>
      <c r="D132" s="53" t="s">
        <v>177</v>
      </c>
      <c r="E132" s="44">
        <v>75000</v>
      </c>
      <c r="F132" s="273">
        <v>10000</v>
      </c>
      <c r="G132" s="274"/>
      <c r="H132" s="46">
        <f>E132*F132</f>
        <v>750000000</v>
      </c>
      <c r="I132" s="46">
        <f>E132*G132</f>
        <v>0</v>
      </c>
      <c r="J132" s="269">
        <f t="shared" si="87"/>
        <v>1819505.094614265</v>
      </c>
      <c r="K132" s="47"/>
      <c r="L132" s="47">
        <v>8000</v>
      </c>
      <c r="M132" s="48"/>
      <c r="N132" s="270">
        <f t="shared" si="92"/>
        <v>600000000</v>
      </c>
      <c r="O132" s="270"/>
      <c r="P132" s="271">
        <f>O132+(N132/$K$2)</f>
        <v>1455604.075691412</v>
      </c>
      <c r="Q132" s="137">
        <v>7000</v>
      </c>
      <c r="R132" s="79"/>
      <c r="S132" s="272">
        <f t="shared" si="65"/>
        <v>525000000</v>
      </c>
      <c r="T132" s="272">
        <f t="shared" si="53"/>
        <v>0</v>
      </c>
      <c r="U132" s="397">
        <f t="shared" si="90"/>
        <v>1273653.5662299856</v>
      </c>
      <c r="V132" s="409"/>
    </row>
    <row r="133" spans="2:22" ht="18.600000000000001" customHeight="1" x14ac:dyDescent="0.25">
      <c r="B133" s="430" t="s">
        <v>219</v>
      </c>
      <c r="C133" s="42" t="s">
        <v>220</v>
      </c>
      <c r="D133" s="53" t="s">
        <v>177</v>
      </c>
      <c r="E133" s="44">
        <v>75000</v>
      </c>
      <c r="F133" s="273">
        <v>15000</v>
      </c>
      <c r="G133" s="274">
        <v>100</v>
      </c>
      <c r="H133" s="46">
        <f>E133*F133</f>
        <v>1125000000</v>
      </c>
      <c r="I133" s="46">
        <f>G133*E133</f>
        <v>7500000</v>
      </c>
      <c r="J133" s="269">
        <f t="shared" si="87"/>
        <v>10229257.641921397</v>
      </c>
      <c r="K133" s="47"/>
      <c r="L133" s="47">
        <v>6000</v>
      </c>
      <c r="M133" s="48">
        <v>25</v>
      </c>
      <c r="N133" s="270">
        <f t="shared" si="92"/>
        <v>450000000</v>
      </c>
      <c r="O133" s="270">
        <f t="shared" si="92"/>
        <v>1875000</v>
      </c>
      <c r="P133" s="271">
        <f>O133+(N133/$K$2)</f>
        <v>2966703.0567685589</v>
      </c>
      <c r="Q133" s="485">
        <v>6000</v>
      </c>
      <c r="R133" s="487">
        <v>25</v>
      </c>
      <c r="S133" s="276">
        <f t="shared" ref="S133:T133" si="93">$E133*Q133</f>
        <v>450000000</v>
      </c>
      <c r="T133" s="276">
        <f t="shared" si="93"/>
        <v>1875000</v>
      </c>
      <c r="U133" s="398">
        <f t="shared" si="90"/>
        <v>2966703.0567685589</v>
      </c>
      <c r="V133" s="408" t="s">
        <v>668</v>
      </c>
    </row>
    <row r="134" spans="2:22" ht="11.25" x14ac:dyDescent="0.25">
      <c r="B134" s="430" t="s">
        <v>221</v>
      </c>
      <c r="C134" s="123" t="s">
        <v>222</v>
      </c>
      <c r="D134" s="120"/>
      <c r="E134" s="44"/>
      <c r="F134" s="273"/>
      <c r="G134" s="274"/>
      <c r="H134" s="46"/>
      <c r="I134" s="46"/>
      <c r="J134" s="269">
        <f t="shared" si="87"/>
        <v>0</v>
      </c>
      <c r="K134" s="47"/>
      <c r="L134" s="47"/>
      <c r="M134" s="48"/>
      <c r="N134" s="302"/>
      <c r="O134" s="302"/>
      <c r="P134" s="303"/>
      <c r="Q134" s="137"/>
      <c r="R134" s="79"/>
      <c r="S134" s="272"/>
      <c r="T134" s="272"/>
      <c r="U134" s="398"/>
      <c r="V134" s="409"/>
    </row>
    <row r="135" spans="2:22" ht="11.25" x14ac:dyDescent="0.25">
      <c r="B135" s="430" t="s">
        <v>223</v>
      </c>
      <c r="C135" s="42" t="s">
        <v>224</v>
      </c>
      <c r="D135" s="53" t="s">
        <v>177</v>
      </c>
      <c r="E135" s="44">
        <v>15000</v>
      </c>
      <c r="F135" s="273">
        <v>1500</v>
      </c>
      <c r="G135" s="274"/>
      <c r="H135" s="46">
        <f>E135*F135</f>
        <v>22500000</v>
      </c>
      <c r="I135" s="46">
        <f>E135*G135</f>
        <v>0</v>
      </c>
      <c r="J135" s="269">
        <f t="shared" si="87"/>
        <v>54585.152838427952</v>
      </c>
      <c r="K135" s="47"/>
      <c r="L135" s="47">
        <v>1100</v>
      </c>
      <c r="M135" s="48"/>
      <c r="N135" s="270">
        <f t="shared" ref="N135:O139" si="94">$E135*L135</f>
        <v>16500000</v>
      </c>
      <c r="O135" s="270">
        <f t="shared" si="94"/>
        <v>0</v>
      </c>
      <c r="P135" s="271">
        <f>O135+(N135/$K$2)</f>
        <v>40029.112081513827</v>
      </c>
      <c r="Q135" s="137">
        <v>900</v>
      </c>
      <c r="R135" s="79"/>
      <c r="S135" s="272">
        <f t="shared" si="65"/>
        <v>13500000</v>
      </c>
      <c r="T135" s="272">
        <f t="shared" si="53"/>
        <v>0</v>
      </c>
      <c r="U135" s="399">
        <f t="shared" si="90"/>
        <v>32751.091703056769</v>
      </c>
      <c r="V135" s="409"/>
    </row>
    <row r="136" spans="2:22" ht="11.25" x14ac:dyDescent="0.25">
      <c r="B136" s="430" t="s">
        <v>225</v>
      </c>
      <c r="C136" s="42" t="s">
        <v>226</v>
      </c>
      <c r="D136" s="53" t="s">
        <v>177</v>
      </c>
      <c r="E136" s="44">
        <v>15000</v>
      </c>
      <c r="F136" s="273">
        <v>1500</v>
      </c>
      <c r="G136" s="274"/>
      <c r="H136" s="46">
        <f>E136*F136</f>
        <v>22500000</v>
      </c>
      <c r="I136" s="46">
        <f>E136*G136</f>
        <v>0</v>
      </c>
      <c r="J136" s="269">
        <f t="shared" si="87"/>
        <v>54585.152838427952</v>
      </c>
      <c r="K136" s="47"/>
      <c r="L136" s="47">
        <v>1100</v>
      </c>
      <c r="M136" s="48"/>
      <c r="N136" s="270">
        <f t="shared" si="94"/>
        <v>16500000</v>
      </c>
      <c r="O136" s="270">
        <f t="shared" si="94"/>
        <v>0</v>
      </c>
      <c r="P136" s="271">
        <f>O136+(N136/$K$2)</f>
        <v>40029.112081513827</v>
      </c>
      <c r="Q136" s="137">
        <v>900</v>
      </c>
      <c r="R136" s="79"/>
      <c r="S136" s="272">
        <f t="shared" si="65"/>
        <v>13500000</v>
      </c>
      <c r="T136" s="272">
        <f t="shared" si="53"/>
        <v>0</v>
      </c>
      <c r="U136" s="399">
        <f t="shared" si="90"/>
        <v>32751.091703056769</v>
      </c>
      <c r="V136" s="409"/>
    </row>
    <row r="137" spans="2:22" ht="11.25" x14ac:dyDescent="0.25">
      <c r="B137" s="430" t="s">
        <v>227</v>
      </c>
      <c r="C137" s="42" t="s">
        <v>228</v>
      </c>
      <c r="D137" s="53" t="s">
        <v>177</v>
      </c>
      <c r="E137" s="44">
        <v>15000</v>
      </c>
      <c r="F137" s="273">
        <v>1500</v>
      </c>
      <c r="G137" s="274"/>
      <c r="H137" s="46">
        <f>E137*F137</f>
        <v>22500000</v>
      </c>
      <c r="I137" s="46">
        <f>E137*G137</f>
        <v>0</v>
      </c>
      <c r="J137" s="269">
        <f t="shared" si="87"/>
        <v>54585.152838427952</v>
      </c>
      <c r="K137" s="47"/>
      <c r="L137" s="47">
        <v>1100</v>
      </c>
      <c r="M137" s="48"/>
      <c r="N137" s="270">
        <f t="shared" si="94"/>
        <v>16500000</v>
      </c>
      <c r="O137" s="270">
        <f t="shared" si="94"/>
        <v>0</v>
      </c>
      <c r="P137" s="271">
        <f>O137+(N137/$K$2)</f>
        <v>40029.112081513827</v>
      </c>
      <c r="Q137" s="137">
        <v>900</v>
      </c>
      <c r="R137" s="79"/>
      <c r="S137" s="272">
        <f t="shared" si="65"/>
        <v>13500000</v>
      </c>
      <c r="T137" s="272">
        <f t="shared" si="53"/>
        <v>0</v>
      </c>
      <c r="U137" s="399">
        <f t="shared" si="90"/>
        <v>32751.091703056769</v>
      </c>
      <c r="V137" s="409"/>
    </row>
    <row r="138" spans="2:22" ht="11.25" x14ac:dyDescent="0.25">
      <c r="B138" s="430" t="s">
        <v>229</v>
      </c>
      <c r="C138" s="42" t="s">
        <v>230</v>
      </c>
      <c r="D138" s="53" t="s">
        <v>177</v>
      </c>
      <c r="E138" s="44">
        <v>15000</v>
      </c>
      <c r="F138" s="273">
        <v>1500</v>
      </c>
      <c r="G138" s="274"/>
      <c r="H138" s="46">
        <f>E138*F138</f>
        <v>22500000</v>
      </c>
      <c r="I138" s="46">
        <f>E138*G138</f>
        <v>0</v>
      </c>
      <c r="J138" s="269">
        <f t="shared" si="87"/>
        <v>54585.152838427952</v>
      </c>
      <c r="K138" s="47"/>
      <c r="L138" s="47">
        <v>1100</v>
      </c>
      <c r="M138" s="48"/>
      <c r="N138" s="270">
        <f t="shared" si="94"/>
        <v>16500000</v>
      </c>
      <c r="O138" s="270">
        <f t="shared" si="94"/>
        <v>0</v>
      </c>
      <c r="P138" s="271">
        <f>O138+(N138/$K$2)</f>
        <v>40029.112081513827</v>
      </c>
      <c r="Q138" s="137">
        <v>900</v>
      </c>
      <c r="R138" s="79"/>
      <c r="S138" s="272">
        <f t="shared" si="65"/>
        <v>13500000</v>
      </c>
      <c r="T138" s="272">
        <f t="shared" si="53"/>
        <v>0</v>
      </c>
      <c r="U138" s="399">
        <f t="shared" si="90"/>
        <v>32751.091703056769</v>
      </c>
      <c r="V138" s="409"/>
    </row>
    <row r="139" spans="2:22" ht="22.5" x14ac:dyDescent="0.25">
      <c r="B139" s="430" t="s">
        <v>231</v>
      </c>
      <c r="C139" s="42" t="s">
        <v>232</v>
      </c>
      <c r="D139" s="53" t="s">
        <v>233</v>
      </c>
      <c r="E139" s="44">
        <v>15000</v>
      </c>
      <c r="F139" s="273">
        <v>18000</v>
      </c>
      <c r="G139" s="274"/>
      <c r="H139" s="46">
        <f>E139*F139</f>
        <v>270000000</v>
      </c>
      <c r="I139" s="46">
        <f>E139*G139</f>
        <v>0</v>
      </c>
      <c r="J139" s="269">
        <f t="shared" si="87"/>
        <v>655021.83406113542</v>
      </c>
      <c r="K139" s="47"/>
      <c r="L139" s="47">
        <v>1200</v>
      </c>
      <c r="M139" s="48"/>
      <c r="N139" s="270">
        <f t="shared" si="94"/>
        <v>18000000</v>
      </c>
      <c r="O139" s="270">
        <f t="shared" si="94"/>
        <v>0</v>
      </c>
      <c r="P139" s="271">
        <f>O139+(N139/$K$2)</f>
        <v>43668.122270742359</v>
      </c>
      <c r="Q139" s="137">
        <v>900</v>
      </c>
      <c r="R139" s="79"/>
      <c r="S139" s="272">
        <f t="shared" si="65"/>
        <v>13500000</v>
      </c>
      <c r="T139" s="272">
        <f t="shared" si="53"/>
        <v>0</v>
      </c>
      <c r="U139" s="397">
        <f t="shared" si="90"/>
        <v>32751.091703056769</v>
      </c>
      <c r="V139" s="409"/>
    </row>
    <row r="140" spans="2:22" ht="11.25" x14ac:dyDescent="0.25">
      <c r="B140" s="430" t="s">
        <v>234</v>
      </c>
      <c r="C140" s="123" t="s">
        <v>235</v>
      </c>
      <c r="D140" s="120"/>
      <c r="E140" s="44"/>
      <c r="F140" s="273"/>
      <c r="G140" s="274"/>
      <c r="H140" s="46"/>
      <c r="I140" s="46"/>
      <c r="J140" s="269">
        <f t="shared" si="87"/>
        <v>0</v>
      </c>
      <c r="K140" s="47"/>
      <c r="L140" s="47"/>
      <c r="M140" s="48"/>
      <c r="N140" s="302"/>
      <c r="O140" s="302"/>
      <c r="P140" s="303"/>
      <c r="Q140" s="275"/>
      <c r="R140" s="88"/>
      <c r="S140" s="276"/>
      <c r="T140" s="276"/>
      <c r="U140" s="398"/>
      <c r="V140" s="409"/>
    </row>
    <row r="141" spans="2:22" ht="33.75" x14ac:dyDescent="0.25">
      <c r="B141" s="430" t="s">
        <v>236</v>
      </c>
      <c r="C141" s="42" t="s">
        <v>237</v>
      </c>
      <c r="D141" s="53" t="s">
        <v>177</v>
      </c>
      <c r="E141" s="44">
        <v>20000</v>
      </c>
      <c r="F141" s="273">
        <v>17000</v>
      </c>
      <c r="G141" s="274">
        <v>10</v>
      </c>
      <c r="H141" s="46">
        <f>E141*F141</f>
        <v>340000000</v>
      </c>
      <c r="I141" s="46">
        <f>E141*G141</f>
        <v>200000</v>
      </c>
      <c r="J141" s="269">
        <f t="shared" si="87"/>
        <v>1024842.3095584668</v>
      </c>
      <c r="K141" s="47"/>
      <c r="L141" s="47">
        <v>11000</v>
      </c>
      <c r="M141" s="48">
        <v>10</v>
      </c>
      <c r="N141" s="270">
        <f t="shared" ref="N141:O141" si="95">$E141*L141</f>
        <v>220000000</v>
      </c>
      <c r="O141" s="270">
        <f t="shared" si="95"/>
        <v>200000</v>
      </c>
      <c r="P141" s="271">
        <f>O141+(N141/$K$2)</f>
        <v>733721.4944201844</v>
      </c>
      <c r="Q141" s="137">
        <v>10000</v>
      </c>
      <c r="R141" s="88">
        <v>0</v>
      </c>
      <c r="S141" s="272">
        <f t="shared" si="65"/>
        <v>200000000</v>
      </c>
      <c r="T141" s="272">
        <f t="shared" si="53"/>
        <v>0</v>
      </c>
      <c r="U141" s="397">
        <f t="shared" si="90"/>
        <v>485201.35856380401</v>
      </c>
      <c r="V141" s="409"/>
    </row>
    <row r="142" spans="2:22" ht="11.25" x14ac:dyDescent="0.25">
      <c r="B142" s="430" t="s">
        <v>238</v>
      </c>
      <c r="C142" s="123" t="s">
        <v>239</v>
      </c>
      <c r="D142" s="120"/>
      <c r="E142" s="44"/>
      <c r="F142" s="273"/>
      <c r="G142" s="274"/>
      <c r="H142" s="46"/>
      <c r="I142" s="46"/>
      <c r="J142" s="269">
        <f t="shared" si="87"/>
        <v>0</v>
      </c>
      <c r="K142" s="47"/>
      <c r="L142" s="47"/>
      <c r="M142" s="48"/>
      <c r="N142" s="302"/>
      <c r="O142" s="302"/>
      <c r="P142" s="303"/>
      <c r="Q142" s="275"/>
      <c r="R142" s="88"/>
      <c r="S142" s="276"/>
      <c r="T142" s="276"/>
      <c r="U142" s="398"/>
      <c r="V142" s="409"/>
    </row>
    <row r="143" spans="2:22" ht="22.5" x14ac:dyDescent="0.25">
      <c r="B143" s="430" t="s">
        <v>240</v>
      </c>
      <c r="C143" s="42" t="s">
        <v>208</v>
      </c>
      <c r="D143" s="53" t="s">
        <v>177</v>
      </c>
      <c r="E143" s="44">
        <v>20000</v>
      </c>
      <c r="F143" s="273">
        <v>16000</v>
      </c>
      <c r="G143" s="274">
        <v>10</v>
      </c>
      <c r="H143" s="46">
        <f>E143*F143</f>
        <v>320000000</v>
      </c>
      <c r="I143" s="46">
        <f>E143*G143</f>
        <v>200000</v>
      </c>
      <c r="J143" s="269">
        <f t="shared" si="87"/>
        <v>976322.17370208644</v>
      </c>
      <c r="K143" s="47"/>
      <c r="L143" s="47">
        <v>11000</v>
      </c>
      <c r="M143" s="48">
        <v>10</v>
      </c>
      <c r="N143" s="270">
        <f t="shared" ref="N143:O143" si="96">$E143*L143</f>
        <v>220000000</v>
      </c>
      <c r="O143" s="270">
        <f t="shared" si="96"/>
        <v>200000</v>
      </c>
      <c r="P143" s="271">
        <f>O143+(N143/$K$2)</f>
        <v>733721.4944201844</v>
      </c>
      <c r="Q143" s="137">
        <v>10000</v>
      </c>
      <c r="R143" s="88">
        <v>0</v>
      </c>
      <c r="S143" s="272">
        <f t="shared" si="65"/>
        <v>200000000</v>
      </c>
      <c r="T143" s="272">
        <f t="shared" si="53"/>
        <v>0</v>
      </c>
      <c r="U143" s="397">
        <f t="shared" si="90"/>
        <v>485201.35856380401</v>
      </c>
      <c r="V143" s="409"/>
    </row>
    <row r="144" spans="2:22" ht="11.25" x14ac:dyDescent="0.25">
      <c r="B144" s="430" t="s">
        <v>241</v>
      </c>
      <c r="C144" s="123" t="s">
        <v>242</v>
      </c>
      <c r="D144" s="120"/>
      <c r="E144" s="44"/>
      <c r="F144" s="273"/>
      <c r="G144" s="274"/>
      <c r="H144" s="46"/>
      <c r="I144" s="46"/>
      <c r="J144" s="269">
        <f t="shared" si="87"/>
        <v>0</v>
      </c>
      <c r="K144" s="47"/>
      <c r="L144" s="47"/>
      <c r="M144" s="48"/>
      <c r="N144" s="302"/>
      <c r="O144" s="302"/>
      <c r="P144" s="303"/>
      <c r="Q144" s="275"/>
      <c r="R144" s="88"/>
      <c r="S144" s="276">
        <f t="shared" si="65"/>
        <v>0</v>
      </c>
      <c r="T144" s="276">
        <f t="shared" si="53"/>
        <v>0</v>
      </c>
      <c r="U144" s="398">
        <f t="shared" si="90"/>
        <v>0</v>
      </c>
      <c r="V144" s="409"/>
    </row>
    <row r="145" spans="2:22" ht="45" x14ac:dyDescent="0.25">
      <c r="B145" s="430" t="s">
        <v>243</v>
      </c>
      <c r="C145" s="42" t="s">
        <v>212</v>
      </c>
      <c r="D145" s="53" t="s">
        <v>177</v>
      </c>
      <c r="E145" s="44">
        <v>20000</v>
      </c>
      <c r="F145" s="273">
        <v>17000</v>
      </c>
      <c r="G145" s="274">
        <v>10</v>
      </c>
      <c r="H145" s="46">
        <f>E145*F145</f>
        <v>340000000</v>
      </c>
      <c r="I145" s="46">
        <f>E145*G145</f>
        <v>200000</v>
      </c>
      <c r="J145" s="269">
        <f t="shared" si="87"/>
        <v>1024842.3095584668</v>
      </c>
      <c r="K145" s="47"/>
      <c r="L145" s="47">
        <v>11000</v>
      </c>
      <c r="M145" s="48">
        <v>8</v>
      </c>
      <c r="N145" s="270">
        <f t="shared" ref="N145:O145" si="97">$E145*L145</f>
        <v>220000000</v>
      </c>
      <c r="O145" s="270">
        <f t="shared" si="97"/>
        <v>160000</v>
      </c>
      <c r="P145" s="271">
        <f>O145+(N145/$K$2)</f>
        <v>693721.4944201844</v>
      </c>
      <c r="Q145" s="137">
        <v>11000</v>
      </c>
      <c r="R145" s="88">
        <v>0</v>
      </c>
      <c r="S145" s="272">
        <f t="shared" si="65"/>
        <v>220000000</v>
      </c>
      <c r="T145" s="272">
        <f t="shared" si="53"/>
        <v>0</v>
      </c>
      <c r="U145" s="397">
        <f t="shared" si="90"/>
        <v>533721.4944201844</v>
      </c>
      <c r="V145" s="409"/>
    </row>
    <row r="146" spans="2:22" ht="11.25" x14ac:dyDescent="0.25">
      <c r="B146" s="430" t="s">
        <v>244</v>
      </c>
      <c r="C146" s="123" t="s">
        <v>245</v>
      </c>
      <c r="D146" s="120"/>
      <c r="E146" s="44"/>
      <c r="F146" s="273"/>
      <c r="G146" s="274"/>
      <c r="H146" s="46"/>
      <c r="I146" s="46"/>
      <c r="J146" s="269">
        <f t="shared" si="87"/>
        <v>0</v>
      </c>
      <c r="K146" s="47"/>
      <c r="L146" s="47"/>
      <c r="M146" s="48"/>
      <c r="N146" s="302"/>
      <c r="O146" s="302"/>
      <c r="P146" s="303"/>
      <c r="Q146" s="275"/>
      <c r="R146" s="88"/>
      <c r="S146" s="276">
        <f t="shared" si="65"/>
        <v>0</v>
      </c>
      <c r="T146" s="276">
        <f t="shared" si="53"/>
        <v>0</v>
      </c>
      <c r="U146" s="398">
        <f t="shared" si="90"/>
        <v>0</v>
      </c>
      <c r="V146" s="409"/>
    </row>
    <row r="147" spans="2:22" ht="22.5" x14ac:dyDescent="0.25">
      <c r="B147" s="430" t="s">
        <v>246</v>
      </c>
      <c r="C147" s="42" t="s">
        <v>247</v>
      </c>
      <c r="D147" s="53" t="s">
        <v>177</v>
      </c>
      <c r="E147" s="44">
        <v>20000</v>
      </c>
      <c r="F147" s="273">
        <v>18000</v>
      </c>
      <c r="G147" s="274">
        <v>20</v>
      </c>
      <c r="H147" s="46">
        <f>E147*F147</f>
        <v>360000000</v>
      </c>
      <c r="I147" s="46">
        <f>E147*G147</f>
        <v>400000</v>
      </c>
      <c r="J147" s="269">
        <f t="shared" si="87"/>
        <v>1273362.4454148472</v>
      </c>
      <c r="K147" s="47"/>
      <c r="L147" s="47">
        <v>16000</v>
      </c>
      <c r="M147" s="48">
        <v>10</v>
      </c>
      <c r="N147" s="270">
        <f t="shared" ref="N147:O148" si="98">$E147*L147</f>
        <v>320000000</v>
      </c>
      <c r="O147" s="270">
        <f t="shared" si="98"/>
        <v>200000</v>
      </c>
      <c r="P147" s="271">
        <f>O147+(N147/$K$2)</f>
        <v>976322.17370208644</v>
      </c>
      <c r="Q147" s="137">
        <v>25000</v>
      </c>
      <c r="R147" s="88">
        <v>0</v>
      </c>
      <c r="S147" s="272">
        <f t="shared" si="65"/>
        <v>500000000</v>
      </c>
      <c r="T147" s="272">
        <f t="shared" ref="T147:T194" si="99">R147*E147</f>
        <v>0</v>
      </c>
      <c r="U147" s="399">
        <f t="shared" si="90"/>
        <v>1213003.3964095099</v>
      </c>
      <c r="V147" s="409"/>
    </row>
    <row r="148" spans="2:22" ht="11.25" x14ac:dyDescent="0.25">
      <c r="B148" s="430" t="s">
        <v>248</v>
      </c>
      <c r="C148" s="42" t="s">
        <v>218</v>
      </c>
      <c r="D148" s="53" t="s">
        <v>177</v>
      </c>
      <c r="E148" s="44">
        <v>40000</v>
      </c>
      <c r="F148" s="273">
        <v>16000</v>
      </c>
      <c r="G148" s="274"/>
      <c r="H148" s="46">
        <f>E148*F148</f>
        <v>640000000</v>
      </c>
      <c r="I148" s="46">
        <f>E148*G148</f>
        <v>0</v>
      </c>
      <c r="J148" s="269">
        <f t="shared" si="87"/>
        <v>1552644.3474041729</v>
      </c>
      <c r="K148" s="47"/>
      <c r="L148" s="47">
        <v>11050</v>
      </c>
      <c r="M148" s="48"/>
      <c r="N148" s="270">
        <f t="shared" si="98"/>
        <v>442000000</v>
      </c>
      <c r="O148" s="270">
        <f t="shared" si="98"/>
        <v>0</v>
      </c>
      <c r="P148" s="271">
        <f>O148+(N148/$K$2)</f>
        <v>1072295.0024260068</v>
      </c>
      <c r="Q148" s="137">
        <v>9000</v>
      </c>
      <c r="R148" s="79"/>
      <c r="S148" s="272">
        <f t="shared" si="65"/>
        <v>360000000</v>
      </c>
      <c r="T148" s="272">
        <f t="shared" si="99"/>
        <v>0</v>
      </c>
      <c r="U148" s="397">
        <f t="shared" si="90"/>
        <v>873362.44541484723</v>
      </c>
      <c r="V148" s="409"/>
    </row>
    <row r="149" spans="2:22" ht="11.25" x14ac:dyDescent="0.25">
      <c r="B149" s="430" t="s">
        <v>249</v>
      </c>
      <c r="C149" s="42" t="s">
        <v>250</v>
      </c>
      <c r="D149" s="53"/>
      <c r="E149" s="44"/>
      <c r="F149" s="273"/>
      <c r="G149" s="274"/>
      <c r="H149" s="46"/>
      <c r="I149" s="46"/>
      <c r="J149" s="269">
        <f t="shared" si="87"/>
        <v>0</v>
      </c>
      <c r="K149" s="47"/>
      <c r="L149" s="47"/>
      <c r="M149" s="48"/>
      <c r="N149" s="302"/>
      <c r="O149" s="302"/>
      <c r="P149" s="303"/>
      <c r="Q149" s="275"/>
      <c r="R149" s="88"/>
      <c r="S149" s="276">
        <f t="shared" si="65"/>
        <v>0</v>
      </c>
      <c r="T149" s="276">
        <f t="shared" si="99"/>
        <v>0</v>
      </c>
      <c r="U149" s="398">
        <f t="shared" si="90"/>
        <v>0</v>
      </c>
      <c r="V149" s="409"/>
    </row>
    <row r="150" spans="2:22" ht="11.25" x14ac:dyDescent="0.25">
      <c r="B150" s="430" t="s">
        <v>251</v>
      </c>
      <c r="C150" s="42" t="s">
        <v>252</v>
      </c>
      <c r="D150" s="53" t="s">
        <v>177</v>
      </c>
      <c r="E150" s="44">
        <v>2000</v>
      </c>
      <c r="F150" s="273">
        <v>1500</v>
      </c>
      <c r="G150" s="274"/>
      <c r="H150" s="46">
        <f t="shared" ref="H150:H158" si="100">E150*F150</f>
        <v>3000000</v>
      </c>
      <c r="I150" s="46">
        <f t="shared" ref="I150:I158" si="101">E150*G150</f>
        <v>0</v>
      </c>
      <c r="J150" s="269">
        <f t="shared" si="87"/>
        <v>7278.0203784570595</v>
      </c>
      <c r="K150" s="47"/>
      <c r="L150" s="47">
        <v>1000</v>
      </c>
      <c r="M150" s="48"/>
      <c r="N150" s="270">
        <f t="shared" ref="N150:O158" si="102">$E150*L150</f>
        <v>2000000</v>
      </c>
      <c r="O150" s="270">
        <f t="shared" si="102"/>
        <v>0</v>
      </c>
      <c r="P150" s="271">
        <f t="shared" ref="P150:P158" si="103">O150+(N150/$K$2)</f>
        <v>4852.0135856380402</v>
      </c>
      <c r="Q150" s="137">
        <v>550</v>
      </c>
      <c r="R150" s="79"/>
      <c r="S150" s="272">
        <f t="shared" si="65"/>
        <v>1100000</v>
      </c>
      <c r="T150" s="272"/>
      <c r="U150" s="399">
        <f t="shared" si="90"/>
        <v>2668.6074721009218</v>
      </c>
      <c r="V150" s="409"/>
    </row>
    <row r="151" spans="2:22" ht="11.25" x14ac:dyDescent="0.25">
      <c r="B151" s="430" t="s">
        <v>253</v>
      </c>
      <c r="C151" s="49" t="s">
        <v>254</v>
      </c>
      <c r="D151" s="53" t="s">
        <v>177</v>
      </c>
      <c r="E151" s="44">
        <v>2000</v>
      </c>
      <c r="F151" s="273">
        <v>1500</v>
      </c>
      <c r="G151" s="274"/>
      <c r="H151" s="46">
        <f t="shared" si="100"/>
        <v>3000000</v>
      </c>
      <c r="I151" s="46">
        <f t="shared" si="101"/>
        <v>0</v>
      </c>
      <c r="J151" s="269">
        <f t="shared" si="87"/>
        <v>7278.0203784570595</v>
      </c>
      <c r="K151" s="47"/>
      <c r="L151" s="47">
        <v>1050</v>
      </c>
      <c r="M151" s="48"/>
      <c r="N151" s="270">
        <f t="shared" si="102"/>
        <v>2100000</v>
      </c>
      <c r="O151" s="270">
        <f t="shared" si="102"/>
        <v>0</v>
      </c>
      <c r="P151" s="271">
        <f t="shared" si="103"/>
        <v>5094.6142649199419</v>
      </c>
      <c r="Q151" s="137">
        <v>550</v>
      </c>
      <c r="R151" s="79"/>
      <c r="S151" s="272">
        <f t="shared" si="65"/>
        <v>1100000</v>
      </c>
      <c r="T151" s="272"/>
      <c r="U151" s="399">
        <f t="shared" si="90"/>
        <v>2668.6074721009218</v>
      </c>
      <c r="V151" s="409"/>
    </row>
    <row r="152" spans="2:22" ht="11.25" x14ac:dyDescent="0.25">
      <c r="B152" s="430" t="s">
        <v>255</v>
      </c>
      <c r="C152" s="49" t="s">
        <v>256</v>
      </c>
      <c r="D152" s="53" t="s">
        <v>177</v>
      </c>
      <c r="E152" s="44">
        <v>2000</v>
      </c>
      <c r="F152" s="273">
        <v>1500</v>
      </c>
      <c r="G152" s="274"/>
      <c r="H152" s="46">
        <f t="shared" si="100"/>
        <v>3000000</v>
      </c>
      <c r="I152" s="46">
        <f t="shared" si="101"/>
        <v>0</v>
      </c>
      <c r="J152" s="269">
        <f t="shared" si="87"/>
        <v>7278.0203784570595</v>
      </c>
      <c r="K152" s="47"/>
      <c r="L152" s="47">
        <v>1200</v>
      </c>
      <c r="M152" s="48"/>
      <c r="N152" s="270">
        <f t="shared" si="102"/>
        <v>2400000</v>
      </c>
      <c r="O152" s="270">
        <f t="shared" si="102"/>
        <v>0</v>
      </c>
      <c r="P152" s="271">
        <f t="shared" si="103"/>
        <v>5822.4163027656477</v>
      </c>
      <c r="Q152" s="137">
        <v>550</v>
      </c>
      <c r="R152" s="79"/>
      <c r="S152" s="272">
        <f t="shared" si="65"/>
        <v>1100000</v>
      </c>
      <c r="T152" s="272"/>
      <c r="U152" s="399">
        <f t="shared" si="90"/>
        <v>2668.6074721009218</v>
      </c>
      <c r="V152" s="409"/>
    </row>
    <row r="153" spans="2:22" ht="11.25" x14ac:dyDescent="0.25">
      <c r="B153" s="430" t="s">
        <v>257</v>
      </c>
      <c r="C153" s="49" t="s">
        <v>258</v>
      </c>
      <c r="D153" s="53" t="s">
        <v>177</v>
      </c>
      <c r="E153" s="44">
        <v>2000</v>
      </c>
      <c r="F153" s="273">
        <v>1500</v>
      </c>
      <c r="G153" s="274"/>
      <c r="H153" s="46">
        <f t="shared" si="100"/>
        <v>3000000</v>
      </c>
      <c r="I153" s="46">
        <f t="shared" si="101"/>
        <v>0</v>
      </c>
      <c r="J153" s="269">
        <f t="shared" si="87"/>
        <v>7278.0203784570595</v>
      </c>
      <c r="K153" s="47"/>
      <c r="L153" s="47">
        <v>1200</v>
      </c>
      <c r="M153" s="48"/>
      <c r="N153" s="270">
        <f t="shared" si="102"/>
        <v>2400000</v>
      </c>
      <c r="O153" s="270">
        <f t="shared" si="102"/>
        <v>0</v>
      </c>
      <c r="P153" s="271">
        <f t="shared" si="103"/>
        <v>5822.4163027656477</v>
      </c>
      <c r="Q153" s="137">
        <v>550</v>
      </c>
      <c r="R153" s="79"/>
      <c r="S153" s="272">
        <f t="shared" si="65"/>
        <v>1100000</v>
      </c>
      <c r="T153" s="272"/>
      <c r="U153" s="399">
        <f t="shared" si="90"/>
        <v>2668.6074721009218</v>
      </c>
      <c r="V153" s="409"/>
    </row>
    <row r="154" spans="2:22" ht="11.25" x14ac:dyDescent="0.25">
      <c r="B154" s="430" t="s">
        <v>259</v>
      </c>
      <c r="C154" s="42" t="s">
        <v>260</v>
      </c>
      <c r="D154" s="53" t="s">
        <v>177</v>
      </c>
      <c r="E154" s="44">
        <v>2000</v>
      </c>
      <c r="F154" s="273">
        <v>1500</v>
      </c>
      <c r="G154" s="274"/>
      <c r="H154" s="46">
        <f t="shared" si="100"/>
        <v>3000000</v>
      </c>
      <c r="I154" s="46">
        <f t="shared" si="101"/>
        <v>0</v>
      </c>
      <c r="J154" s="269">
        <f t="shared" si="87"/>
        <v>7278.0203784570595</v>
      </c>
      <c r="K154" s="47"/>
      <c r="L154" s="47">
        <v>1200</v>
      </c>
      <c r="M154" s="48"/>
      <c r="N154" s="270">
        <f t="shared" si="102"/>
        <v>2400000</v>
      </c>
      <c r="O154" s="270">
        <f t="shared" si="102"/>
        <v>0</v>
      </c>
      <c r="P154" s="271">
        <f t="shared" si="103"/>
        <v>5822.4163027656477</v>
      </c>
      <c r="Q154" s="137">
        <v>550</v>
      </c>
      <c r="R154" s="79"/>
      <c r="S154" s="272">
        <f t="shared" si="65"/>
        <v>1100000</v>
      </c>
      <c r="T154" s="272"/>
      <c r="U154" s="399">
        <f t="shared" si="90"/>
        <v>2668.6074721009218</v>
      </c>
      <c r="V154" s="409"/>
    </row>
    <row r="155" spans="2:22" ht="11.25" x14ac:dyDescent="0.25">
      <c r="B155" s="430" t="s">
        <v>261</v>
      </c>
      <c r="C155" s="52" t="s">
        <v>262</v>
      </c>
      <c r="D155" s="53" t="s">
        <v>177</v>
      </c>
      <c r="E155" s="44">
        <v>2000</v>
      </c>
      <c r="F155" s="273">
        <v>1500</v>
      </c>
      <c r="G155" s="274"/>
      <c r="H155" s="46">
        <f t="shared" si="100"/>
        <v>3000000</v>
      </c>
      <c r="I155" s="46">
        <f t="shared" si="101"/>
        <v>0</v>
      </c>
      <c r="J155" s="269">
        <f t="shared" si="87"/>
        <v>7278.0203784570595</v>
      </c>
      <c r="K155" s="47"/>
      <c r="L155" s="47">
        <v>1150</v>
      </c>
      <c r="M155" s="48"/>
      <c r="N155" s="270">
        <f t="shared" si="102"/>
        <v>2300000</v>
      </c>
      <c r="O155" s="270">
        <f t="shared" si="102"/>
        <v>0</v>
      </c>
      <c r="P155" s="271">
        <f t="shared" si="103"/>
        <v>5579.8156234837461</v>
      </c>
      <c r="Q155" s="483">
        <v>1150</v>
      </c>
      <c r="R155" s="79"/>
      <c r="S155" s="272">
        <f t="shared" si="65"/>
        <v>2300000</v>
      </c>
      <c r="T155" s="272"/>
      <c r="U155" s="399">
        <f t="shared" si="90"/>
        <v>5579.8156234837461</v>
      </c>
      <c r="V155" s="409"/>
    </row>
    <row r="156" spans="2:22" ht="11.25" x14ac:dyDescent="0.25">
      <c r="B156" s="430" t="s">
        <v>263</v>
      </c>
      <c r="C156" s="52" t="s">
        <v>264</v>
      </c>
      <c r="D156" s="53" t="s">
        <v>177</v>
      </c>
      <c r="E156" s="44">
        <v>2000</v>
      </c>
      <c r="F156" s="273">
        <v>1500</v>
      </c>
      <c r="G156" s="274"/>
      <c r="H156" s="46">
        <f t="shared" si="100"/>
        <v>3000000</v>
      </c>
      <c r="I156" s="46">
        <f t="shared" si="101"/>
        <v>0</v>
      </c>
      <c r="J156" s="269">
        <f t="shared" si="87"/>
        <v>7278.0203784570595</v>
      </c>
      <c r="K156" s="47"/>
      <c r="L156" s="47">
        <v>1100</v>
      </c>
      <c r="M156" s="48"/>
      <c r="N156" s="270">
        <f t="shared" si="102"/>
        <v>2200000</v>
      </c>
      <c r="O156" s="270">
        <f t="shared" si="102"/>
        <v>0</v>
      </c>
      <c r="P156" s="271">
        <f t="shared" si="103"/>
        <v>5337.2149442018435</v>
      </c>
      <c r="Q156" s="483">
        <v>1100</v>
      </c>
      <c r="R156" s="79"/>
      <c r="S156" s="272">
        <f t="shared" si="65"/>
        <v>2200000</v>
      </c>
      <c r="T156" s="272"/>
      <c r="U156" s="399">
        <f t="shared" si="90"/>
        <v>5337.2149442018435</v>
      </c>
      <c r="V156" s="409"/>
    </row>
    <row r="157" spans="2:22" ht="11.25" x14ac:dyDescent="0.25">
      <c r="B157" s="430" t="s">
        <v>265</v>
      </c>
      <c r="C157" s="52" t="s">
        <v>266</v>
      </c>
      <c r="D157" s="53" t="s">
        <v>177</v>
      </c>
      <c r="E157" s="44">
        <v>2000</v>
      </c>
      <c r="F157" s="273">
        <v>1500</v>
      </c>
      <c r="G157" s="274"/>
      <c r="H157" s="46">
        <f t="shared" si="100"/>
        <v>3000000</v>
      </c>
      <c r="I157" s="46">
        <f t="shared" si="101"/>
        <v>0</v>
      </c>
      <c r="J157" s="269">
        <f t="shared" si="87"/>
        <v>7278.0203784570595</v>
      </c>
      <c r="K157" s="47"/>
      <c r="L157" s="47">
        <v>1200</v>
      </c>
      <c r="M157" s="48"/>
      <c r="N157" s="270">
        <f t="shared" si="102"/>
        <v>2400000</v>
      </c>
      <c r="O157" s="270">
        <f t="shared" si="102"/>
        <v>0</v>
      </c>
      <c r="P157" s="271">
        <f t="shared" si="103"/>
        <v>5822.4163027656477</v>
      </c>
      <c r="Q157" s="483">
        <v>1200</v>
      </c>
      <c r="R157" s="79"/>
      <c r="S157" s="272">
        <f t="shared" si="65"/>
        <v>2400000</v>
      </c>
      <c r="T157" s="272"/>
      <c r="U157" s="399">
        <f t="shared" si="90"/>
        <v>5822.4163027656477</v>
      </c>
      <c r="V157" s="409"/>
    </row>
    <row r="158" spans="2:22" ht="11.25" x14ac:dyDescent="0.25">
      <c r="B158" s="430" t="s">
        <v>267</v>
      </c>
      <c r="C158" s="52" t="s">
        <v>268</v>
      </c>
      <c r="D158" s="53" t="s">
        <v>177</v>
      </c>
      <c r="E158" s="44">
        <v>2000</v>
      </c>
      <c r="F158" s="273">
        <v>1500</v>
      </c>
      <c r="G158" s="274"/>
      <c r="H158" s="46">
        <f t="shared" si="100"/>
        <v>3000000</v>
      </c>
      <c r="I158" s="46">
        <f t="shared" si="101"/>
        <v>0</v>
      </c>
      <c r="J158" s="269">
        <f t="shared" si="87"/>
        <v>7278.0203784570595</v>
      </c>
      <c r="K158" s="47"/>
      <c r="L158" s="47">
        <v>1200</v>
      </c>
      <c r="M158" s="48"/>
      <c r="N158" s="270">
        <f t="shared" si="102"/>
        <v>2400000</v>
      </c>
      <c r="O158" s="270">
        <f t="shared" si="102"/>
        <v>0</v>
      </c>
      <c r="P158" s="271">
        <f t="shared" si="103"/>
        <v>5822.4163027656477</v>
      </c>
      <c r="Q158" s="483">
        <v>1200</v>
      </c>
      <c r="R158" s="79"/>
      <c r="S158" s="272">
        <f t="shared" ref="S158:S192" si="104">Q158*E158</f>
        <v>2400000</v>
      </c>
      <c r="T158" s="272"/>
      <c r="U158" s="397">
        <f t="shared" si="90"/>
        <v>5822.4163027656477</v>
      </c>
      <c r="V158" s="409"/>
    </row>
    <row r="159" spans="2:22" ht="11.25" x14ac:dyDescent="0.25">
      <c r="B159" s="430" t="s">
        <v>269</v>
      </c>
      <c r="C159" s="123" t="s">
        <v>270</v>
      </c>
      <c r="D159" s="53"/>
      <c r="E159" s="44"/>
      <c r="F159" s="273"/>
      <c r="G159" s="274"/>
      <c r="H159" s="46"/>
      <c r="I159" s="46"/>
      <c r="J159" s="269">
        <f t="shared" si="87"/>
        <v>0</v>
      </c>
      <c r="K159" s="47"/>
      <c r="L159" s="47"/>
      <c r="M159" s="48"/>
      <c r="N159" s="302"/>
      <c r="O159" s="302"/>
      <c r="P159" s="303"/>
      <c r="Q159" s="275"/>
      <c r="R159" s="88"/>
      <c r="S159" s="276">
        <f t="shared" si="104"/>
        <v>0</v>
      </c>
      <c r="T159" s="276"/>
      <c r="U159" s="398">
        <f t="shared" si="90"/>
        <v>0</v>
      </c>
      <c r="V159" s="409"/>
    </row>
    <row r="160" spans="2:22" ht="33.75" x14ac:dyDescent="0.25">
      <c r="B160" s="430" t="s">
        <v>271</v>
      </c>
      <c r="C160" s="52" t="s">
        <v>272</v>
      </c>
      <c r="D160" s="53" t="s">
        <v>177</v>
      </c>
      <c r="E160" s="44">
        <v>2000</v>
      </c>
      <c r="F160" s="273">
        <v>17998</v>
      </c>
      <c r="G160" s="274">
        <v>59</v>
      </c>
      <c r="H160" s="46">
        <f>E160*F160</f>
        <v>35996000</v>
      </c>
      <c r="I160" s="46">
        <f>E160*G160</f>
        <v>118000</v>
      </c>
      <c r="J160" s="269">
        <f t="shared" si="87"/>
        <v>205326.54051431344</v>
      </c>
      <c r="K160" s="47"/>
      <c r="L160" s="47">
        <v>12000</v>
      </c>
      <c r="M160" s="48">
        <v>32</v>
      </c>
      <c r="N160" s="270">
        <f t="shared" ref="N160:O164" si="105">$E160*L160</f>
        <v>24000000</v>
      </c>
      <c r="O160" s="270">
        <f t="shared" si="105"/>
        <v>64000</v>
      </c>
      <c r="P160" s="271">
        <f>O160+(N160/$K$2)</f>
        <v>122224.16302765647</v>
      </c>
      <c r="Q160" s="137">
        <v>1900</v>
      </c>
      <c r="R160" s="79">
        <v>65</v>
      </c>
      <c r="S160" s="272">
        <f t="shared" si="104"/>
        <v>3800000</v>
      </c>
      <c r="T160" s="272">
        <f t="shared" si="99"/>
        <v>130000</v>
      </c>
      <c r="U160" s="399">
        <f t="shared" si="90"/>
        <v>139218.82581271228</v>
      </c>
      <c r="V160" s="409"/>
    </row>
    <row r="161" spans="2:22" ht="33.75" x14ac:dyDescent="0.25">
      <c r="B161" s="430" t="s">
        <v>273</v>
      </c>
      <c r="C161" s="52" t="s">
        <v>274</v>
      </c>
      <c r="D161" s="53" t="s">
        <v>177</v>
      </c>
      <c r="E161" s="44">
        <v>3000</v>
      </c>
      <c r="F161" s="273">
        <v>13819</v>
      </c>
      <c r="G161" s="274">
        <v>45.31</v>
      </c>
      <c r="H161" s="46">
        <f>E161*F161</f>
        <v>41457000</v>
      </c>
      <c r="I161" s="46">
        <f>E161*G161</f>
        <v>135930</v>
      </c>
      <c r="J161" s="269">
        <f t="shared" si="87"/>
        <v>236504.96360989811</v>
      </c>
      <c r="K161" s="47"/>
      <c r="L161" s="47">
        <v>1100</v>
      </c>
      <c r="M161" s="48">
        <v>37</v>
      </c>
      <c r="N161" s="270">
        <f t="shared" si="105"/>
        <v>3300000</v>
      </c>
      <c r="O161" s="270">
        <f t="shared" si="105"/>
        <v>111000</v>
      </c>
      <c r="P161" s="271">
        <f>O161+(N161/$K$2)</f>
        <v>119005.82241630276</v>
      </c>
      <c r="Q161" s="137">
        <v>1900</v>
      </c>
      <c r="R161" s="79">
        <v>65</v>
      </c>
      <c r="S161" s="272">
        <f t="shared" si="104"/>
        <v>5700000</v>
      </c>
      <c r="T161" s="272">
        <f t="shared" si="99"/>
        <v>195000</v>
      </c>
      <c r="U161" s="399">
        <f t="shared" si="90"/>
        <v>208828.23871906841</v>
      </c>
      <c r="V161" s="409"/>
    </row>
    <row r="162" spans="2:22" ht="33.75" x14ac:dyDescent="0.25">
      <c r="B162" s="430" t="s">
        <v>275</v>
      </c>
      <c r="C162" s="52" t="s">
        <v>276</v>
      </c>
      <c r="D162" s="53"/>
      <c r="E162" s="44">
        <v>200</v>
      </c>
      <c r="F162" s="273">
        <v>19064.5</v>
      </c>
      <c r="G162" s="274">
        <v>62.5</v>
      </c>
      <c r="H162" s="46">
        <f>E162*F162</f>
        <v>3812900</v>
      </c>
      <c r="I162" s="46">
        <f>E162*G162</f>
        <v>12500</v>
      </c>
      <c r="J162" s="269">
        <f t="shared" si="87"/>
        <v>21750.121300339641</v>
      </c>
      <c r="K162" s="47"/>
      <c r="L162" s="47">
        <v>16000</v>
      </c>
      <c r="M162" s="48">
        <v>42</v>
      </c>
      <c r="N162" s="270">
        <f t="shared" si="105"/>
        <v>3200000</v>
      </c>
      <c r="O162" s="270">
        <f t="shared" si="105"/>
        <v>8400</v>
      </c>
      <c r="P162" s="271">
        <f>O162+(N162/$K$2)</f>
        <v>16163.221737020864</v>
      </c>
      <c r="Q162" s="137">
        <v>1900</v>
      </c>
      <c r="R162" s="79">
        <v>65</v>
      </c>
      <c r="S162" s="272">
        <f t="shared" si="104"/>
        <v>380000</v>
      </c>
      <c r="T162" s="272">
        <f t="shared" si="99"/>
        <v>13000</v>
      </c>
      <c r="U162" s="399">
        <f t="shared" si="90"/>
        <v>13921.882581271228</v>
      </c>
      <c r="V162" s="409"/>
    </row>
    <row r="163" spans="2:22" ht="33.75" x14ac:dyDescent="0.25">
      <c r="B163" s="430" t="s">
        <v>277</v>
      </c>
      <c r="C163" s="52" t="s">
        <v>278</v>
      </c>
      <c r="D163" s="53"/>
      <c r="E163" s="44">
        <v>200</v>
      </c>
      <c r="F163" s="273">
        <v>19064.5</v>
      </c>
      <c r="G163" s="274">
        <v>62.5</v>
      </c>
      <c r="H163" s="46">
        <f>E163*F163</f>
        <v>3812900</v>
      </c>
      <c r="I163" s="46">
        <f>E163*G163</f>
        <v>12500</v>
      </c>
      <c r="J163" s="269">
        <f t="shared" si="87"/>
        <v>21750.121300339641</v>
      </c>
      <c r="K163" s="47"/>
      <c r="L163" s="47">
        <v>15000</v>
      </c>
      <c r="M163" s="48">
        <v>48</v>
      </c>
      <c r="N163" s="270">
        <f t="shared" si="105"/>
        <v>3000000</v>
      </c>
      <c r="O163" s="270">
        <f t="shared" si="105"/>
        <v>9600</v>
      </c>
      <c r="P163" s="271">
        <f>O163+(N163/$K$2)</f>
        <v>16878.020378457059</v>
      </c>
      <c r="Q163" s="137">
        <v>1900</v>
      </c>
      <c r="R163" s="79">
        <v>65</v>
      </c>
      <c r="S163" s="272">
        <f t="shared" si="104"/>
        <v>380000</v>
      </c>
      <c r="T163" s="272">
        <f t="shared" si="99"/>
        <v>13000</v>
      </c>
      <c r="U163" s="399">
        <f t="shared" si="90"/>
        <v>13921.882581271228</v>
      </c>
      <c r="V163" s="409"/>
    </row>
    <row r="164" spans="2:22" ht="34.5" thickBot="1" x14ac:dyDescent="0.3">
      <c r="B164" s="54" t="s">
        <v>279</v>
      </c>
      <c r="C164" s="115" t="s">
        <v>280</v>
      </c>
      <c r="D164" s="83"/>
      <c r="E164" s="57">
        <v>200</v>
      </c>
      <c r="F164" s="289">
        <v>2577.5</v>
      </c>
      <c r="G164" s="290">
        <v>84.5</v>
      </c>
      <c r="H164" s="102">
        <f>E164*F164</f>
        <v>515500</v>
      </c>
      <c r="I164" s="102">
        <f>E164*G164</f>
        <v>16900</v>
      </c>
      <c r="J164" s="269">
        <f t="shared" si="87"/>
        <v>18150.606501698203</v>
      </c>
      <c r="K164" s="59"/>
      <c r="L164" s="59">
        <v>1500</v>
      </c>
      <c r="M164" s="60">
        <v>52.5</v>
      </c>
      <c r="N164" s="270">
        <f t="shared" si="105"/>
        <v>300000</v>
      </c>
      <c r="O164" s="270">
        <f t="shared" si="105"/>
        <v>10500</v>
      </c>
      <c r="P164" s="271">
        <f>O164+(N164/$K$2)</f>
        <v>11227.802037845706</v>
      </c>
      <c r="Q164" s="280">
        <v>1900</v>
      </c>
      <c r="R164" s="104">
        <v>65</v>
      </c>
      <c r="S164" s="281">
        <f t="shared" si="104"/>
        <v>380000</v>
      </c>
      <c r="T164" s="281">
        <f t="shared" si="99"/>
        <v>13000</v>
      </c>
      <c r="U164" s="400">
        <f t="shared" si="90"/>
        <v>13921.882581271228</v>
      </c>
      <c r="V164" s="409"/>
    </row>
    <row r="165" spans="2:22" ht="12" thickBot="1" x14ac:dyDescent="0.3">
      <c r="B165" s="447" t="s">
        <v>281</v>
      </c>
      <c r="C165" s="448"/>
      <c r="D165" s="173"/>
      <c r="E165" s="286"/>
      <c r="F165" s="65"/>
      <c r="G165" s="63"/>
      <c r="H165" s="63">
        <f>SUM(H125:H164)</f>
        <v>6787594300</v>
      </c>
      <c r="I165" s="63">
        <f t="shared" ref="I165:J165" si="106">SUM(I125:I164)</f>
        <v>10895830</v>
      </c>
      <c r="J165" s="64">
        <f t="shared" si="106"/>
        <v>27362579.878699645</v>
      </c>
      <c r="K165" s="65"/>
      <c r="L165" s="65"/>
      <c r="M165" s="63"/>
      <c r="N165" s="63">
        <f t="shared" ref="N165:P165" si="107">SUM(N125:N164)</f>
        <v>4285400000</v>
      </c>
      <c r="O165" s="63">
        <f t="shared" si="107"/>
        <v>3933500</v>
      </c>
      <c r="P165" s="67">
        <f t="shared" si="107"/>
        <v>14329909.509946631</v>
      </c>
      <c r="Q165" s="282"/>
      <c r="R165" s="256"/>
      <c r="S165" s="63">
        <f t="shared" ref="S165:U165" si="108">SUM(S125:S164)</f>
        <v>4717940000</v>
      </c>
      <c r="T165" s="63">
        <f t="shared" si="108"/>
        <v>2239000</v>
      </c>
      <c r="U165" s="67">
        <f t="shared" si="108"/>
        <v>13684754.488112569</v>
      </c>
      <c r="V165" s="409"/>
    </row>
    <row r="166" spans="2:22" ht="11.25" x14ac:dyDescent="0.25">
      <c r="B166" s="418" t="s">
        <v>282</v>
      </c>
      <c r="C166" s="419" t="s">
        <v>283</v>
      </c>
      <c r="D166" s="420"/>
      <c r="E166" s="70"/>
      <c r="F166" s="283"/>
      <c r="G166" s="284"/>
      <c r="H166" s="71"/>
      <c r="I166" s="71"/>
      <c r="J166" s="72"/>
      <c r="K166" s="73"/>
      <c r="L166" s="73"/>
      <c r="M166" s="74"/>
      <c r="N166" s="75"/>
      <c r="O166" s="75"/>
      <c r="P166" s="285"/>
      <c r="Q166" s="265"/>
      <c r="R166" s="75"/>
      <c r="S166" s="75"/>
      <c r="T166" s="75"/>
      <c r="U166" s="285"/>
      <c r="V166" s="409"/>
    </row>
    <row r="167" spans="2:22" ht="11.25" x14ac:dyDescent="0.25">
      <c r="B167" s="91" t="s">
        <v>284</v>
      </c>
      <c r="C167" s="113" t="s">
        <v>285</v>
      </c>
      <c r="D167" s="92"/>
      <c r="E167" s="37"/>
      <c r="F167" s="267"/>
      <c r="G167" s="268"/>
      <c r="H167" s="86"/>
      <c r="I167" s="86"/>
      <c r="J167" s="87"/>
      <c r="K167" s="40"/>
      <c r="L167" s="40"/>
      <c r="M167" s="41"/>
      <c r="N167" s="88"/>
      <c r="O167" s="88"/>
      <c r="P167" s="287"/>
      <c r="Q167" s="137"/>
      <c r="R167" s="79"/>
      <c r="S167" s="79"/>
      <c r="T167" s="79"/>
      <c r="U167" s="277"/>
      <c r="V167" s="409"/>
    </row>
    <row r="168" spans="2:22" ht="47.1" customHeight="1" x14ac:dyDescent="0.25">
      <c r="B168" s="430" t="s">
        <v>286</v>
      </c>
      <c r="C168" s="42" t="s">
        <v>287</v>
      </c>
      <c r="D168" s="53" t="s">
        <v>233</v>
      </c>
      <c r="E168" s="44">
        <v>500</v>
      </c>
      <c r="F168" s="273">
        <v>90000</v>
      </c>
      <c r="G168" s="274">
        <v>200</v>
      </c>
      <c r="H168" s="46">
        <f t="shared" ref="H168:H173" si="109">E168*F168</f>
        <v>45000000</v>
      </c>
      <c r="I168" s="46">
        <f t="shared" ref="I168:I173" si="110">E168*G168</f>
        <v>100000</v>
      </c>
      <c r="J168" s="269">
        <f t="shared" ref="J168:J178" si="111">(H168/412.2)+I168</f>
        <v>209170.3056768559</v>
      </c>
      <c r="K168" s="47"/>
      <c r="L168" s="47">
        <v>68000</v>
      </c>
      <c r="M168" s="48">
        <v>200</v>
      </c>
      <c r="N168" s="270">
        <f t="shared" ref="N168:O173" si="112">$E168*L168</f>
        <v>34000000</v>
      </c>
      <c r="O168" s="270">
        <f t="shared" si="112"/>
        <v>100000</v>
      </c>
      <c r="P168" s="271">
        <f t="shared" ref="P168:P173" si="113">O168+(N168/$K$2)</f>
        <v>182484.23095584667</v>
      </c>
      <c r="Q168" s="137">
        <v>55000</v>
      </c>
      <c r="R168" s="79">
        <v>0</v>
      </c>
      <c r="S168" s="272">
        <f t="shared" si="104"/>
        <v>27500000</v>
      </c>
      <c r="T168" s="272">
        <f t="shared" si="99"/>
        <v>0</v>
      </c>
      <c r="U168" s="399">
        <f>T168+(S168/$K$2)</f>
        <v>66715.186802523051</v>
      </c>
      <c r="V168" s="409"/>
    </row>
    <row r="169" spans="2:22" ht="31.5" customHeight="1" x14ac:dyDescent="0.25">
      <c r="B169" s="430" t="s">
        <v>288</v>
      </c>
      <c r="C169" s="42" t="s">
        <v>289</v>
      </c>
      <c r="D169" s="53" t="s">
        <v>122</v>
      </c>
      <c r="E169" s="44">
        <v>500</v>
      </c>
      <c r="F169" s="273">
        <v>800</v>
      </c>
      <c r="G169" s="274">
        <v>3</v>
      </c>
      <c r="H169" s="46">
        <f t="shared" si="109"/>
        <v>400000</v>
      </c>
      <c r="I169" s="46">
        <f t="shared" si="110"/>
        <v>1500</v>
      </c>
      <c r="J169" s="269">
        <f t="shared" si="111"/>
        <v>2470.402717127608</v>
      </c>
      <c r="K169" s="47"/>
      <c r="L169" s="47">
        <v>450</v>
      </c>
      <c r="M169" s="48">
        <v>5</v>
      </c>
      <c r="N169" s="270">
        <f t="shared" si="112"/>
        <v>225000</v>
      </c>
      <c r="O169" s="270">
        <f t="shared" si="112"/>
        <v>2500</v>
      </c>
      <c r="P169" s="271">
        <f t="shared" si="113"/>
        <v>3045.8515283842794</v>
      </c>
      <c r="Q169" s="137">
        <v>500</v>
      </c>
      <c r="R169" s="79">
        <v>0</v>
      </c>
      <c r="S169" s="272">
        <f t="shared" si="104"/>
        <v>250000</v>
      </c>
      <c r="T169" s="272">
        <f t="shared" si="99"/>
        <v>0</v>
      </c>
      <c r="U169" s="399">
        <f t="shared" ref="U169:U178" si="114">T169+(S169/$K$2)</f>
        <v>606.50169820475503</v>
      </c>
      <c r="V169" s="409"/>
    </row>
    <row r="170" spans="2:22" ht="29.1" customHeight="1" x14ac:dyDescent="0.25">
      <c r="B170" s="430" t="s">
        <v>290</v>
      </c>
      <c r="C170" s="42" t="s">
        <v>291</v>
      </c>
      <c r="D170" s="53" t="s">
        <v>122</v>
      </c>
      <c r="E170" s="44">
        <v>500</v>
      </c>
      <c r="F170" s="273">
        <v>1360</v>
      </c>
      <c r="G170" s="274">
        <v>3</v>
      </c>
      <c r="H170" s="46">
        <f t="shared" si="109"/>
        <v>680000</v>
      </c>
      <c r="I170" s="46">
        <f t="shared" si="110"/>
        <v>1500</v>
      </c>
      <c r="J170" s="269">
        <f t="shared" si="111"/>
        <v>3149.6846191169334</v>
      </c>
      <c r="K170" s="47"/>
      <c r="L170" s="47">
        <v>4800</v>
      </c>
      <c r="M170" s="48">
        <v>4</v>
      </c>
      <c r="N170" s="270">
        <f t="shared" si="112"/>
        <v>2400000</v>
      </c>
      <c r="O170" s="270">
        <f t="shared" si="112"/>
        <v>2000</v>
      </c>
      <c r="P170" s="271">
        <f t="shared" si="113"/>
        <v>7822.4163027656477</v>
      </c>
      <c r="Q170" s="137">
        <v>850</v>
      </c>
      <c r="R170" s="79">
        <v>0</v>
      </c>
      <c r="S170" s="272">
        <f t="shared" si="104"/>
        <v>425000</v>
      </c>
      <c r="T170" s="272">
        <f t="shared" si="99"/>
        <v>0</v>
      </c>
      <c r="U170" s="399">
        <f t="shared" si="114"/>
        <v>1031.0528869480836</v>
      </c>
      <c r="V170" s="409"/>
    </row>
    <row r="171" spans="2:22" ht="33.75" x14ac:dyDescent="0.25">
      <c r="B171" s="430" t="s">
        <v>292</v>
      </c>
      <c r="C171" s="42" t="s">
        <v>293</v>
      </c>
      <c r="D171" s="53" t="s">
        <v>122</v>
      </c>
      <c r="E171" s="44">
        <v>500</v>
      </c>
      <c r="F171" s="273">
        <v>4000</v>
      </c>
      <c r="G171" s="274">
        <v>13.5</v>
      </c>
      <c r="H171" s="46">
        <f t="shared" si="109"/>
        <v>2000000</v>
      </c>
      <c r="I171" s="46">
        <f t="shared" si="110"/>
        <v>6750</v>
      </c>
      <c r="J171" s="269">
        <f t="shared" si="111"/>
        <v>11602.01358563804</v>
      </c>
      <c r="K171" s="47"/>
      <c r="L171" s="47">
        <v>3250</v>
      </c>
      <c r="M171" s="48">
        <v>10</v>
      </c>
      <c r="N171" s="270">
        <f t="shared" si="112"/>
        <v>1625000</v>
      </c>
      <c r="O171" s="270">
        <f t="shared" si="112"/>
        <v>5000</v>
      </c>
      <c r="P171" s="271">
        <f t="shared" si="113"/>
        <v>8942.2610383309075</v>
      </c>
      <c r="Q171" s="137">
        <v>2500</v>
      </c>
      <c r="R171" s="79">
        <v>0</v>
      </c>
      <c r="S171" s="272">
        <f t="shared" si="104"/>
        <v>1250000</v>
      </c>
      <c r="T171" s="272">
        <f t="shared" si="99"/>
        <v>0</v>
      </c>
      <c r="U171" s="399">
        <f t="shared" si="114"/>
        <v>3032.5084910237752</v>
      </c>
      <c r="V171" s="409"/>
    </row>
    <row r="172" spans="2:22" ht="34.5" customHeight="1" x14ac:dyDescent="0.25">
      <c r="B172" s="430" t="s">
        <v>294</v>
      </c>
      <c r="C172" s="42" t="s">
        <v>295</v>
      </c>
      <c r="D172" s="53" t="s">
        <v>122</v>
      </c>
      <c r="E172" s="44">
        <v>500</v>
      </c>
      <c r="F172" s="273">
        <v>3200</v>
      </c>
      <c r="G172" s="274">
        <v>8.5</v>
      </c>
      <c r="H172" s="46">
        <f t="shared" si="109"/>
        <v>1600000</v>
      </c>
      <c r="I172" s="46">
        <f t="shared" si="110"/>
        <v>4250</v>
      </c>
      <c r="J172" s="269">
        <f t="shared" si="111"/>
        <v>8131.6108685104318</v>
      </c>
      <c r="K172" s="47"/>
      <c r="L172" s="47">
        <v>120000</v>
      </c>
      <c r="M172" s="48">
        <v>8</v>
      </c>
      <c r="N172" s="270">
        <f t="shared" si="112"/>
        <v>60000000</v>
      </c>
      <c r="O172" s="270">
        <f t="shared" si="112"/>
        <v>4000</v>
      </c>
      <c r="P172" s="271">
        <f t="shared" si="113"/>
        <v>149560.40756914119</v>
      </c>
      <c r="Q172" s="137">
        <v>2000</v>
      </c>
      <c r="R172" s="79">
        <v>0</v>
      </c>
      <c r="S172" s="272">
        <f t="shared" si="104"/>
        <v>1000000</v>
      </c>
      <c r="T172" s="272">
        <f t="shared" si="99"/>
        <v>0</v>
      </c>
      <c r="U172" s="399">
        <f t="shared" si="114"/>
        <v>2426.0067928190201</v>
      </c>
      <c r="V172" s="409"/>
    </row>
    <row r="173" spans="2:22" ht="33" customHeight="1" x14ac:dyDescent="0.25">
      <c r="B173" s="430" t="s">
        <v>296</v>
      </c>
      <c r="C173" s="42" t="s">
        <v>297</v>
      </c>
      <c r="D173" s="53" t="s">
        <v>122</v>
      </c>
      <c r="E173" s="44">
        <v>500</v>
      </c>
      <c r="F173" s="273">
        <v>3200</v>
      </c>
      <c r="G173" s="274">
        <v>13.6</v>
      </c>
      <c r="H173" s="46">
        <f t="shared" si="109"/>
        <v>1600000</v>
      </c>
      <c r="I173" s="46">
        <f t="shared" si="110"/>
        <v>6800</v>
      </c>
      <c r="J173" s="269">
        <f t="shared" si="111"/>
        <v>10681.610868510432</v>
      </c>
      <c r="K173" s="47"/>
      <c r="L173" s="47">
        <v>2200</v>
      </c>
      <c r="M173" s="48">
        <v>8</v>
      </c>
      <c r="N173" s="270">
        <f t="shared" si="112"/>
        <v>1100000</v>
      </c>
      <c r="O173" s="270">
        <f t="shared" si="112"/>
        <v>4000</v>
      </c>
      <c r="P173" s="271">
        <f t="shared" si="113"/>
        <v>6668.6074721009218</v>
      </c>
      <c r="Q173" s="137">
        <v>2000</v>
      </c>
      <c r="R173" s="79">
        <v>0</v>
      </c>
      <c r="S173" s="272">
        <f t="shared" si="104"/>
        <v>1000000</v>
      </c>
      <c r="T173" s="272">
        <f t="shared" si="99"/>
        <v>0</v>
      </c>
      <c r="U173" s="397">
        <f t="shared" si="114"/>
        <v>2426.0067928190201</v>
      </c>
      <c r="V173" s="409"/>
    </row>
    <row r="174" spans="2:22" ht="11.25" x14ac:dyDescent="0.25">
      <c r="B174" s="430" t="s">
        <v>298</v>
      </c>
      <c r="C174" s="42" t="s">
        <v>299</v>
      </c>
      <c r="D174" s="53"/>
      <c r="E174" s="44"/>
      <c r="F174" s="273"/>
      <c r="G174" s="274"/>
      <c r="H174" s="46"/>
      <c r="I174" s="46"/>
      <c r="J174" s="269">
        <f t="shared" si="111"/>
        <v>0</v>
      </c>
      <c r="K174" s="47"/>
      <c r="L174" s="47"/>
      <c r="M174" s="48"/>
      <c r="N174" s="302"/>
      <c r="O174" s="302"/>
      <c r="P174" s="303"/>
      <c r="Q174" s="275"/>
      <c r="R174" s="88">
        <v>0</v>
      </c>
      <c r="S174" s="276">
        <f t="shared" si="104"/>
        <v>0</v>
      </c>
      <c r="T174" s="276">
        <f t="shared" si="99"/>
        <v>0</v>
      </c>
      <c r="U174" s="398">
        <f t="shared" si="114"/>
        <v>0</v>
      </c>
      <c r="V174" s="409"/>
    </row>
    <row r="175" spans="2:22" ht="24.6" customHeight="1" x14ac:dyDescent="0.25">
      <c r="B175" s="430" t="s">
        <v>300</v>
      </c>
      <c r="C175" s="42" t="s">
        <v>301</v>
      </c>
      <c r="D175" s="53" t="s">
        <v>233</v>
      </c>
      <c r="E175" s="106">
        <v>500</v>
      </c>
      <c r="F175" s="273">
        <v>40000</v>
      </c>
      <c r="G175" s="274">
        <v>85</v>
      </c>
      <c r="H175" s="46">
        <f>E175*F175</f>
        <v>20000000</v>
      </c>
      <c r="I175" s="46">
        <f>E175*G175</f>
        <v>42500</v>
      </c>
      <c r="J175" s="269">
        <f t="shared" si="111"/>
        <v>91020.135856380395</v>
      </c>
      <c r="K175" s="47"/>
      <c r="L175" s="47">
        <v>32000</v>
      </c>
      <c r="M175" s="48">
        <v>75</v>
      </c>
      <c r="N175" s="270">
        <f t="shared" ref="N175:O176" si="115">$E175*L175</f>
        <v>16000000</v>
      </c>
      <c r="O175" s="270">
        <f t="shared" si="115"/>
        <v>37500</v>
      </c>
      <c r="P175" s="271">
        <f>O175+(N175/$K$2)</f>
        <v>76316.108685104322</v>
      </c>
      <c r="Q175" s="137">
        <v>25000</v>
      </c>
      <c r="R175" s="79">
        <v>0</v>
      </c>
      <c r="S175" s="272">
        <f t="shared" si="104"/>
        <v>12500000</v>
      </c>
      <c r="T175" s="272">
        <f t="shared" si="99"/>
        <v>0</v>
      </c>
      <c r="U175" s="399">
        <f t="shared" si="114"/>
        <v>30325.084910237751</v>
      </c>
      <c r="V175" s="409"/>
    </row>
    <row r="176" spans="2:22" ht="53.45" customHeight="1" x14ac:dyDescent="0.25">
      <c r="B176" s="430" t="s">
        <v>302</v>
      </c>
      <c r="C176" s="42" t="s">
        <v>303</v>
      </c>
      <c r="D176" s="53" t="s">
        <v>233</v>
      </c>
      <c r="E176" s="106">
        <v>500</v>
      </c>
      <c r="F176" s="273">
        <v>56000</v>
      </c>
      <c r="G176" s="274">
        <v>155</v>
      </c>
      <c r="H176" s="46">
        <f>E176*F176</f>
        <v>28000000</v>
      </c>
      <c r="I176" s="46">
        <f>E176*G176</f>
        <v>77500</v>
      </c>
      <c r="J176" s="269">
        <f t="shared" si="111"/>
        <v>145428.19019893254</v>
      </c>
      <c r="K176" s="47"/>
      <c r="L176" s="47">
        <v>45000</v>
      </c>
      <c r="M176" s="48">
        <v>110</v>
      </c>
      <c r="N176" s="270">
        <f t="shared" si="115"/>
        <v>22500000</v>
      </c>
      <c r="O176" s="270">
        <f t="shared" si="115"/>
        <v>55000</v>
      </c>
      <c r="P176" s="271">
        <f>O176+(N176/$K$2)</f>
        <v>109585.15283842795</v>
      </c>
      <c r="Q176" s="137">
        <v>35000</v>
      </c>
      <c r="R176" s="79">
        <v>0</v>
      </c>
      <c r="S176" s="272">
        <f t="shared" si="104"/>
        <v>17500000</v>
      </c>
      <c r="T176" s="272">
        <f t="shared" si="99"/>
        <v>0</v>
      </c>
      <c r="U176" s="397">
        <f t="shared" si="114"/>
        <v>42455.118874332846</v>
      </c>
      <c r="V176" s="409"/>
    </row>
    <row r="177" spans="2:22" ht="11.25" x14ac:dyDescent="0.25">
      <c r="B177" s="430" t="s">
        <v>304</v>
      </c>
      <c r="C177" s="42" t="s">
        <v>305</v>
      </c>
      <c r="D177" s="53"/>
      <c r="E177" s="44"/>
      <c r="F177" s="273"/>
      <c r="G177" s="274"/>
      <c r="H177" s="46"/>
      <c r="I177" s="46"/>
      <c r="J177" s="269">
        <f t="shared" si="111"/>
        <v>0</v>
      </c>
      <c r="K177" s="47"/>
      <c r="L177" s="47"/>
      <c r="M177" s="48"/>
      <c r="N177" s="302"/>
      <c r="O177" s="302"/>
      <c r="P177" s="303"/>
      <c r="Q177" s="275"/>
      <c r="R177" s="88">
        <v>0</v>
      </c>
      <c r="S177" s="276">
        <f t="shared" si="104"/>
        <v>0</v>
      </c>
      <c r="T177" s="276">
        <f t="shared" si="99"/>
        <v>0</v>
      </c>
      <c r="U177" s="398">
        <f t="shared" si="114"/>
        <v>0</v>
      </c>
      <c r="V177" s="409"/>
    </row>
    <row r="178" spans="2:22" ht="23.25" thickBot="1" x14ac:dyDescent="0.3">
      <c r="B178" s="54" t="s">
        <v>306</v>
      </c>
      <c r="C178" s="125" t="s">
        <v>307</v>
      </c>
      <c r="D178" s="83" t="s">
        <v>233</v>
      </c>
      <c r="E178" s="57">
        <v>500</v>
      </c>
      <c r="F178" s="278">
        <v>100000</v>
      </c>
      <c r="G178" s="279">
        <v>100</v>
      </c>
      <c r="H178" s="58">
        <f>E178*F178</f>
        <v>50000000</v>
      </c>
      <c r="I178" s="58">
        <f>E178*G178</f>
        <v>50000</v>
      </c>
      <c r="J178" s="269">
        <f t="shared" si="111"/>
        <v>171300.33964095102</v>
      </c>
      <c r="K178" s="59"/>
      <c r="L178" s="59">
        <v>105250</v>
      </c>
      <c r="M178" s="60">
        <v>90</v>
      </c>
      <c r="N178" s="270">
        <f t="shared" ref="N178:O178" si="116">$E178*L178</f>
        <v>52625000</v>
      </c>
      <c r="O178" s="270">
        <f t="shared" si="116"/>
        <v>45000</v>
      </c>
      <c r="P178" s="271">
        <f>O178+(N178/$K$2)</f>
        <v>172668.60747210094</v>
      </c>
      <c r="Q178" s="280">
        <v>60000</v>
      </c>
      <c r="R178" s="104">
        <v>0</v>
      </c>
      <c r="S178" s="281">
        <f t="shared" si="104"/>
        <v>30000000</v>
      </c>
      <c r="T178" s="281">
        <f t="shared" si="99"/>
        <v>0</v>
      </c>
      <c r="U178" s="400">
        <f t="shared" si="114"/>
        <v>72780.203784570593</v>
      </c>
      <c r="V178" s="409"/>
    </row>
    <row r="179" spans="2:22" ht="12" thickBot="1" x14ac:dyDescent="0.3">
      <c r="B179" s="447" t="s">
        <v>308</v>
      </c>
      <c r="C179" s="448"/>
      <c r="D179" s="173"/>
      <c r="E179" s="286"/>
      <c r="F179" s="65"/>
      <c r="G179" s="63"/>
      <c r="H179" s="63">
        <f>SUM(H168:H178)</f>
        <v>149280000</v>
      </c>
      <c r="I179" s="63">
        <f t="shared" ref="I179:J179" si="117">SUM(I168:I178)</f>
        <v>290800</v>
      </c>
      <c r="J179" s="64">
        <f t="shared" si="117"/>
        <v>652954.29403202329</v>
      </c>
      <c r="K179" s="65"/>
      <c r="L179" s="65"/>
      <c r="M179" s="63"/>
      <c r="N179" s="63">
        <f t="shared" ref="N179:P179" si="118">SUM(N168:N178)</f>
        <v>190475000</v>
      </c>
      <c r="O179" s="63">
        <f t="shared" si="118"/>
        <v>255000</v>
      </c>
      <c r="P179" s="67">
        <f t="shared" si="118"/>
        <v>717093.64386220276</v>
      </c>
      <c r="Q179" s="282"/>
      <c r="R179" s="256"/>
      <c r="S179" s="63">
        <f t="shared" ref="S179:U179" si="119">SUM(S168:S178)</f>
        <v>91425000</v>
      </c>
      <c r="T179" s="63">
        <f t="shared" si="119"/>
        <v>0</v>
      </c>
      <c r="U179" s="67">
        <f t="shared" si="119"/>
        <v>221797.67103347889</v>
      </c>
      <c r="V179" s="409"/>
    </row>
    <row r="180" spans="2:22" ht="11.25" x14ac:dyDescent="0.25">
      <c r="B180" s="418" t="s">
        <v>309</v>
      </c>
      <c r="C180" s="419" t="s">
        <v>310</v>
      </c>
      <c r="D180" s="420"/>
      <c r="E180" s="70"/>
      <c r="F180" s="267"/>
      <c r="G180" s="268"/>
      <c r="H180" s="86"/>
      <c r="I180" s="86"/>
      <c r="J180" s="87"/>
      <c r="K180" s="73"/>
      <c r="L180" s="73"/>
      <c r="M180" s="74"/>
      <c r="N180" s="75"/>
      <c r="O180" s="75"/>
      <c r="P180" s="285"/>
      <c r="Q180" s="265"/>
      <c r="R180" s="75"/>
      <c r="S180" s="75"/>
      <c r="T180" s="75"/>
      <c r="U180" s="285"/>
      <c r="V180" s="409"/>
    </row>
    <row r="181" spans="2:22" ht="11.25" x14ac:dyDescent="0.25">
      <c r="B181" s="126" t="s">
        <v>311</v>
      </c>
      <c r="C181" s="127" t="s">
        <v>312</v>
      </c>
      <c r="D181" s="118"/>
      <c r="E181" s="37"/>
      <c r="F181" s="267"/>
      <c r="G181" s="268"/>
      <c r="H181" s="86"/>
      <c r="I181" s="86"/>
      <c r="J181" s="87"/>
      <c r="K181" s="40"/>
      <c r="L181" s="40"/>
      <c r="M181" s="41"/>
      <c r="N181" s="88"/>
      <c r="O181" s="88"/>
      <c r="P181" s="287"/>
      <c r="Q181" s="137"/>
      <c r="R181" s="79"/>
      <c r="S181" s="79"/>
      <c r="T181" s="79"/>
      <c r="U181" s="277"/>
      <c r="V181" s="409"/>
    </row>
    <row r="182" spans="2:22" ht="107.45" customHeight="1" x14ac:dyDescent="0.25">
      <c r="B182" s="128" t="s">
        <v>313</v>
      </c>
      <c r="C182" s="42" t="s">
        <v>314</v>
      </c>
      <c r="D182" s="43" t="s">
        <v>233</v>
      </c>
      <c r="E182" s="44">
        <v>600</v>
      </c>
      <c r="F182" s="273">
        <v>240000</v>
      </c>
      <c r="G182" s="274">
        <v>200</v>
      </c>
      <c r="H182" s="46">
        <f>E182*F182</f>
        <v>144000000</v>
      </c>
      <c r="I182" s="46">
        <f>E182*G182</f>
        <v>120000</v>
      </c>
      <c r="J182" s="269">
        <f t="shared" ref="J182:J192" si="120">(H182/412.2)+I182</f>
        <v>469344.97816593887</v>
      </c>
      <c r="K182" s="47"/>
      <c r="L182" s="47">
        <v>175000</v>
      </c>
      <c r="M182" s="48">
        <v>125</v>
      </c>
      <c r="N182" s="270">
        <f t="shared" ref="N182:O192" si="121">$E182*L182</f>
        <v>105000000</v>
      </c>
      <c r="O182" s="270">
        <f t="shared" si="121"/>
        <v>75000</v>
      </c>
      <c r="P182" s="271">
        <f t="shared" ref="P182:P192" si="122">O182+(N182/$K$2)</f>
        <v>329730.71324599709</v>
      </c>
      <c r="Q182" s="137">
        <v>240000</v>
      </c>
      <c r="R182" s="79">
        <v>450</v>
      </c>
      <c r="S182" s="272">
        <f t="shared" si="104"/>
        <v>144000000</v>
      </c>
      <c r="T182" s="272">
        <f t="shared" si="99"/>
        <v>270000</v>
      </c>
      <c r="U182" s="399">
        <f>T182+(S182/$K$2)</f>
        <v>619344.97816593887</v>
      </c>
      <c r="V182" s="409"/>
    </row>
    <row r="183" spans="2:22" ht="106.5" customHeight="1" x14ac:dyDescent="0.25">
      <c r="B183" s="128" t="s">
        <v>315</v>
      </c>
      <c r="C183" s="42" t="s">
        <v>316</v>
      </c>
      <c r="D183" s="53" t="s">
        <v>233</v>
      </c>
      <c r="E183" s="44">
        <v>100</v>
      </c>
      <c r="F183" s="273">
        <v>420000</v>
      </c>
      <c r="G183" s="274">
        <v>350</v>
      </c>
      <c r="H183" s="46">
        <f>E183*F183</f>
        <v>42000000</v>
      </c>
      <c r="I183" s="46">
        <f>E183*G183</f>
        <v>35000</v>
      </c>
      <c r="J183" s="269">
        <f t="shared" si="120"/>
        <v>136892.28529839884</v>
      </c>
      <c r="K183" s="47"/>
      <c r="L183" s="47">
        <v>400000</v>
      </c>
      <c r="M183" s="48">
        <v>185</v>
      </c>
      <c r="N183" s="270">
        <f t="shared" si="121"/>
        <v>40000000</v>
      </c>
      <c r="O183" s="270">
        <f t="shared" si="121"/>
        <v>18500</v>
      </c>
      <c r="P183" s="271">
        <f t="shared" si="122"/>
        <v>115540.2717127608</v>
      </c>
      <c r="Q183" s="137">
        <v>240000</v>
      </c>
      <c r="R183" s="79">
        <v>450</v>
      </c>
      <c r="S183" s="272">
        <f t="shared" si="104"/>
        <v>24000000</v>
      </c>
      <c r="T183" s="272">
        <f t="shared" si="99"/>
        <v>45000</v>
      </c>
      <c r="U183" s="397">
        <f t="shared" ref="U183:U192" si="123">T183+(S183/$K$2)</f>
        <v>103224.16302765647</v>
      </c>
      <c r="V183" s="409"/>
    </row>
    <row r="184" spans="2:22" ht="11.25" x14ac:dyDescent="0.25">
      <c r="B184" s="128" t="s">
        <v>317</v>
      </c>
      <c r="C184" s="123" t="s">
        <v>318</v>
      </c>
      <c r="D184" s="120"/>
      <c r="E184" s="44"/>
      <c r="F184" s="273"/>
      <c r="G184" s="274"/>
      <c r="H184" s="77"/>
      <c r="I184" s="77"/>
      <c r="J184" s="87">
        <f t="shared" si="120"/>
        <v>0</v>
      </c>
      <c r="K184" s="47"/>
      <c r="L184" s="47"/>
      <c r="M184" s="48"/>
      <c r="N184" s="88">
        <f t="shared" si="121"/>
        <v>0</v>
      </c>
      <c r="O184" s="88">
        <f t="shared" si="121"/>
        <v>0</v>
      </c>
      <c r="P184" s="287">
        <f t="shared" si="122"/>
        <v>0</v>
      </c>
      <c r="Q184" s="275"/>
      <c r="R184" s="88"/>
      <c r="S184" s="88">
        <f t="shared" si="104"/>
        <v>0</v>
      </c>
      <c r="T184" s="88">
        <f t="shared" si="99"/>
        <v>0</v>
      </c>
      <c r="U184" s="277">
        <f t="shared" si="123"/>
        <v>0</v>
      </c>
      <c r="V184" s="409"/>
    </row>
    <row r="185" spans="2:22" ht="57.95" customHeight="1" x14ac:dyDescent="0.25">
      <c r="B185" s="128" t="s">
        <v>319</v>
      </c>
      <c r="C185" s="42" t="s">
        <v>320</v>
      </c>
      <c r="D185" s="53" t="s">
        <v>233</v>
      </c>
      <c r="E185" s="44">
        <v>10</v>
      </c>
      <c r="F185" s="273">
        <v>200000</v>
      </c>
      <c r="G185" s="274">
        <v>350</v>
      </c>
      <c r="H185" s="46">
        <f t="shared" ref="H185:H192" si="124">E185*F185</f>
        <v>2000000</v>
      </c>
      <c r="I185" s="46">
        <f t="shared" ref="I185:I192" si="125">E185*G185</f>
        <v>3500</v>
      </c>
      <c r="J185" s="269">
        <f t="shared" si="120"/>
        <v>8352.0135856380402</v>
      </c>
      <c r="K185" s="47"/>
      <c r="L185" s="47">
        <v>175000</v>
      </c>
      <c r="M185" s="48">
        <v>220</v>
      </c>
      <c r="N185" s="270">
        <f t="shared" si="121"/>
        <v>1750000</v>
      </c>
      <c r="O185" s="270">
        <f t="shared" si="121"/>
        <v>2200</v>
      </c>
      <c r="P185" s="271">
        <f t="shared" si="122"/>
        <v>6445.5118874332848</v>
      </c>
      <c r="Q185" s="137">
        <v>240000</v>
      </c>
      <c r="R185" s="79">
        <v>50</v>
      </c>
      <c r="S185" s="272">
        <f t="shared" si="104"/>
        <v>2400000</v>
      </c>
      <c r="T185" s="272">
        <f t="shared" si="99"/>
        <v>500</v>
      </c>
      <c r="U185" s="399">
        <f t="shared" si="123"/>
        <v>6322.4163027656477</v>
      </c>
      <c r="V185" s="409"/>
    </row>
    <row r="186" spans="2:22" ht="11.25" x14ac:dyDescent="0.25">
      <c r="B186" s="128" t="s">
        <v>321</v>
      </c>
      <c r="C186" s="42" t="s">
        <v>25</v>
      </c>
      <c r="D186" s="53" t="s">
        <v>233</v>
      </c>
      <c r="E186" s="44">
        <v>10</v>
      </c>
      <c r="F186" s="273">
        <v>240000</v>
      </c>
      <c r="G186" s="274">
        <v>450</v>
      </c>
      <c r="H186" s="46">
        <f t="shared" si="124"/>
        <v>2400000</v>
      </c>
      <c r="I186" s="46">
        <f t="shared" si="125"/>
        <v>4500</v>
      </c>
      <c r="J186" s="269">
        <f t="shared" si="120"/>
        <v>10322.416302765647</v>
      </c>
      <c r="K186" s="47"/>
      <c r="L186" s="47">
        <v>180000</v>
      </c>
      <c r="M186" s="48">
        <v>250</v>
      </c>
      <c r="N186" s="270">
        <f t="shared" si="121"/>
        <v>1800000</v>
      </c>
      <c r="O186" s="270">
        <f t="shared" si="121"/>
        <v>2500</v>
      </c>
      <c r="P186" s="271">
        <f t="shared" si="122"/>
        <v>6866.812227074236</v>
      </c>
      <c r="Q186" s="137">
        <v>280000</v>
      </c>
      <c r="R186" s="79">
        <v>50</v>
      </c>
      <c r="S186" s="272">
        <f t="shared" si="104"/>
        <v>2800000</v>
      </c>
      <c r="T186" s="272">
        <f t="shared" si="99"/>
        <v>500</v>
      </c>
      <c r="U186" s="399">
        <f t="shared" si="123"/>
        <v>7292.8190198932562</v>
      </c>
      <c r="V186" s="409"/>
    </row>
    <row r="187" spans="2:22" ht="11.25" x14ac:dyDescent="0.25">
      <c r="B187" s="128" t="s">
        <v>322</v>
      </c>
      <c r="C187" s="42" t="s">
        <v>27</v>
      </c>
      <c r="D187" s="53" t="s">
        <v>233</v>
      </c>
      <c r="E187" s="44">
        <v>10</v>
      </c>
      <c r="F187" s="273">
        <v>260000</v>
      </c>
      <c r="G187" s="274">
        <v>550</v>
      </c>
      <c r="H187" s="46">
        <f t="shared" si="124"/>
        <v>2600000</v>
      </c>
      <c r="I187" s="46">
        <f t="shared" si="125"/>
        <v>5500</v>
      </c>
      <c r="J187" s="269">
        <f t="shared" si="120"/>
        <v>11807.617661329452</v>
      </c>
      <c r="K187" s="47"/>
      <c r="L187" s="47">
        <v>185000</v>
      </c>
      <c r="M187" s="48">
        <v>350</v>
      </c>
      <c r="N187" s="270">
        <f t="shared" si="121"/>
        <v>1850000</v>
      </c>
      <c r="O187" s="270">
        <f t="shared" si="121"/>
        <v>3500</v>
      </c>
      <c r="P187" s="271">
        <f t="shared" si="122"/>
        <v>7988.1125667151873</v>
      </c>
      <c r="Q187" s="137">
        <v>400000</v>
      </c>
      <c r="R187" s="79">
        <v>50</v>
      </c>
      <c r="S187" s="272">
        <f t="shared" si="104"/>
        <v>4000000</v>
      </c>
      <c r="T187" s="272">
        <f t="shared" si="99"/>
        <v>500</v>
      </c>
      <c r="U187" s="399">
        <f t="shared" si="123"/>
        <v>10204.02717127608</v>
      </c>
      <c r="V187" s="409"/>
    </row>
    <row r="188" spans="2:22" ht="11.25" x14ac:dyDescent="0.25">
      <c r="B188" s="128" t="s">
        <v>323</v>
      </c>
      <c r="C188" s="42" t="s">
        <v>29</v>
      </c>
      <c r="D188" s="53" t="s">
        <v>233</v>
      </c>
      <c r="E188" s="44">
        <v>10</v>
      </c>
      <c r="F188" s="273">
        <v>280000</v>
      </c>
      <c r="G188" s="274">
        <v>650</v>
      </c>
      <c r="H188" s="46">
        <f t="shared" si="124"/>
        <v>2800000</v>
      </c>
      <c r="I188" s="46">
        <f t="shared" si="125"/>
        <v>6500</v>
      </c>
      <c r="J188" s="269">
        <f t="shared" si="120"/>
        <v>13292.819019893257</v>
      </c>
      <c r="K188" s="47"/>
      <c r="L188" s="47">
        <v>190000</v>
      </c>
      <c r="M188" s="48">
        <v>450</v>
      </c>
      <c r="N188" s="270">
        <f t="shared" si="121"/>
        <v>1900000</v>
      </c>
      <c r="O188" s="270">
        <f t="shared" si="121"/>
        <v>4500</v>
      </c>
      <c r="P188" s="271">
        <f t="shared" si="122"/>
        <v>9109.4129063561377</v>
      </c>
      <c r="Q188" s="137">
        <v>400000</v>
      </c>
      <c r="R188" s="79">
        <v>50</v>
      </c>
      <c r="S188" s="272">
        <f t="shared" si="104"/>
        <v>4000000</v>
      </c>
      <c r="T188" s="272">
        <f t="shared" si="99"/>
        <v>500</v>
      </c>
      <c r="U188" s="399">
        <f t="shared" si="123"/>
        <v>10204.02717127608</v>
      </c>
      <c r="V188" s="409"/>
    </row>
    <row r="189" spans="2:22" ht="11.25" x14ac:dyDescent="0.25">
      <c r="B189" s="128" t="s">
        <v>324</v>
      </c>
      <c r="C189" s="42" t="s">
        <v>31</v>
      </c>
      <c r="D189" s="53" t="s">
        <v>233</v>
      </c>
      <c r="E189" s="44">
        <v>10</v>
      </c>
      <c r="F189" s="273">
        <v>300000</v>
      </c>
      <c r="G189" s="274">
        <v>750</v>
      </c>
      <c r="H189" s="46">
        <f t="shared" si="124"/>
        <v>3000000</v>
      </c>
      <c r="I189" s="46">
        <f t="shared" si="125"/>
        <v>7500</v>
      </c>
      <c r="J189" s="269">
        <f t="shared" si="120"/>
        <v>14778.020378457059</v>
      </c>
      <c r="K189" s="47"/>
      <c r="L189" s="47">
        <v>195000</v>
      </c>
      <c r="M189" s="48">
        <v>600</v>
      </c>
      <c r="N189" s="270">
        <f t="shared" si="121"/>
        <v>1950000</v>
      </c>
      <c r="O189" s="270">
        <f t="shared" si="121"/>
        <v>6000</v>
      </c>
      <c r="P189" s="271">
        <f t="shared" si="122"/>
        <v>10730.713245997089</v>
      </c>
      <c r="Q189" s="137">
        <v>400000</v>
      </c>
      <c r="R189" s="79">
        <v>50</v>
      </c>
      <c r="S189" s="272">
        <f t="shared" si="104"/>
        <v>4000000</v>
      </c>
      <c r="T189" s="272">
        <f t="shared" si="99"/>
        <v>500</v>
      </c>
      <c r="U189" s="399">
        <f t="shared" si="123"/>
        <v>10204.02717127608</v>
      </c>
      <c r="V189" s="409"/>
    </row>
    <row r="190" spans="2:22" ht="11.25" x14ac:dyDescent="0.25">
      <c r="B190" s="128" t="s">
        <v>325</v>
      </c>
      <c r="C190" s="42" t="s">
        <v>33</v>
      </c>
      <c r="D190" s="53" t="s">
        <v>233</v>
      </c>
      <c r="E190" s="44">
        <v>10</v>
      </c>
      <c r="F190" s="273">
        <v>320000</v>
      </c>
      <c r="G190" s="274">
        <v>850</v>
      </c>
      <c r="H190" s="46">
        <f t="shared" si="124"/>
        <v>3200000</v>
      </c>
      <c r="I190" s="46">
        <f t="shared" si="125"/>
        <v>8500</v>
      </c>
      <c r="J190" s="269">
        <f t="shared" si="120"/>
        <v>16263.221737020864</v>
      </c>
      <c r="K190" s="47"/>
      <c r="L190" s="47">
        <v>200000</v>
      </c>
      <c r="M190" s="48">
        <v>650</v>
      </c>
      <c r="N190" s="270">
        <f t="shared" si="121"/>
        <v>2000000</v>
      </c>
      <c r="O190" s="270">
        <f t="shared" si="121"/>
        <v>6500</v>
      </c>
      <c r="P190" s="271">
        <f t="shared" si="122"/>
        <v>11352.01358563804</v>
      </c>
      <c r="Q190" s="137">
        <v>400000</v>
      </c>
      <c r="R190" s="79">
        <v>50</v>
      </c>
      <c r="S190" s="272">
        <f t="shared" si="104"/>
        <v>4000000</v>
      </c>
      <c r="T190" s="272">
        <f t="shared" si="99"/>
        <v>500</v>
      </c>
      <c r="U190" s="399">
        <f t="shared" si="123"/>
        <v>10204.02717127608</v>
      </c>
      <c r="V190" s="409"/>
    </row>
    <row r="191" spans="2:22" ht="11.25" x14ac:dyDescent="0.25">
      <c r="B191" s="128" t="s">
        <v>326</v>
      </c>
      <c r="C191" s="49" t="s">
        <v>35</v>
      </c>
      <c r="D191" s="53" t="s">
        <v>233</v>
      </c>
      <c r="E191" s="44">
        <v>10</v>
      </c>
      <c r="F191" s="273">
        <v>340000</v>
      </c>
      <c r="G191" s="274">
        <v>950</v>
      </c>
      <c r="H191" s="46">
        <f t="shared" si="124"/>
        <v>3400000</v>
      </c>
      <c r="I191" s="46">
        <f t="shared" si="125"/>
        <v>9500</v>
      </c>
      <c r="J191" s="269">
        <f t="shared" si="120"/>
        <v>17748.423095584669</v>
      </c>
      <c r="K191" s="47"/>
      <c r="L191" s="47">
        <v>210000</v>
      </c>
      <c r="M191" s="48">
        <v>720</v>
      </c>
      <c r="N191" s="270">
        <f t="shared" si="121"/>
        <v>2100000</v>
      </c>
      <c r="O191" s="270">
        <f t="shared" si="121"/>
        <v>7200</v>
      </c>
      <c r="P191" s="271">
        <f t="shared" si="122"/>
        <v>12294.614264919943</v>
      </c>
      <c r="Q191" s="137">
        <v>400000</v>
      </c>
      <c r="R191" s="79">
        <v>50</v>
      </c>
      <c r="S191" s="272">
        <f t="shared" si="104"/>
        <v>4000000</v>
      </c>
      <c r="T191" s="272">
        <f t="shared" si="99"/>
        <v>500</v>
      </c>
      <c r="U191" s="399">
        <f t="shared" si="123"/>
        <v>10204.02717127608</v>
      </c>
      <c r="V191" s="409"/>
    </row>
    <row r="192" spans="2:22" ht="12" thickBot="1" x14ac:dyDescent="0.3">
      <c r="B192" s="129" t="s">
        <v>327</v>
      </c>
      <c r="C192" s="55" t="s">
        <v>37</v>
      </c>
      <c r="D192" s="83" t="s">
        <v>233</v>
      </c>
      <c r="E192" s="57">
        <v>10</v>
      </c>
      <c r="F192" s="304">
        <v>360000</v>
      </c>
      <c r="G192" s="305">
        <v>1050</v>
      </c>
      <c r="H192" s="130">
        <f t="shared" si="124"/>
        <v>3600000</v>
      </c>
      <c r="I192" s="130">
        <f t="shared" si="125"/>
        <v>10500</v>
      </c>
      <c r="J192" s="269">
        <f t="shared" si="120"/>
        <v>19233.62445414847</v>
      </c>
      <c r="K192" s="59"/>
      <c r="L192" s="59">
        <v>220000</v>
      </c>
      <c r="M192" s="60">
        <v>780</v>
      </c>
      <c r="N192" s="270">
        <f t="shared" si="121"/>
        <v>2200000</v>
      </c>
      <c r="O192" s="270">
        <f t="shared" si="121"/>
        <v>7800</v>
      </c>
      <c r="P192" s="271">
        <f t="shared" si="122"/>
        <v>13137.214944201844</v>
      </c>
      <c r="Q192" s="137">
        <v>400000</v>
      </c>
      <c r="R192" s="104">
        <v>50</v>
      </c>
      <c r="S192" s="281">
        <f t="shared" si="104"/>
        <v>4000000</v>
      </c>
      <c r="T192" s="281">
        <f t="shared" si="99"/>
        <v>500</v>
      </c>
      <c r="U192" s="400">
        <f t="shared" si="123"/>
        <v>10204.02717127608</v>
      </c>
      <c r="V192" s="409"/>
    </row>
    <row r="193" spans="2:22" ht="15.75" thickBot="1" x14ac:dyDescent="0.3">
      <c r="B193" s="447" t="s">
        <v>328</v>
      </c>
      <c r="C193" s="448"/>
      <c r="D193" s="173"/>
      <c r="E193" s="286"/>
      <c r="F193" s="65"/>
      <c r="G193" s="63"/>
      <c r="H193" s="63">
        <f>SUM(H182:H192)</f>
        <v>209000000</v>
      </c>
      <c r="I193" s="63">
        <f t="shared" ref="I193:J193" si="126">SUM(I182:I192)</f>
        <v>211000</v>
      </c>
      <c r="J193" s="64">
        <f t="shared" si="126"/>
        <v>718035.41969917505</v>
      </c>
      <c r="K193" s="65"/>
      <c r="L193" s="65"/>
      <c r="M193" s="63"/>
      <c r="N193" s="63">
        <f t="shared" ref="N193:P193" si="127">SUM(N182:N192)</f>
        <v>160550000</v>
      </c>
      <c r="O193" s="63">
        <f t="shared" si="127"/>
        <v>133700</v>
      </c>
      <c r="P193" s="67">
        <f t="shared" si="127"/>
        <v>523195.39058709366</v>
      </c>
      <c r="Q193" s="306"/>
      <c r="R193" s="307"/>
      <c r="S193" s="63">
        <f t="shared" ref="S193:U193" si="128">SUM(S182:S192)</f>
        <v>197200000</v>
      </c>
      <c r="T193" s="63">
        <f t="shared" si="128"/>
        <v>319000</v>
      </c>
      <c r="U193" s="67">
        <f t="shared" si="128"/>
        <v>797408.53954391053</v>
      </c>
      <c r="V193" s="409"/>
    </row>
    <row r="194" spans="2:22" ht="11.25" x14ac:dyDescent="0.25">
      <c r="B194" s="418" t="s">
        <v>329</v>
      </c>
      <c r="C194" s="419" t="s">
        <v>330</v>
      </c>
      <c r="D194" s="420"/>
      <c r="E194" s="70"/>
      <c r="F194" s="283"/>
      <c r="G194" s="284"/>
      <c r="H194" s="71"/>
      <c r="I194" s="71"/>
      <c r="J194" s="72"/>
      <c r="K194" s="73"/>
      <c r="L194" s="73"/>
      <c r="M194" s="74"/>
      <c r="N194" s="75"/>
      <c r="O194" s="75"/>
      <c r="P194" s="285"/>
      <c r="Q194" s="265"/>
      <c r="R194" s="75"/>
      <c r="S194" s="75"/>
      <c r="T194" s="75">
        <f t="shared" si="99"/>
        <v>0</v>
      </c>
      <c r="U194" s="285"/>
      <c r="V194" s="409"/>
    </row>
    <row r="195" spans="2:22" ht="89.1" customHeight="1" x14ac:dyDescent="0.25">
      <c r="B195" s="126" t="s">
        <v>331</v>
      </c>
      <c r="C195" s="113" t="s">
        <v>332</v>
      </c>
      <c r="D195" s="92" t="s">
        <v>23</v>
      </c>
      <c r="E195" s="131">
        <v>100</v>
      </c>
      <c r="F195" s="308">
        <v>300000</v>
      </c>
      <c r="G195" s="268">
        <v>1000</v>
      </c>
      <c r="H195" s="39">
        <f>E195*F195</f>
        <v>30000000</v>
      </c>
      <c r="I195" s="39">
        <f>E195*G195</f>
        <v>100000</v>
      </c>
      <c r="J195" s="309">
        <f t="shared" ref="J195:J221" si="129">(H195/412.2)+I195</f>
        <v>172780.20378457059</v>
      </c>
      <c r="K195" s="275"/>
      <c r="L195" s="275">
        <v>320000</v>
      </c>
      <c r="M195" s="88">
        <v>1000</v>
      </c>
      <c r="N195" s="270">
        <f t="shared" ref="N195:O195" si="130">$E195*L195</f>
        <v>32000000</v>
      </c>
      <c r="O195" s="270">
        <f t="shared" si="130"/>
        <v>100000</v>
      </c>
      <c r="P195" s="271">
        <f>O195+(N195/$K$2)</f>
        <v>177632.21737020864</v>
      </c>
      <c r="Q195" s="137">
        <v>250000</v>
      </c>
      <c r="R195" s="79">
        <v>450</v>
      </c>
      <c r="S195" s="272">
        <f>E195*Q195</f>
        <v>25000000</v>
      </c>
      <c r="T195" s="272">
        <f>R195*E195</f>
        <v>45000</v>
      </c>
      <c r="U195" s="397">
        <f>T195+(S195/$K$2)</f>
        <v>105650.16982047551</v>
      </c>
      <c r="V195" s="409"/>
    </row>
    <row r="196" spans="2:22" ht="11.25" x14ac:dyDescent="0.25">
      <c r="B196" s="132" t="s">
        <v>333</v>
      </c>
      <c r="C196" s="310" t="s">
        <v>334</v>
      </c>
      <c r="D196" s="53"/>
      <c r="E196" s="142"/>
      <c r="F196" s="311"/>
      <c r="G196" s="274"/>
      <c r="H196" s="46"/>
      <c r="I196" s="46"/>
      <c r="J196" s="309">
        <f t="shared" si="129"/>
        <v>0</v>
      </c>
      <c r="K196" s="137"/>
      <c r="L196" s="137"/>
      <c r="M196" s="79"/>
      <c r="N196" s="302"/>
      <c r="O196" s="302"/>
      <c r="P196" s="303"/>
      <c r="Q196" s="275"/>
      <c r="R196" s="88"/>
      <c r="S196" s="276"/>
      <c r="T196" s="276">
        <f t="shared" ref="T196:T216" si="131">R196*E196</f>
        <v>0</v>
      </c>
      <c r="U196" s="398">
        <f t="shared" ref="U196:U221" si="132">T196+(S196/$K$2)</f>
        <v>0</v>
      </c>
      <c r="V196" s="409"/>
    </row>
    <row r="197" spans="2:22" ht="29.1" customHeight="1" x14ac:dyDescent="0.25">
      <c r="B197" s="128" t="s">
        <v>335</v>
      </c>
      <c r="C197" s="52" t="s">
        <v>336</v>
      </c>
      <c r="D197" s="53" t="s">
        <v>337</v>
      </c>
      <c r="E197" s="133">
        <f>3*13*4</f>
        <v>156</v>
      </c>
      <c r="F197" s="311">
        <v>633594.85</v>
      </c>
      <c r="G197" s="274"/>
      <c r="H197" s="46">
        <f t="shared" ref="H197:H216" si="133">E197*F197</f>
        <v>98840796.599999994</v>
      </c>
      <c r="I197" s="46">
        <f t="shared" ref="I197:I215" si="134">E197*G197</f>
        <v>0</v>
      </c>
      <c r="J197" s="309">
        <f t="shared" si="129"/>
        <v>239788.44395924307</v>
      </c>
      <c r="K197" s="76"/>
      <c r="L197" s="76">
        <v>633594.85</v>
      </c>
      <c r="M197" s="77"/>
      <c r="N197" s="270">
        <f t="shared" ref="N197:O216" si="135">$E197*L197</f>
        <v>98840796.599999994</v>
      </c>
      <c r="O197" s="270">
        <f t="shared" si="135"/>
        <v>0</v>
      </c>
      <c r="P197" s="271">
        <f t="shared" ref="P197:P221" si="136">O197+(N197/$K$2)</f>
        <v>239788.44395924307</v>
      </c>
      <c r="Q197" s="137">
        <f>20000*31</f>
        <v>620000</v>
      </c>
      <c r="R197" s="312">
        <v>0</v>
      </c>
      <c r="S197" s="272">
        <f t="shared" ref="S197:S216" si="137">Q197*E197</f>
        <v>96720000</v>
      </c>
      <c r="T197" s="272">
        <f t="shared" si="131"/>
        <v>0</v>
      </c>
      <c r="U197" s="399">
        <f t="shared" si="132"/>
        <v>234643.37700145561</v>
      </c>
      <c r="V197" s="409"/>
    </row>
    <row r="198" spans="2:22" ht="26.45" customHeight="1" x14ac:dyDescent="0.25">
      <c r="B198" s="128" t="s">
        <v>338</v>
      </c>
      <c r="C198" s="52" t="s">
        <v>339</v>
      </c>
      <c r="D198" s="53" t="s">
        <v>337</v>
      </c>
      <c r="E198" s="133">
        <f>1*13*4</f>
        <v>52</v>
      </c>
      <c r="F198" s="311">
        <v>506733.57</v>
      </c>
      <c r="G198" s="274"/>
      <c r="H198" s="46">
        <f t="shared" si="133"/>
        <v>26350145.640000001</v>
      </c>
      <c r="I198" s="46">
        <f t="shared" si="134"/>
        <v>0</v>
      </c>
      <c r="J198" s="309">
        <f t="shared" si="129"/>
        <v>63925.632314410483</v>
      </c>
      <c r="K198" s="76"/>
      <c r="L198" s="76">
        <v>506733.57</v>
      </c>
      <c r="M198" s="77"/>
      <c r="N198" s="270">
        <f t="shared" si="135"/>
        <v>26350145.640000001</v>
      </c>
      <c r="O198" s="270">
        <f t="shared" si="135"/>
        <v>0</v>
      </c>
      <c r="P198" s="271">
        <f t="shared" si="136"/>
        <v>63925.632314410483</v>
      </c>
      <c r="Q198" s="483">
        <v>506733.57</v>
      </c>
      <c r="R198" s="312">
        <v>0</v>
      </c>
      <c r="S198" s="272">
        <f t="shared" si="137"/>
        <v>26350145.640000001</v>
      </c>
      <c r="T198" s="272">
        <f t="shared" si="131"/>
        <v>0</v>
      </c>
      <c r="U198" s="399">
        <f t="shared" si="132"/>
        <v>63925.632314410483</v>
      </c>
      <c r="V198" s="409"/>
    </row>
    <row r="199" spans="2:22" ht="33.75" x14ac:dyDescent="0.25">
      <c r="B199" s="128" t="s">
        <v>340</v>
      </c>
      <c r="C199" s="52" t="s">
        <v>341</v>
      </c>
      <c r="D199" s="53" t="s">
        <v>337</v>
      </c>
      <c r="E199" s="133">
        <f>1*13*4</f>
        <v>52</v>
      </c>
      <c r="F199" s="311">
        <v>633594.85199999996</v>
      </c>
      <c r="G199" s="274"/>
      <c r="H199" s="46">
        <f t="shared" si="133"/>
        <v>32946932.303999998</v>
      </c>
      <c r="I199" s="46">
        <f t="shared" si="134"/>
        <v>0</v>
      </c>
      <c r="J199" s="309">
        <f t="shared" si="129"/>
        <v>79929.481572052391</v>
      </c>
      <c r="K199" s="76"/>
      <c r="L199" s="76">
        <v>633594.85199999996</v>
      </c>
      <c r="M199" s="77"/>
      <c r="N199" s="270">
        <f t="shared" si="135"/>
        <v>32946932.303999998</v>
      </c>
      <c r="O199" s="270">
        <f t="shared" si="135"/>
        <v>0</v>
      </c>
      <c r="P199" s="271">
        <f t="shared" si="136"/>
        <v>79929.481572052391</v>
      </c>
      <c r="Q199" s="483">
        <v>633594.85199999996</v>
      </c>
      <c r="R199" s="312">
        <v>0</v>
      </c>
      <c r="S199" s="272">
        <f t="shared" si="137"/>
        <v>32946932.303999998</v>
      </c>
      <c r="T199" s="272">
        <f t="shared" si="131"/>
        <v>0</v>
      </c>
      <c r="U199" s="399">
        <f t="shared" si="132"/>
        <v>79929.481572052391</v>
      </c>
      <c r="V199" s="409"/>
    </row>
    <row r="200" spans="2:22" ht="33.75" x14ac:dyDescent="0.25">
      <c r="B200" s="128" t="s">
        <v>342</v>
      </c>
      <c r="C200" s="52" t="s">
        <v>343</v>
      </c>
      <c r="D200" s="53" t="s">
        <v>337</v>
      </c>
      <c r="E200" s="133">
        <f t="shared" ref="E200:E202" si="138">1*13*4</f>
        <v>52</v>
      </c>
      <c r="F200" s="311">
        <v>506733.57</v>
      </c>
      <c r="G200" s="274"/>
      <c r="H200" s="46">
        <f t="shared" si="133"/>
        <v>26350145.640000001</v>
      </c>
      <c r="I200" s="46">
        <f t="shared" si="134"/>
        <v>0</v>
      </c>
      <c r="J200" s="309">
        <f t="shared" si="129"/>
        <v>63925.632314410483</v>
      </c>
      <c r="K200" s="76"/>
      <c r="L200" s="76">
        <v>506733.57</v>
      </c>
      <c r="M200" s="77"/>
      <c r="N200" s="270">
        <f t="shared" si="135"/>
        <v>26350145.640000001</v>
      </c>
      <c r="O200" s="270">
        <f t="shared" si="135"/>
        <v>0</v>
      </c>
      <c r="P200" s="271">
        <f t="shared" si="136"/>
        <v>63925.632314410483</v>
      </c>
      <c r="Q200" s="483">
        <v>506733.57</v>
      </c>
      <c r="R200" s="312">
        <v>0</v>
      </c>
      <c r="S200" s="272">
        <f t="shared" si="137"/>
        <v>26350145.640000001</v>
      </c>
      <c r="T200" s="272">
        <f t="shared" si="131"/>
        <v>0</v>
      </c>
      <c r="U200" s="399">
        <f t="shared" si="132"/>
        <v>63925.632314410483</v>
      </c>
      <c r="V200" s="409"/>
    </row>
    <row r="201" spans="2:22" ht="33.75" x14ac:dyDescent="0.25">
      <c r="B201" s="128" t="s">
        <v>344</v>
      </c>
      <c r="C201" s="52" t="s">
        <v>345</v>
      </c>
      <c r="D201" s="53" t="s">
        <v>337</v>
      </c>
      <c r="E201" s="133">
        <f t="shared" si="138"/>
        <v>52</v>
      </c>
      <c r="F201" s="311">
        <f>F200</f>
        <v>506733.57</v>
      </c>
      <c r="G201" s="274"/>
      <c r="H201" s="46">
        <f t="shared" si="133"/>
        <v>26350145.640000001</v>
      </c>
      <c r="I201" s="46">
        <f t="shared" si="134"/>
        <v>0</v>
      </c>
      <c r="J201" s="309">
        <f t="shared" si="129"/>
        <v>63925.632314410483</v>
      </c>
      <c r="K201" s="76"/>
      <c r="L201" s="76">
        <f>L200</f>
        <v>506733.57</v>
      </c>
      <c r="M201" s="77"/>
      <c r="N201" s="270">
        <f t="shared" si="135"/>
        <v>26350145.640000001</v>
      </c>
      <c r="O201" s="270">
        <f t="shared" si="135"/>
        <v>0</v>
      </c>
      <c r="P201" s="271">
        <f t="shared" si="136"/>
        <v>63925.632314410483</v>
      </c>
      <c r="Q201" s="483">
        <v>506733.57</v>
      </c>
      <c r="R201" s="312">
        <v>0</v>
      </c>
      <c r="S201" s="272">
        <f t="shared" si="137"/>
        <v>26350145.640000001</v>
      </c>
      <c r="T201" s="272">
        <f t="shared" si="131"/>
        <v>0</v>
      </c>
      <c r="U201" s="399">
        <f t="shared" si="132"/>
        <v>63925.632314410483</v>
      </c>
      <c r="V201" s="409"/>
    </row>
    <row r="202" spans="2:22" ht="33.75" x14ac:dyDescent="0.25">
      <c r="B202" s="128" t="s">
        <v>346</v>
      </c>
      <c r="C202" s="52" t="s">
        <v>347</v>
      </c>
      <c r="D202" s="53" t="s">
        <v>337</v>
      </c>
      <c r="E202" s="133">
        <f t="shared" si="138"/>
        <v>52</v>
      </c>
      <c r="F202" s="311">
        <f>F199</f>
        <v>633594.85199999996</v>
      </c>
      <c r="G202" s="274"/>
      <c r="H202" s="46">
        <f t="shared" si="133"/>
        <v>32946932.303999998</v>
      </c>
      <c r="I202" s="46">
        <f t="shared" si="134"/>
        <v>0</v>
      </c>
      <c r="J202" s="309">
        <f t="shared" si="129"/>
        <v>79929.481572052391</v>
      </c>
      <c r="K202" s="76"/>
      <c r="L202" s="76">
        <f>L199</f>
        <v>633594.85199999996</v>
      </c>
      <c r="M202" s="77"/>
      <c r="N202" s="270">
        <f t="shared" si="135"/>
        <v>32946932.303999998</v>
      </c>
      <c r="O202" s="270">
        <f t="shared" si="135"/>
        <v>0</v>
      </c>
      <c r="P202" s="271">
        <f t="shared" si="136"/>
        <v>79929.481572052391</v>
      </c>
      <c r="Q202" s="483">
        <v>633594.85199999996</v>
      </c>
      <c r="R202" s="312">
        <v>0</v>
      </c>
      <c r="S202" s="272">
        <f t="shared" si="137"/>
        <v>32946932.303999998</v>
      </c>
      <c r="T202" s="272">
        <f t="shared" si="131"/>
        <v>0</v>
      </c>
      <c r="U202" s="399">
        <f t="shared" si="132"/>
        <v>79929.481572052391</v>
      </c>
      <c r="V202" s="409"/>
    </row>
    <row r="203" spans="2:22" ht="23.45" customHeight="1" x14ac:dyDescent="0.25">
      <c r="B203" s="128" t="s">
        <v>348</v>
      </c>
      <c r="C203" s="52" t="s">
        <v>349</v>
      </c>
      <c r="D203" s="53" t="s">
        <v>337</v>
      </c>
      <c r="E203" s="133">
        <f>2*13*4</f>
        <v>104</v>
      </c>
      <c r="F203" s="311">
        <v>579764.196</v>
      </c>
      <c r="G203" s="274"/>
      <c r="H203" s="46">
        <f t="shared" si="133"/>
        <v>60295476.384000003</v>
      </c>
      <c r="I203" s="46">
        <f t="shared" si="134"/>
        <v>0</v>
      </c>
      <c r="J203" s="309">
        <f t="shared" si="129"/>
        <v>146277.23528384281</v>
      </c>
      <c r="K203" s="76"/>
      <c r="L203" s="76">
        <v>579764.196</v>
      </c>
      <c r="M203" s="77"/>
      <c r="N203" s="270">
        <f t="shared" si="135"/>
        <v>60295476.384000003</v>
      </c>
      <c r="O203" s="270">
        <f t="shared" si="135"/>
        <v>0</v>
      </c>
      <c r="P203" s="271">
        <f t="shared" si="136"/>
        <v>146277.23528384281</v>
      </c>
      <c r="Q203" s="483">
        <v>579764.196</v>
      </c>
      <c r="R203" s="312">
        <v>0</v>
      </c>
      <c r="S203" s="272">
        <f t="shared" si="137"/>
        <v>60295476.384000003</v>
      </c>
      <c r="T203" s="272">
        <f t="shared" si="131"/>
        <v>0</v>
      </c>
      <c r="U203" s="399">
        <f t="shared" si="132"/>
        <v>146277.23528384281</v>
      </c>
      <c r="V203" s="409"/>
    </row>
    <row r="204" spans="2:22" ht="22.5" x14ac:dyDescent="0.25">
      <c r="B204" s="128" t="s">
        <v>350</v>
      </c>
      <c r="C204" s="52" t="s">
        <v>351</v>
      </c>
      <c r="D204" s="53" t="s">
        <v>337</v>
      </c>
      <c r="E204" s="133">
        <f>2*13*4</f>
        <v>104</v>
      </c>
      <c r="F204" s="311">
        <v>506733.57</v>
      </c>
      <c r="G204" s="274"/>
      <c r="H204" s="46">
        <f t="shared" si="133"/>
        <v>52700291.280000001</v>
      </c>
      <c r="I204" s="46">
        <f t="shared" si="134"/>
        <v>0</v>
      </c>
      <c r="J204" s="309">
        <f t="shared" si="129"/>
        <v>127851.26462882097</v>
      </c>
      <c r="K204" s="76"/>
      <c r="L204" s="76">
        <v>506733.57</v>
      </c>
      <c r="M204" s="77"/>
      <c r="N204" s="270">
        <f t="shared" si="135"/>
        <v>52700291.280000001</v>
      </c>
      <c r="O204" s="270">
        <f t="shared" si="135"/>
        <v>0</v>
      </c>
      <c r="P204" s="271">
        <f t="shared" si="136"/>
        <v>127851.26462882097</v>
      </c>
      <c r="Q204" s="483">
        <v>506733.57</v>
      </c>
      <c r="R204" s="312">
        <v>0</v>
      </c>
      <c r="S204" s="272">
        <f t="shared" si="137"/>
        <v>52700291.280000001</v>
      </c>
      <c r="T204" s="272">
        <f t="shared" si="131"/>
        <v>0</v>
      </c>
      <c r="U204" s="399">
        <f t="shared" si="132"/>
        <v>127851.26462882097</v>
      </c>
      <c r="V204" s="409"/>
    </row>
    <row r="205" spans="2:22" ht="22.5" x14ac:dyDescent="0.25">
      <c r="B205" s="128" t="s">
        <v>352</v>
      </c>
      <c r="C205" s="52" t="s">
        <v>353</v>
      </c>
      <c r="D205" s="53" t="s">
        <v>337</v>
      </c>
      <c r="E205" s="133">
        <f>3*13*4</f>
        <v>156</v>
      </c>
      <c r="F205" s="311">
        <f>F200</f>
        <v>506733.57</v>
      </c>
      <c r="G205" s="274"/>
      <c r="H205" s="46">
        <f t="shared" si="133"/>
        <v>79050436.920000002</v>
      </c>
      <c r="I205" s="46">
        <f t="shared" si="134"/>
        <v>0</v>
      </c>
      <c r="J205" s="309">
        <f t="shared" si="129"/>
        <v>191776.89694323146</v>
      </c>
      <c r="K205" s="76"/>
      <c r="L205" s="76">
        <f>L200</f>
        <v>506733.57</v>
      </c>
      <c r="M205" s="77"/>
      <c r="N205" s="270">
        <f t="shared" si="135"/>
        <v>79050436.920000002</v>
      </c>
      <c r="O205" s="270">
        <f t="shared" si="135"/>
        <v>0</v>
      </c>
      <c r="P205" s="271">
        <f t="shared" si="136"/>
        <v>191776.89694323146</v>
      </c>
      <c r="Q205" s="483">
        <v>506733.57</v>
      </c>
      <c r="R205" s="312">
        <v>0</v>
      </c>
      <c r="S205" s="272">
        <f t="shared" si="137"/>
        <v>79050436.920000002</v>
      </c>
      <c r="T205" s="272">
        <f t="shared" si="131"/>
        <v>0</v>
      </c>
      <c r="U205" s="399">
        <f t="shared" si="132"/>
        <v>191776.89694323146</v>
      </c>
      <c r="V205" s="409"/>
    </row>
    <row r="206" spans="2:22" ht="22.5" x14ac:dyDescent="0.25">
      <c r="B206" s="128" t="s">
        <v>354</v>
      </c>
      <c r="C206" s="52" t="s">
        <v>355</v>
      </c>
      <c r="D206" s="53" t="s">
        <v>337</v>
      </c>
      <c r="E206" s="133">
        <f>3*13*4</f>
        <v>156</v>
      </c>
      <c r="F206" s="311">
        <v>450000</v>
      </c>
      <c r="G206" s="274"/>
      <c r="H206" s="46">
        <f t="shared" si="133"/>
        <v>70200000</v>
      </c>
      <c r="I206" s="46">
        <f t="shared" si="134"/>
        <v>0</v>
      </c>
      <c r="J206" s="309">
        <f t="shared" si="129"/>
        <v>170305.6768558952</v>
      </c>
      <c r="K206" s="76"/>
      <c r="L206" s="76">
        <v>450000</v>
      </c>
      <c r="M206" s="77"/>
      <c r="N206" s="270">
        <f t="shared" si="135"/>
        <v>70200000</v>
      </c>
      <c r="O206" s="270">
        <f t="shared" si="135"/>
        <v>0</v>
      </c>
      <c r="P206" s="271">
        <f t="shared" si="136"/>
        <v>170305.6768558952</v>
      </c>
      <c r="Q206" s="483">
        <v>450000</v>
      </c>
      <c r="R206" s="312">
        <v>0</v>
      </c>
      <c r="S206" s="272">
        <f t="shared" si="137"/>
        <v>70200000</v>
      </c>
      <c r="T206" s="272">
        <f t="shared" si="131"/>
        <v>0</v>
      </c>
      <c r="U206" s="399">
        <f t="shared" si="132"/>
        <v>170305.6768558952</v>
      </c>
      <c r="V206" s="409"/>
    </row>
    <row r="207" spans="2:22" ht="33.75" x14ac:dyDescent="0.25">
      <c r="B207" s="126" t="s">
        <v>356</v>
      </c>
      <c r="C207" s="35" t="s">
        <v>357</v>
      </c>
      <c r="D207" s="92" t="s">
        <v>337</v>
      </c>
      <c r="E207" s="131">
        <f>5*13*4</f>
        <v>260</v>
      </c>
      <c r="F207" s="308">
        <v>661263.07500000007</v>
      </c>
      <c r="G207" s="268"/>
      <c r="H207" s="39">
        <f t="shared" si="133"/>
        <v>171928399.50000003</v>
      </c>
      <c r="I207" s="39">
        <f t="shared" si="134"/>
        <v>0</v>
      </c>
      <c r="J207" s="309">
        <f t="shared" si="129"/>
        <v>417099.46506550227</v>
      </c>
      <c r="K207" s="85"/>
      <c r="L207" s="85">
        <v>661263.07500000007</v>
      </c>
      <c r="M207" s="86"/>
      <c r="N207" s="270">
        <f t="shared" si="135"/>
        <v>171928399.50000003</v>
      </c>
      <c r="O207" s="270">
        <f t="shared" si="135"/>
        <v>0</v>
      </c>
      <c r="P207" s="271">
        <f t="shared" si="136"/>
        <v>417099.46506550227</v>
      </c>
      <c r="Q207" s="483">
        <v>661263.07500000007</v>
      </c>
      <c r="R207" s="312">
        <v>0</v>
      </c>
      <c r="S207" s="272">
        <f t="shared" si="137"/>
        <v>171928399.50000003</v>
      </c>
      <c r="T207" s="272">
        <f t="shared" si="131"/>
        <v>0</v>
      </c>
      <c r="U207" s="399">
        <f t="shared" si="132"/>
        <v>417099.46506550227</v>
      </c>
      <c r="V207" s="409"/>
    </row>
    <row r="208" spans="2:22" ht="33.75" x14ac:dyDescent="0.25">
      <c r="B208" s="128" t="s">
        <v>358</v>
      </c>
      <c r="C208" s="52" t="s">
        <v>359</v>
      </c>
      <c r="D208" s="53" t="s">
        <v>337</v>
      </c>
      <c r="E208" s="133">
        <f>5*13*4</f>
        <v>260</v>
      </c>
      <c r="F208" s="311">
        <f>F202</f>
        <v>633594.85199999996</v>
      </c>
      <c r="G208" s="274"/>
      <c r="H208" s="46">
        <f t="shared" si="133"/>
        <v>164734661.51999998</v>
      </c>
      <c r="I208" s="46">
        <f t="shared" si="134"/>
        <v>0</v>
      </c>
      <c r="J208" s="309">
        <f t="shared" si="129"/>
        <v>399647.40786026197</v>
      </c>
      <c r="K208" s="76"/>
      <c r="L208" s="76">
        <f>L202</f>
        <v>633594.85199999996</v>
      </c>
      <c r="M208" s="77"/>
      <c r="N208" s="270">
        <f t="shared" si="135"/>
        <v>164734661.51999998</v>
      </c>
      <c r="O208" s="270">
        <f t="shared" si="135"/>
        <v>0</v>
      </c>
      <c r="P208" s="271">
        <f t="shared" si="136"/>
        <v>399647.40786026197</v>
      </c>
      <c r="Q208" s="483">
        <v>633594.85199999996</v>
      </c>
      <c r="R208" s="312">
        <v>0</v>
      </c>
      <c r="S208" s="272">
        <f t="shared" si="137"/>
        <v>164734661.51999998</v>
      </c>
      <c r="T208" s="272">
        <f t="shared" si="131"/>
        <v>0</v>
      </c>
      <c r="U208" s="399">
        <f t="shared" si="132"/>
        <v>399647.40786026197</v>
      </c>
      <c r="V208" s="409"/>
    </row>
    <row r="209" spans="2:22" ht="33.75" x14ac:dyDescent="0.25">
      <c r="B209" s="128" t="s">
        <v>360</v>
      </c>
      <c r="C209" s="52" t="s">
        <v>361</v>
      </c>
      <c r="D209" s="53" t="s">
        <v>337</v>
      </c>
      <c r="E209" s="133">
        <f>5*13*4</f>
        <v>260</v>
      </c>
      <c r="F209" s="311">
        <v>579764.196</v>
      </c>
      <c r="G209" s="274"/>
      <c r="H209" s="46">
        <f t="shared" si="133"/>
        <v>150738690.96000001</v>
      </c>
      <c r="I209" s="46">
        <f t="shared" si="134"/>
        <v>0</v>
      </c>
      <c r="J209" s="309">
        <f t="shared" si="129"/>
        <v>365693.088209607</v>
      </c>
      <c r="K209" s="76"/>
      <c r="L209" s="76">
        <v>579764.196</v>
      </c>
      <c r="M209" s="77"/>
      <c r="N209" s="270">
        <f t="shared" si="135"/>
        <v>150738690.96000001</v>
      </c>
      <c r="O209" s="270">
        <f t="shared" si="135"/>
        <v>0</v>
      </c>
      <c r="P209" s="271">
        <f t="shared" si="136"/>
        <v>365693.088209607</v>
      </c>
      <c r="Q209" s="483">
        <v>579764.196</v>
      </c>
      <c r="R209" s="312">
        <v>0</v>
      </c>
      <c r="S209" s="272">
        <f t="shared" si="137"/>
        <v>150738690.96000001</v>
      </c>
      <c r="T209" s="272">
        <f t="shared" si="131"/>
        <v>0</v>
      </c>
      <c r="U209" s="399">
        <f t="shared" si="132"/>
        <v>365693.088209607</v>
      </c>
      <c r="V209" s="409"/>
    </row>
    <row r="210" spans="2:22" ht="24.95" customHeight="1" x14ac:dyDescent="0.25">
      <c r="B210" s="128" t="s">
        <v>362</v>
      </c>
      <c r="C210" s="134" t="s">
        <v>363</v>
      </c>
      <c r="D210" s="53" t="s">
        <v>337</v>
      </c>
      <c r="E210" s="133">
        <f>4*13*4</f>
        <v>208</v>
      </c>
      <c r="F210" s="311">
        <v>506733.57</v>
      </c>
      <c r="G210" s="274"/>
      <c r="H210" s="46">
        <f t="shared" si="133"/>
        <v>105400582.56</v>
      </c>
      <c r="I210" s="46">
        <f t="shared" si="134"/>
        <v>0</v>
      </c>
      <c r="J210" s="309">
        <f t="shared" si="129"/>
        <v>255702.52925764193</v>
      </c>
      <c r="K210" s="76"/>
      <c r="L210" s="76">
        <v>506733.57</v>
      </c>
      <c r="M210" s="77"/>
      <c r="N210" s="270">
        <f t="shared" si="135"/>
        <v>105400582.56</v>
      </c>
      <c r="O210" s="270">
        <f t="shared" si="135"/>
        <v>0</v>
      </c>
      <c r="P210" s="271">
        <f t="shared" si="136"/>
        <v>255702.52925764193</v>
      </c>
      <c r="Q210" s="483">
        <v>506733.57</v>
      </c>
      <c r="R210" s="312">
        <v>0</v>
      </c>
      <c r="S210" s="272">
        <f t="shared" si="137"/>
        <v>105400582.56</v>
      </c>
      <c r="T210" s="272">
        <f t="shared" si="131"/>
        <v>0</v>
      </c>
      <c r="U210" s="399">
        <f t="shared" si="132"/>
        <v>255702.52925764193</v>
      </c>
      <c r="V210" s="409"/>
    </row>
    <row r="211" spans="2:22" ht="45" customHeight="1" x14ac:dyDescent="0.25">
      <c r="B211" s="128" t="s">
        <v>364</v>
      </c>
      <c r="C211" s="52" t="s">
        <v>365</v>
      </c>
      <c r="D211" s="53" t="s">
        <v>337</v>
      </c>
      <c r="E211" s="133">
        <f>6*13*4</f>
        <v>312</v>
      </c>
      <c r="F211" s="313">
        <v>661263.07500000007</v>
      </c>
      <c r="G211" s="274"/>
      <c r="H211" s="46">
        <f t="shared" si="133"/>
        <v>206314079.40000004</v>
      </c>
      <c r="I211" s="46">
        <f t="shared" si="134"/>
        <v>0</v>
      </c>
      <c r="J211" s="309">
        <f t="shared" si="129"/>
        <v>500519.3580786027</v>
      </c>
      <c r="K211" s="314"/>
      <c r="L211" s="314">
        <v>661263.07500000007</v>
      </c>
      <c r="M211" s="77"/>
      <c r="N211" s="270">
        <f t="shared" si="135"/>
        <v>206314079.40000004</v>
      </c>
      <c r="O211" s="270">
        <f t="shared" si="135"/>
        <v>0</v>
      </c>
      <c r="P211" s="271">
        <f t="shared" si="136"/>
        <v>500519.3580786027</v>
      </c>
      <c r="Q211" s="483">
        <v>661263.07500000007</v>
      </c>
      <c r="R211" s="312">
        <v>0</v>
      </c>
      <c r="S211" s="272">
        <f t="shared" si="137"/>
        <v>206314079.40000004</v>
      </c>
      <c r="T211" s="272">
        <f t="shared" si="131"/>
        <v>0</v>
      </c>
      <c r="U211" s="399">
        <f t="shared" si="132"/>
        <v>500519.3580786027</v>
      </c>
      <c r="V211" s="409"/>
    </row>
    <row r="212" spans="2:22" ht="47.1" customHeight="1" x14ac:dyDescent="0.25">
      <c r="B212" s="128" t="s">
        <v>366</v>
      </c>
      <c r="C212" s="52" t="s">
        <v>367</v>
      </c>
      <c r="D212" s="53" t="s">
        <v>337</v>
      </c>
      <c r="E212" s="133">
        <f>12*13*4</f>
        <v>624</v>
      </c>
      <c r="F212" s="311">
        <v>633594.85199999996</v>
      </c>
      <c r="G212" s="274"/>
      <c r="H212" s="46">
        <f t="shared" si="133"/>
        <v>395363187.648</v>
      </c>
      <c r="I212" s="46">
        <f t="shared" si="134"/>
        <v>0</v>
      </c>
      <c r="J212" s="309">
        <f t="shared" si="129"/>
        <v>959153.77886462887</v>
      </c>
      <c r="K212" s="76"/>
      <c r="L212" s="76">
        <v>633594.85199999996</v>
      </c>
      <c r="M212" s="77"/>
      <c r="N212" s="270">
        <f t="shared" si="135"/>
        <v>395363187.648</v>
      </c>
      <c r="O212" s="270">
        <f t="shared" si="135"/>
        <v>0</v>
      </c>
      <c r="P212" s="271">
        <f t="shared" si="136"/>
        <v>959153.77886462887</v>
      </c>
      <c r="Q212" s="483">
        <v>633594.85199999996</v>
      </c>
      <c r="R212" s="312">
        <v>0</v>
      </c>
      <c r="S212" s="272">
        <f t="shared" si="137"/>
        <v>395363187.648</v>
      </c>
      <c r="T212" s="272">
        <f t="shared" si="131"/>
        <v>0</v>
      </c>
      <c r="U212" s="399">
        <f t="shared" si="132"/>
        <v>959153.77886462887</v>
      </c>
      <c r="V212" s="409"/>
    </row>
    <row r="213" spans="2:22" ht="45" customHeight="1" x14ac:dyDescent="0.25">
      <c r="B213" s="128" t="s">
        <v>368</v>
      </c>
      <c r="C213" s="52" t="s">
        <v>369</v>
      </c>
      <c r="D213" s="53" t="s">
        <v>337</v>
      </c>
      <c r="E213" s="133">
        <f>10*13*4</f>
        <v>520</v>
      </c>
      <c r="F213" s="311">
        <v>506733.57</v>
      </c>
      <c r="G213" s="274"/>
      <c r="H213" s="46">
        <f t="shared" si="133"/>
        <v>263501456.40000001</v>
      </c>
      <c r="I213" s="46">
        <f t="shared" si="134"/>
        <v>0</v>
      </c>
      <c r="J213" s="309">
        <f t="shared" si="129"/>
        <v>639256.3231441048</v>
      </c>
      <c r="K213" s="76"/>
      <c r="L213" s="76">
        <v>506733.57</v>
      </c>
      <c r="M213" s="77"/>
      <c r="N213" s="270">
        <f t="shared" si="135"/>
        <v>263501456.40000001</v>
      </c>
      <c r="O213" s="270">
        <f t="shared" si="135"/>
        <v>0</v>
      </c>
      <c r="P213" s="271">
        <f t="shared" si="136"/>
        <v>639256.3231441048</v>
      </c>
      <c r="Q213" s="137">
        <f>18000*31</f>
        <v>558000</v>
      </c>
      <c r="R213" s="312">
        <v>0</v>
      </c>
      <c r="S213" s="272">
        <f t="shared" si="137"/>
        <v>290160000</v>
      </c>
      <c r="T213" s="272">
        <f t="shared" si="131"/>
        <v>0</v>
      </c>
      <c r="U213" s="399">
        <f t="shared" si="132"/>
        <v>703930.13100436679</v>
      </c>
      <c r="V213" s="409"/>
    </row>
    <row r="214" spans="2:22" ht="51.95" customHeight="1" x14ac:dyDescent="0.25">
      <c r="B214" s="128" t="s">
        <v>370</v>
      </c>
      <c r="C214" s="52" t="s">
        <v>371</v>
      </c>
      <c r="D214" s="53" t="s">
        <v>337</v>
      </c>
      <c r="E214" s="133">
        <f>4*13*4</f>
        <v>208</v>
      </c>
      <c r="F214" s="311">
        <v>506733.57</v>
      </c>
      <c r="G214" s="274"/>
      <c r="H214" s="46">
        <f t="shared" si="133"/>
        <v>105400582.56</v>
      </c>
      <c r="I214" s="46">
        <f t="shared" si="134"/>
        <v>0</v>
      </c>
      <c r="J214" s="309">
        <f t="shared" si="129"/>
        <v>255702.52925764193</v>
      </c>
      <c r="K214" s="76"/>
      <c r="L214" s="76">
        <v>506733.57</v>
      </c>
      <c r="M214" s="77"/>
      <c r="N214" s="270">
        <f t="shared" si="135"/>
        <v>105400582.56</v>
      </c>
      <c r="O214" s="270">
        <f t="shared" si="135"/>
        <v>0</v>
      </c>
      <c r="P214" s="271">
        <f t="shared" si="136"/>
        <v>255702.52925764193</v>
      </c>
      <c r="Q214" s="137">
        <f>Q213</f>
        <v>558000</v>
      </c>
      <c r="R214" s="312">
        <v>0</v>
      </c>
      <c r="S214" s="272">
        <f t="shared" si="137"/>
        <v>116064000</v>
      </c>
      <c r="T214" s="272">
        <f t="shared" si="131"/>
        <v>0</v>
      </c>
      <c r="U214" s="399">
        <f t="shared" si="132"/>
        <v>281572.05240174674</v>
      </c>
      <c r="V214" s="409"/>
    </row>
    <row r="215" spans="2:22" ht="54.95" customHeight="1" x14ac:dyDescent="0.25">
      <c r="B215" s="128" t="s">
        <v>372</v>
      </c>
      <c r="C215" s="52" t="s">
        <v>373</v>
      </c>
      <c r="D215" s="53" t="s">
        <v>337</v>
      </c>
      <c r="E215" s="133">
        <f>4*13*4</f>
        <v>208</v>
      </c>
      <c r="F215" s="311">
        <v>506000</v>
      </c>
      <c r="G215" s="274"/>
      <c r="H215" s="46">
        <f t="shared" si="133"/>
        <v>105248000</v>
      </c>
      <c r="I215" s="46">
        <f t="shared" si="134"/>
        <v>0</v>
      </c>
      <c r="J215" s="309">
        <f t="shared" si="129"/>
        <v>255332.36293061622</v>
      </c>
      <c r="K215" s="76"/>
      <c r="L215" s="76">
        <v>506000</v>
      </c>
      <c r="M215" s="77"/>
      <c r="N215" s="270">
        <f t="shared" si="135"/>
        <v>105248000</v>
      </c>
      <c r="O215" s="270">
        <f t="shared" si="135"/>
        <v>0</v>
      </c>
      <c r="P215" s="271">
        <f t="shared" si="136"/>
        <v>255332.36293061622</v>
      </c>
      <c r="Q215" s="137">
        <f>Q214</f>
        <v>558000</v>
      </c>
      <c r="R215" s="312">
        <v>0</v>
      </c>
      <c r="S215" s="272">
        <f t="shared" si="137"/>
        <v>116064000</v>
      </c>
      <c r="T215" s="272">
        <f t="shared" si="131"/>
        <v>0</v>
      </c>
      <c r="U215" s="399">
        <f t="shared" si="132"/>
        <v>281572.05240174674</v>
      </c>
      <c r="V215" s="409"/>
    </row>
    <row r="216" spans="2:22" ht="56.45" customHeight="1" x14ac:dyDescent="0.25">
      <c r="B216" s="128" t="s">
        <v>374</v>
      </c>
      <c r="C216" s="52" t="s">
        <v>375</v>
      </c>
      <c r="D216" s="53" t="s">
        <v>337</v>
      </c>
      <c r="E216" s="133">
        <f>10*13*4</f>
        <v>520</v>
      </c>
      <c r="F216" s="311">
        <v>450000</v>
      </c>
      <c r="G216" s="274"/>
      <c r="H216" s="46">
        <f t="shared" si="133"/>
        <v>234000000</v>
      </c>
      <c r="I216" s="46">
        <f>E216*G216</f>
        <v>0</v>
      </c>
      <c r="J216" s="309">
        <f t="shared" si="129"/>
        <v>567685.58951965068</v>
      </c>
      <c r="K216" s="76"/>
      <c r="L216" s="76">
        <v>450000</v>
      </c>
      <c r="M216" s="77"/>
      <c r="N216" s="270">
        <f t="shared" si="135"/>
        <v>234000000</v>
      </c>
      <c r="O216" s="270">
        <f t="shared" si="135"/>
        <v>0</v>
      </c>
      <c r="P216" s="271">
        <f t="shared" si="136"/>
        <v>567685.58951965068</v>
      </c>
      <c r="Q216" s="137">
        <f>15000*31</f>
        <v>465000</v>
      </c>
      <c r="R216" s="312">
        <v>0</v>
      </c>
      <c r="S216" s="272">
        <f t="shared" si="137"/>
        <v>241800000</v>
      </c>
      <c r="T216" s="272">
        <f t="shared" si="131"/>
        <v>0</v>
      </c>
      <c r="U216" s="399">
        <f t="shared" si="132"/>
        <v>586608.44250363903</v>
      </c>
      <c r="V216" s="409"/>
    </row>
    <row r="217" spans="2:22" ht="33.75" x14ac:dyDescent="0.25">
      <c r="B217" s="128" t="s">
        <v>376</v>
      </c>
      <c r="C217" s="52" t="s">
        <v>377</v>
      </c>
      <c r="D217" s="53" t="s">
        <v>378</v>
      </c>
      <c r="E217" s="135">
        <v>0.32</v>
      </c>
      <c r="F217" s="273"/>
      <c r="G217" s="274"/>
      <c r="H217" s="46">
        <f>SUM(H197:H216)*0.32</f>
        <v>770771501.84320009</v>
      </c>
      <c r="I217" s="46"/>
      <c r="J217" s="309">
        <f t="shared" si="129"/>
        <v>1869896.8991829213</v>
      </c>
      <c r="K217" s="137"/>
      <c r="L217" s="137">
        <v>0.28999999999999998</v>
      </c>
      <c r="M217" s="79"/>
      <c r="N217" s="270">
        <f>SUM(N197:N216)*L217</f>
        <v>698511673.54540002</v>
      </c>
      <c r="O217" s="270">
        <f>SUM(O197:O216)*M217</f>
        <v>0</v>
      </c>
      <c r="P217" s="271">
        <f t="shared" si="136"/>
        <v>1694594.0648845222</v>
      </c>
      <c r="Q217" s="137">
        <v>0.32</v>
      </c>
      <c r="R217" s="312">
        <v>0</v>
      </c>
      <c r="S217" s="272">
        <f>SUM(S197:S216)*Q217</f>
        <v>787992994.46399999</v>
      </c>
      <c r="T217" s="272">
        <f>SUM(T197:T216)*R217</f>
        <v>0</v>
      </c>
      <c r="U217" s="398">
        <f t="shared" si="132"/>
        <v>1911676.3572634642</v>
      </c>
      <c r="V217" s="409"/>
    </row>
    <row r="218" spans="2:22" ht="33.75" x14ac:dyDescent="0.25">
      <c r="B218" s="128" t="s">
        <v>379</v>
      </c>
      <c r="C218" s="52" t="s">
        <v>380</v>
      </c>
      <c r="D218" s="53" t="s">
        <v>381</v>
      </c>
      <c r="E218" s="133">
        <f>500*48</f>
        <v>24000</v>
      </c>
      <c r="F218" s="273">
        <v>2500</v>
      </c>
      <c r="G218" s="274"/>
      <c r="H218" s="46">
        <f>E218*F218</f>
        <v>60000000</v>
      </c>
      <c r="I218" s="46">
        <f>E218*G218</f>
        <v>0</v>
      </c>
      <c r="J218" s="269">
        <f t="shared" si="129"/>
        <v>145560.40756914119</v>
      </c>
      <c r="K218" s="45"/>
      <c r="L218" s="45">
        <v>2500</v>
      </c>
      <c r="M218" s="48"/>
      <c r="N218" s="270">
        <f>$E218*L218</f>
        <v>60000000</v>
      </c>
      <c r="O218" s="270">
        <f t="shared" ref="O218:O219" si="139">$E218*M218</f>
        <v>0</v>
      </c>
      <c r="P218" s="271">
        <f t="shared" si="136"/>
        <v>145560.40756914119</v>
      </c>
      <c r="Q218" s="485">
        <v>2500</v>
      </c>
      <c r="R218" s="88">
        <v>0</v>
      </c>
      <c r="S218" s="272">
        <f>$E218*Q218</f>
        <v>60000000</v>
      </c>
      <c r="T218" s="272">
        <f t="shared" ref="T218:T219" si="140">$E218*R218</f>
        <v>0</v>
      </c>
      <c r="U218" s="398">
        <f t="shared" si="132"/>
        <v>145560.40756914119</v>
      </c>
      <c r="V218" s="408" t="s">
        <v>666</v>
      </c>
    </row>
    <row r="219" spans="2:22" ht="33.75" x14ac:dyDescent="0.25">
      <c r="B219" s="128" t="s">
        <v>382</v>
      </c>
      <c r="C219" s="52" t="s">
        <v>383</v>
      </c>
      <c r="D219" s="53" t="s">
        <v>381</v>
      </c>
      <c r="E219" s="133">
        <f>500*48</f>
        <v>24000</v>
      </c>
      <c r="F219" s="273">
        <v>1500</v>
      </c>
      <c r="G219" s="274"/>
      <c r="H219" s="46">
        <f>E219*F219</f>
        <v>36000000</v>
      </c>
      <c r="I219" s="46">
        <f>E219*G219</f>
        <v>0</v>
      </c>
      <c r="J219" s="269">
        <f t="shared" si="129"/>
        <v>87336.244541484717</v>
      </c>
      <c r="K219" s="45"/>
      <c r="L219" s="45">
        <v>1500</v>
      </c>
      <c r="M219" s="48"/>
      <c r="N219" s="270">
        <f t="shared" ref="N219" si="141">$E219*L219</f>
        <v>36000000</v>
      </c>
      <c r="O219" s="270">
        <f t="shared" si="139"/>
        <v>0</v>
      </c>
      <c r="P219" s="271">
        <f t="shared" si="136"/>
        <v>87336.244541484717</v>
      </c>
      <c r="Q219" s="483">
        <v>1500</v>
      </c>
      <c r="R219" s="79">
        <v>0</v>
      </c>
      <c r="S219" s="272">
        <f t="shared" ref="S219" si="142">$E219*Q219</f>
        <v>36000000</v>
      </c>
      <c r="T219" s="272">
        <f t="shared" si="140"/>
        <v>0</v>
      </c>
      <c r="U219" s="398">
        <f t="shared" si="132"/>
        <v>87336.244541484717</v>
      </c>
      <c r="V219" s="408" t="s">
        <v>666</v>
      </c>
    </row>
    <row r="220" spans="2:22" ht="11.25" x14ac:dyDescent="0.25">
      <c r="B220" s="128" t="s">
        <v>384</v>
      </c>
      <c r="C220" s="52" t="s">
        <v>385</v>
      </c>
      <c r="D220" s="53" t="s">
        <v>378</v>
      </c>
      <c r="E220" s="136" t="s">
        <v>386</v>
      </c>
      <c r="F220" s="273">
        <f>F219*0.15</f>
        <v>225</v>
      </c>
      <c r="G220" s="274"/>
      <c r="H220" s="46">
        <f>SUM(H218:H219)*0.15</f>
        <v>14400000</v>
      </c>
      <c r="I220" s="46"/>
      <c r="J220" s="269">
        <f t="shared" si="129"/>
        <v>34934.497816593888</v>
      </c>
      <c r="K220" s="47"/>
      <c r="L220" s="47">
        <v>0.14000000000000001</v>
      </c>
      <c r="M220" s="48"/>
      <c r="N220" s="270">
        <f>SUM(N218:N219)*L220</f>
        <v>13440000.000000002</v>
      </c>
      <c r="O220" s="270">
        <f>SUM(O218:O219)*M220</f>
        <v>0</v>
      </c>
      <c r="P220" s="271">
        <f t="shared" si="136"/>
        <v>32605.531295487632</v>
      </c>
      <c r="Q220" s="488">
        <v>0.14000000000000001</v>
      </c>
      <c r="R220" s="79">
        <v>0</v>
      </c>
      <c r="S220" s="272">
        <f>SUM(S218:S219)*Q220</f>
        <v>13440000.000000002</v>
      </c>
      <c r="T220" s="272">
        <f>SUM(T218:T219)*R220</f>
        <v>0</v>
      </c>
      <c r="U220" s="398">
        <f t="shared" si="132"/>
        <v>32605.531295487632</v>
      </c>
      <c r="V220" s="409"/>
    </row>
    <row r="221" spans="2:22" ht="23.25" thickBot="1" x14ac:dyDescent="0.3">
      <c r="B221" s="129" t="s">
        <v>387</v>
      </c>
      <c r="C221" s="115" t="s">
        <v>388</v>
      </c>
      <c r="D221" s="83" t="s">
        <v>337</v>
      </c>
      <c r="E221" s="138">
        <f>50*36</f>
        <v>1800</v>
      </c>
      <c r="F221" s="278">
        <v>50000</v>
      </c>
      <c r="G221" s="279"/>
      <c r="H221" s="58">
        <f>E221*F221</f>
        <v>90000000</v>
      </c>
      <c r="I221" s="58">
        <f>E221*G221</f>
        <v>0</v>
      </c>
      <c r="J221" s="269">
        <f t="shared" si="129"/>
        <v>218340.61135371181</v>
      </c>
      <c r="K221" s="47"/>
      <c r="L221" s="47">
        <v>30000</v>
      </c>
      <c r="M221" s="48"/>
      <c r="N221" s="270">
        <f>$E221*L221</f>
        <v>54000000</v>
      </c>
      <c r="O221" s="270">
        <f t="shared" ref="O221" si="143">$E221*M221</f>
        <v>0</v>
      </c>
      <c r="P221" s="271">
        <f t="shared" si="136"/>
        <v>131004.36681222708</v>
      </c>
      <c r="Q221" s="484">
        <v>30000</v>
      </c>
      <c r="R221" s="104">
        <v>0</v>
      </c>
      <c r="S221" s="281">
        <f>$E221*Q221</f>
        <v>54000000</v>
      </c>
      <c r="T221" s="281">
        <f t="shared" ref="T221" si="144">$E221*R221</f>
        <v>0</v>
      </c>
      <c r="U221" s="403">
        <f t="shared" si="132"/>
        <v>131004.36681222708</v>
      </c>
      <c r="V221" s="408" t="s">
        <v>667</v>
      </c>
    </row>
    <row r="222" spans="2:22" ht="12" thickBot="1" x14ac:dyDescent="0.3">
      <c r="B222" s="447" t="s">
        <v>389</v>
      </c>
      <c r="C222" s="448"/>
      <c r="D222" s="173"/>
      <c r="E222" s="315"/>
      <c r="F222" s="65"/>
      <c r="G222" s="63"/>
      <c r="H222" s="63">
        <f>SUM(H195:H221)</f>
        <v>3409832445.1032004</v>
      </c>
      <c r="I222" s="63">
        <f t="shared" ref="I222:J222" si="145">SUM(I195:I221)</f>
        <v>100000</v>
      </c>
      <c r="J222" s="64">
        <f t="shared" si="145"/>
        <v>8372276.6741950531</v>
      </c>
      <c r="K222" s="65"/>
      <c r="L222" s="65"/>
      <c r="M222" s="63"/>
      <c r="N222" s="63">
        <f t="shared" ref="N222:P222" si="146">SUM(N195:N221)</f>
        <v>3302612616.8054004</v>
      </c>
      <c r="O222" s="63">
        <f t="shared" si="146"/>
        <v>100000</v>
      </c>
      <c r="P222" s="67">
        <f t="shared" si="146"/>
        <v>8112160.6424197005</v>
      </c>
      <c r="Q222" s="282"/>
      <c r="R222" s="256"/>
      <c r="S222" s="63">
        <f t="shared" ref="S222:U222" si="147">SUM(S195:S221)</f>
        <v>3438911102.1639996</v>
      </c>
      <c r="T222" s="63">
        <f t="shared" si="147"/>
        <v>45000</v>
      </c>
      <c r="U222" s="67">
        <f t="shared" si="147"/>
        <v>8387821.6937506078</v>
      </c>
      <c r="V222" s="409"/>
    </row>
    <row r="223" spans="2:22" ht="11.25" x14ac:dyDescent="0.25">
      <c r="B223" s="418" t="s">
        <v>390</v>
      </c>
      <c r="C223" s="419" t="s">
        <v>657</v>
      </c>
      <c r="D223" s="420"/>
      <c r="E223" s="70"/>
      <c r="F223" s="283"/>
      <c r="G223" s="284"/>
      <c r="H223" s="71"/>
      <c r="I223" s="71"/>
      <c r="J223" s="72"/>
      <c r="K223" s="73"/>
      <c r="L223" s="73"/>
      <c r="M223" s="74"/>
      <c r="N223" s="75"/>
      <c r="O223" s="75"/>
      <c r="P223" s="285"/>
      <c r="Q223" s="265"/>
      <c r="R223" s="75"/>
      <c r="S223" s="75"/>
      <c r="T223" s="75"/>
      <c r="U223" s="285"/>
      <c r="V223" s="409"/>
    </row>
    <row r="224" spans="2:22" ht="21.95" customHeight="1" x14ac:dyDescent="0.25">
      <c r="B224" s="126" t="s">
        <v>391</v>
      </c>
      <c r="C224" s="35" t="s">
        <v>392</v>
      </c>
      <c r="D224" s="92" t="s">
        <v>393</v>
      </c>
      <c r="E224" s="131">
        <v>300</v>
      </c>
      <c r="F224" s="267">
        <v>350000</v>
      </c>
      <c r="G224" s="268">
        <v>100</v>
      </c>
      <c r="H224" s="39">
        <v>20000000</v>
      </c>
      <c r="I224" s="39">
        <v>40000</v>
      </c>
      <c r="J224" s="269">
        <f t="shared" ref="J224:J230" si="148">(H224/412.2)+I224</f>
        <v>88520.135856380395</v>
      </c>
      <c r="K224" s="38"/>
      <c r="L224" s="38">
        <v>20000000</v>
      </c>
      <c r="M224" s="39">
        <v>40000</v>
      </c>
      <c r="N224" s="270">
        <f>L224</f>
        <v>20000000</v>
      </c>
      <c r="O224" s="270">
        <f>M224</f>
        <v>40000</v>
      </c>
      <c r="P224" s="271">
        <f t="shared" ref="P224:P230" si="149">O224+(N224/$K$2)</f>
        <v>88520.135856380395</v>
      </c>
      <c r="Q224" s="488">
        <v>20000000</v>
      </c>
      <c r="R224" s="515">
        <f>M224</f>
        <v>40000</v>
      </c>
      <c r="S224" s="276">
        <f>Q224</f>
        <v>20000000</v>
      </c>
      <c r="T224" s="276">
        <f>R224</f>
        <v>40000</v>
      </c>
      <c r="U224" s="399">
        <f>T224+(S224/$K$2)</f>
        <v>88520.135856380395</v>
      </c>
      <c r="V224" s="408" t="s">
        <v>661</v>
      </c>
    </row>
    <row r="225" spans="2:22" ht="24" customHeight="1" x14ac:dyDescent="0.25">
      <c r="B225" s="128" t="s">
        <v>394</v>
      </c>
      <c r="C225" s="52" t="s">
        <v>395</v>
      </c>
      <c r="D225" s="53" t="s">
        <v>378</v>
      </c>
      <c r="E225" s="140" t="s">
        <v>386</v>
      </c>
      <c r="F225" s="273">
        <f>F224*0.15</f>
        <v>52500</v>
      </c>
      <c r="G225" s="274">
        <f>G224*0.15</f>
        <v>15</v>
      </c>
      <c r="H225" s="46">
        <f>H224*0.15</f>
        <v>3000000</v>
      </c>
      <c r="I225" s="46">
        <f t="shared" ref="I225" si="150">I224*0.15</f>
        <v>6000</v>
      </c>
      <c r="J225" s="269">
        <f t="shared" si="148"/>
        <v>13278.020378457059</v>
      </c>
      <c r="K225" s="47"/>
      <c r="L225" s="47">
        <v>0.14000000000000001</v>
      </c>
      <c r="M225" s="141">
        <v>0.14000000000000001</v>
      </c>
      <c r="N225" s="270">
        <f>N224*L225</f>
        <v>2800000.0000000005</v>
      </c>
      <c r="O225" s="270">
        <f>O224*M225</f>
        <v>5600.0000000000009</v>
      </c>
      <c r="P225" s="271">
        <f t="shared" si="149"/>
        <v>12392.819019893257</v>
      </c>
      <c r="Q225" s="488">
        <v>0.14000000000000001</v>
      </c>
      <c r="R225" s="516">
        <v>0.14000000000000001</v>
      </c>
      <c r="S225" s="276">
        <f>S224*Q225</f>
        <v>2800000.0000000005</v>
      </c>
      <c r="T225" s="276">
        <f>T224*R225</f>
        <v>5600.0000000000009</v>
      </c>
      <c r="U225" s="399">
        <f t="shared" ref="U225:U230" si="151">T225+(S225/$K$2)</f>
        <v>12392.819019893257</v>
      </c>
      <c r="V225" s="408" t="s">
        <v>661</v>
      </c>
    </row>
    <row r="226" spans="2:22" ht="23.45" customHeight="1" x14ac:dyDescent="0.25">
      <c r="B226" s="128" t="s">
        <v>396</v>
      </c>
      <c r="C226" s="52" t="s">
        <v>397</v>
      </c>
      <c r="D226" s="53" t="s">
        <v>393</v>
      </c>
      <c r="E226" s="142">
        <v>200</v>
      </c>
      <c r="F226" s="273">
        <v>500000</v>
      </c>
      <c r="G226" s="274">
        <v>100</v>
      </c>
      <c r="H226" s="46">
        <f>E226*F226</f>
        <v>100000000</v>
      </c>
      <c r="I226" s="46">
        <f>E226*G226</f>
        <v>20000</v>
      </c>
      <c r="J226" s="269">
        <f t="shared" si="148"/>
        <v>262600.67928190203</v>
      </c>
      <c r="K226" s="47"/>
      <c r="L226" s="47">
        <v>450000</v>
      </c>
      <c r="M226" s="48">
        <v>100</v>
      </c>
      <c r="N226" s="270">
        <f>$E226*L226</f>
        <v>90000000</v>
      </c>
      <c r="O226" s="270">
        <f t="shared" ref="N226:O230" si="152">$E226*M226</f>
        <v>20000</v>
      </c>
      <c r="P226" s="271">
        <f t="shared" si="149"/>
        <v>238340.61135371181</v>
      </c>
      <c r="Q226" s="483">
        <v>450000</v>
      </c>
      <c r="R226" s="515">
        <v>100</v>
      </c>
      <c r="S226" s="276">
        <f>$E226*Q226</f>
        <v>90000000</v>
      </c>
      <c r="T226" s="276">
        <f t="shared" ref="T226:T230" si="153">$E226*R226</f>
        <v>20000</v>
      </c>
      <c r="U226" s="399">
        <f t="shared" si="151"/>
        <v>238340.61135371181</v>
      </c>
      <c r="V226" s="408" t="s">
        <v>661</v>
      </c>
    </row>
    <row r="227" spans="2:22" ht="27" customHeight="1" x14ac:dyDescent="0.25">
      <c r="B227" s="128" t="s">
        <v>398</v>
      </c>
      <c r="C227" s="52" t="s">
        <v>399</v>
      </c>
      <c r="D227" s="53" t="s">
        <v>393</v>
      </c>
      <c r="E227" s="142">
        <v>100</v>
      </c>
      <c r="F227" s="273">
        <v>350000</v>
      </c>
      <c r="G227" s="274"/>
      <c r="H227" s="46">
        <f>E227*F227</f>
        <v>35000000</v>
      </c>
      <c r="I227" s="46">
        <f>E227*G227</f>
        <v>0</v>
      </c>
      <c r="J227" s="269">
        <f t="shared" si="148"/>
        <v>84910.237748665691</v>
      </c>
      <c r="K227" s="47"/>
      <c r="L227" s="47">
        <v>300000</v>
      </c>
      <c r="M227" s="48"/>
      <c r="N227" s="270">
        <f t="shared" si="152"/>
        <v>30000000</v>
      </c>
      <c r="O227" s="270">
        <f t="shared" si="152"/>
        <v>0</v>
      </c>
      <c r="P227" s="271">
        <f t="shared" si="149"/>
        <v>72780.203784570593</v>
      </c>
      <c r="Q227" s="483">
        <v>300000</v>
      </c>
      <c r="R227" s="515"/>
      <c r="S227" s="276">
        <f t="shared" ref="S227:S230" si="154">$E227*Q227</f>
        <v>30000000</v>
      </c>
      <c r="T227" s="276">
        <f t="shared" si="153"/>
        <v>0</v>
      </c>
      <c r="U227" s="399">
        <f t="shared" si="151"/>
        <v>72780.203784570593</v>
      </c>
      <c r="V227" s="408" t="s">
        <v>661</v>
      </c>
    </row>
    <row r="228" spans="2:22" ht="21" x14ac:dyDescent="0.25">
      <c r="B228" s="128" t="s">
        <v>400</v>
      </c>
      <c r="C228" s="52" t="s">
        <v>401</v>
      </c>
      <c r="D228" s="53" t="s">
        <v>393</v>
      </c>
      <c r="E228" s="142">
        <v>500</v>
      </c>
      <c r="F228" s="273">
        <v>100000</v>
      </c>
      <c r="G228" s="274"/>
      <c r="H228" s="46">
        <f>E228*F228</f>
        <v>50000000</v>
      </c>
      <c r="I228" s="46"/>
      <c r="J228" s="269">
        <f t="shared" si="148"/>
        <v>121300.339640951</v>
      </c>
      <c r="K228" s="47"/>
      <c r="L228" s="47">
        <v>80000</v>
      </c>
      <c r="M228" s="48"/>
      <c r="N228" s="270">
        <f t="shared" si="152"/>
        <v>40000000</v>
      </c>
      <c r="O228" s="270">
        <f t="shared" si="152"/>
        <v>0</v>
      </c>
      <c r="P228" s="271">
        <f t="shared" si="149"/>
        <v>97040.271712760805</v>
      </c>
      <c r="Q228" s="483">
        <v>80000</v>
      </c>
      <c r="R228" s="515"/>
      <c r="S228" s="276">
        <f t="shared" si="154"/>
        <v>40000000</v>
      </c>
      <c r="T228" s="276">
        <f t="shared" si="153"/>
        <v>0</v>
      </c>
      <c r="U228" s="399">
        <f t="shared" si="151"/>
        <v>97040.271712760805</v>
      </c>
      <c r="V228" s="408" t="s">
        <v>661</v>
      </c>
    </row>
    <row r="229" spans="2:22" ht="23.1" customHeight="1" x14ac:dyDescent="0.25">
      <c r="B229" s="128" t="s">
        <v>402</v>
      </c>
      <c r="C229" s="52" t="s">
        <v>403</v>
      </c>
      <c r="D229" s="53" t="s">
        <v>393</v>
      </c>
      <c r="E229" s="142">
        <v>200</v>
      </c>
      <c r="F229" s="273">
        <v>50000</v>
      </c>
      <c r="G229" s="274">
        <v>80</v>
      </c>
      <c r="H229" s="46">
        <f>E229*F229</f>
        <v>10000000</v>
      </c>
      <c r="I229" s="46">
        <f>E229*G229</f>
        <v>16000</v>
      </c>
      <c r="J229" s="269">
        <f t="shared" si="148"/>
        <v>40260.067928190198</v>
      </c>
      <c r="K229" s="47"/>
      <c r="L229" s="47">
        <v>42500</v>
      </c>
      <c r="M229" s="48">
        <v>65</v>
      </c>
      <c r="N229" s="270">
        <f t="shared" si="152"/>
        <v>8500000</v>
      </c>
      <c r="O229" s="270">
        <f t="shared" si="152"/>
        <v>13000</v>
      </c>
      <c r="P229" s="271">
        <f t="shared" si="149"/>
        <v>33621.057738961666</v>
      </c>
      <c r="Q229" s="483">
        <v>42500</v>
      </c>
      <c r="R229" s="515">
        <v>65</v>
      </c>
      <c r="S229" s="276">
        <f t="shared" si="154"/>
        <v>8500000</v>
      </c>
      <c r="T229" s="276">
        <f t="shared" si="153"/>
        <v>13000</v>
      </c>
      <c r="U229" s="399">
        <f t="shared" si="151"/>
        <v>33621.057738961666</v>
      </c>
      <c r="V229" s="408" t="s">
        <v>661</v>
      </c>
    </row>
    <row r="230" spans="2:22" ht="27" customHeight="1" thickBot="1" x14ac:dyDescent="0.3">
      <c r="B230" s="129" t="s">
        <v>404</v>
      </c>
      <c r="C230" s="115" t="s">
        <v>405</v>
      </c>
      <c r="D230" s="83" t="s">
        <v>393</v>
      </c>
      <c r="E230" s="143">
        <v>150</v>
      </c>
      <c r="F230" s="278">
        <v>400000</v>
      </c>
      <c r="G230" s="279">
        <v>600</v>
      </c>
      <c r="H230" s="58">
        <f>E230*F230</f>
        <v>60000000</v>
      </c>
      <c r="I230" s="58">
        <f>E230*G230</f>
        <v>90000</v>
      </c>
      <c r="J230" s="269">
        <f t="shared" si="148"/>
        <v>235560.40756914119</v>
      </c>
      <c r="K230" s="47"/>
      <c r="L230" s="47">
        <v>280000</v>
      </c>
      <c r="M230" s="48">
        <v>510</v>
      </c>
      <c r="N230" s="270">
        <f t="shared" si="152"/>
        <v>42000000</v>
      </c>
      <c r="O230" s="270">
        <f t="shared" si="152"/>
        <v>76500</v>
      </c>
      <c r="P230" s="271">
        <f t="shared" si="149"/>
        <v>178392.28529839884</v>
      </c>
      <c r="Q230" s="484">
        <v>280000</v>
      </c>
      <c r="R230" s="517">
        <v>510</v>
      </c>
      <c r="S230" s="299">
        <f t="shared" si="154"/>
        <v>42000000</v>
      </c>
      <c r="T230" s="299">
        <f t="shared" si="153"/>
        <v>76500</v>
      </c>
      <c r="U230" s="400">
        <f t="shared" si="151"/>
        <v>178392.28529839884</v>
      </c>
      <c r="V230" s="408" t="s">
        <v>661</v>
      </c>
    </row>
    <row r="231" spans="2:22" ht="12" thickBot="1" x14ac:dyDescent="0.3">
      <c r="B231" s="447" t="s">
        <v>406</v>
      </c>
      <c r="C231" s="448"/>
      <c r="D231" s="173"/>
      <c r="E231" s="316"/>
      <c r="F231" s="65"/>
      <c r="G231" s="63"/>
      <c r="H231" s="63">
        <f>SUM(H224:H230)</f>
        <v>278000000</v>
      </c>
      <c r="I231" s="63">
        <f t="shared" ref="I231:J231" si="155">SUM(I224:I230)</f>
        <v>172000</v>
      </c>
      <c r="J231" s="64">
        <f t="shared" si="155"/>
        <v>846429.88840368763</v>
      </c>
      <c r="K231" s="65"/>
      <c r="L231" s="65"/>
      <c r="M231" s="63"/>
      <c r="N231" s="63">
        <f t="shared" ref="N231:P231" si="156">SUM(N224:N230)</f>
        <v>233300000</v>
      </c>
      <c r="O231" s="63">
        <f t="shared" si="156"/>
        <v>155100</v>
      </c>
      <c r="P231" s="67">
        <f t="shared" si="156"/>
        <v>721087.38476467726</v>
      </c>
      <c r="Q231" s="282"/>
      <c r="R231" s="256"/>
      <c r="S231" s="63">
        <f t="shared" ref="S231:U231" si="157">SUM(S224:S230)</f>
        <v>233300000</v>
      </c>
      <c r="T231" s="63">
        <f t="shared" si="157"/>
        <v>155100</v>
      </c>
      <c r="U231" s="67">
        <f t="shared" si="157"/>
        <v>721087.38476467726</v>
      </c>
      <c r="V231" s="409"/>
    </row>
    <row r="232" spans="2:22" ht="11.25" x14ac:dyDescent="0.25">
      <c r="B232" s="418" t="s">
        <v>407</v>
      </c>
      <c r="C232" s="419" t="s">
        <v>683</v>
      </c>
      <c r="D232" s="420"/>
      <c r="E232" s="70"/>
      <c r="F232" s="283"/>
      <c r="G232" s="284"/>
      <c r="H232" s="71"/>
      <c r="I232" s="71"/>
      <c r="J232" s="72"/>
      <c r="K232" s="73"/>
      <c r="L232" s="73"/>
      <c r="M232" s="74"/>
      <c r="N232" s="75"/>
      <c r="O232" s="75"/>
      <c r="P232" s="285"/>
      <c r="Q232" s="265"/>
      <c r="R232" s="75"/>
      <c r="S232" s="75"/>
      <c r="T232" s="75"/>
      <c r="U232" s="285"/>
      <c r="V232" s="409"/>
    </row>
    <row r="233" spans="2:22" ht="11.25" x14ac:dyDescent="0.25">
      <c r="B233" s="126" t="s">
        <v>408</v>
      </c>
      <c r="C233" s="144" t="s">
        <v>409</v>
      </c>
      <c r="D233" s="118"/>
      <c r="E233" s="145"/>
      <c r="F233" s="267"/>
      <c r="G233" s="268"/>
      <c r="H233" s="86"/>
      <c r="I233" s="86"/>
      <c r="J233" s="87"/>
      <c r="K233" s="40"/>
      <c r="L233" s="40"/>
      <c r="M233" s="41"/>
      <c r="N233" s="88"/>
      <c r="O233" s="88"/>
      <c r="P233" s="287"/>
      <c r="Q233" s="137"/>
      <c r="R233" s="79"/>
      <c r="S233" s="79"/>
      <c r="T233" s="79"/>
      <c r="U233" s="277"/>
      <c r="V233" s="409"/>
    </row>
    <row r="234" spans="2:22" ht="84" customHeight="1" x14ac:dyDescent="0.25">
      <c r="B234" s="128" t="s">
        <v>410</v>
      </c>
      <c r="C234" s="42" t="s">
        <v>411</v>
      </c>
      <c r="D234" s="53" t="s">
        <v>412</v>
      </c>
      <c r="E234" s="133">
        <f>300*5*4</f>
        <v>6000</v>
      </c>
      <c r="F234" s="273">
        <v>29374.995384615399</v>
      </c>
      <c r="G234" s="274"/>
      <c r="H234" s="46">
        <f t="shared" ref="H234:H239" si="158">E234*F234</f>
        <v>176249972.30769238</v>
      </c>
      <c r="I234" s="46">
        <f>E234*G234</f>
        <v>0</v>
      </c>
      <c r="J234" s="269">
        <f t="shared" ref="J234:J264" si="159">(H234/412.2)+I234</f>
        <v>427583.63005262584</v>
      </c>
      <c r="K234" s="47"/>
      <c r="L234" s="47">
        <v>29374.995384615399</v>
      </c>
      <c r="M234" s="48"/>
      <c r="N234" s="270">
        <f t="shared" ref="N234:O239" si="160">$E234*L234</f>
        <v>176249972.30769238</v>
      </c>
      <c r="O234" s="270">
        <f t="shared" si="160"/>
        <v>0</v>
      </c>
      <c r="P234" s="271">
        <f t="shared" ref="P234:P240" si="161">O234+(N234/$K$2)</f>
        <v>427583.63005262584</v>
      </c>
      <c r="Q234" s="483">
        <v>29374.995384615399</v>
      </c>
      <c r="R234" s="79">
        <f>M234</f>
        <v>0</v>
      </c>
      <c r="S234" s="272">
        <f t="shared" ref="S234:S239" si="162">$E234*Q234</f>
        <v>176249972.30769238</v>
      </c>
      <c r="T234" s="272"/>
      <c r="U234" s="398">
        <f>T234+(S234/$K$2)</f>
        <v>427583.63005262584</v>
      </c>
      <c r="V234" s="411" t="s">
        <v>662</v>
      </c>
    </row>
    <row r="235" spans="2:22" ht="83.1" customHeight="1" x14ac:dyDescent="0.25">
      <c r="B235" s="128" t="s">
        <v>413</v>
      </c>
      <c r="C235" s="42" t="s">
        <v>414</v>
      </c>
      <c r="D235" s="53" t="s">
        <v>412</v>
      </c>
      <c r="E235" s="133">
        <f>300*10*4</f>
        <v>12000</v>
      </c>
      <c r="F235" s="273">
        <v>25962.036730769236</v>
      </c>
      <c r="G235" s="274"/>
      <c r="H235" s="46">
        <f t="shared" si="158"/>
        <v>311544440.76923084</v>
      </c>
      <c r="I235" s="46">
        <f>E235*G235</f>
        <v>0</v>
      </c>
      <c r="J235" s="269">
        <f t="shared" si="159"/>
        <v>755808.92957115686</v>
      </c>
      <c r="K235" s="47"/>
      <c r="L235" s="47">
        <v>25962.036730769236</v>
      </c>
      <c r="M235" s="48"/>
      <c r="N235" s="270">
        <f t="shared" si="160"/>
        <v>311544440.76923084</v>
      </c>
      <c r="O235" s="270">
        <f t="shared" si="160"/>
        <v>0</v>
      </c>
      <c r="P235" s="271">
        <f t="shared" si="161"/>
        <v>755808.92957115686</v>
      </c>
      <c r="Q235" s="483">
        <v>25962.036730769236</v>
      </c>
      <c r="R235" s="79">
        <f t="shared" ref="Q235:R240" si="163">M235</f>
        <v>0</v>
      </c>
      <c r="S235" s="272">
        <f t="shared" si="162"/>
        <v>311544440.76923084</v>
      </c>
      <c r="T235" s="272"/>
      <c r="U235" s="398">
        <f t="shared" ref="U235:U240" si="164">T235+(S235/$K$2)</f>
        <v>755808.92957115686</v>
      </c>
      <c r="V235" s="411" t="s">
        <v>662</v>
      </c>
    </row>
    <row r="236" spans="2:22" ht="81" customHeight="1" x14ac:dyDescent="0.25">
      <c r="B236" s="128" t="s">
        <v>415</v>
      </c>
      <c r="C236" s="42" t="s">
        <v>416</v>
      </c>
      <c r="D236" s="53" t="s">
        <v>412</v>
      </c>
      <c r="E236" s="133">
        <f>300*10*4</f>
        <v>12000</v>
      </c>
      <c r="F236" s="273">
        <v>24897.874307692309</v>
      </c>
      <c r="G236" s="274"/>
      <c r="H236" s="46">
        <f t="shared" si="158"/>
        <v>298774491.69230771</v>
      </c>
      <c r="I236" s="46">
        <f>E236*G236</f>
        <v>0</v>
      </c>
      <c r="J236" s="269">
        <f t="shared" si="159"/>
        <v>724828.94636658835</v>
      </c>
      <c r="K236" s="47"/>
      <c r="L236" s="47">
        <v>24897.874307692309</v>
      </c>
      <c r="M236" s="48"/>
      <c r="N236" s="270">
        <f t="shared" si="160"/>
        <v>298774491.69230771</v>
      </c>
      <c r="O236" s="270">
        <f t="shared" si="160"/>
        <v>0</v>
      </c>
      <c r="P236" s="271">
        <f t="shared" si="161"/>
        <v>724828.94636658835</v>
      </c>
      <c r="Q236" s="483">
        <v>24897.874307692309</v>
      </c>
      <c r="R236" s="79">
        <f t="shared" si="163"/>
        <v>0</v>
      </c>
      <c r="S236" s="272">
        <f t="shared" si="162"/>
        <v>298774491.69230771</v>
      </c>
      <c r="T236" s="272"/>
      <c r="U236" s="398">
        <f t="shared" si="164"/>
        <v>724828.94636658835</v>
      </c>
      <c r="V236" s="411" t="s">
        <v>662</v>
      </c>
    </row>
    <row r="237" spans="2:22" ht="81.95" customHeight="1" x14ac:dyDescent="0.25">
      <c r="B237" s="128" t="s">
        <v>417</v>
      </c>
      <c r="C237" s="42" t="s">
        <v>418</v>
      </c>
      <c r="D237" s="53" t="s">
        <v>412</v>
      </c>
      <c r="E237" s="133">
        <f>300*10*4</f>
        <v>12000</v>
      </c>
      <c r="F237" s="273">
        <v>22827.464461538464</v>
      </c>
      <c r="G237" s="274"/>
      <c r="H237" s="46">
        <f t="shared" si="158"/>
        <v>273929573.53846157</v>
      </c>
      <c r="I237" s="46">
        <f>E237*G237</f>
        <v>0</v>
      </c>
      <c r="J237" s="269">
        <f t="shared" si="159"/>
        <v>664555.00615832501</v>
      </c>
      <c r="K237" s="47"/>
      <c r="L237" s="47">
        <v>22827.464461538464</v>
      </c>
      <c r="M237" s="48"/>
      <c r="N237" s="270">
        <f t="shared" si="160"/>
        <v>273929573.53846157</v>
      </c>
      <c r="O237" s="270">
        <f t="shared" si="160"/>
        <v>0</v>
      </c>
      <c r="P237" s="271">
        <f t="shared" si="161"/>
        <v>664555.00615832501</v>
      </c>
      <c r="Q237" s="483">
        <v>22827.464461538464</v>
      </c>
      <c r="R237" s="79">
        <f t="shared" si="163"/>
        <v>0</v>
      </c>
      <c r="S237" s="272">
        <f t="shared" si="162"/>
        <v>273929573.53846157</v>
      </c>
      <c r="T237" s="272"/>
      <c r="U237" s="398">
        <f t="shared" si="164"/>
        <v>664555.00615832501</v>
      </c>
      <c r="V237" s="411" t="s">
        <v>662</v>
      </c>
    </row>
    <row r="238" spans="2:22" ht="78" customHeight="1" x14ac:dyDescent="0.25">
      <c r="B238" s="128" t="s">
        <v>419</v>
      </c>
      <c r="C238" s="42" t="s">
        <v>420</v>
      </c>
      <c r="D238" s="53" t="s">
        <v>412</v>
      </c>
      <c r="E238" s="133">
        <f>300*5*3</f>
        <v>4500</v>
      </c>
      <c r="F238" s="273">
        <v>20018.594230769231</v>
      </c>
      <c r="G238" s="274"/>
      <c r="H238" s="46">
        <f t="shared" si="158"/>
        <v>90083674.038461536</v>
      </c>
      <c r="I238" s="46">
        <f>E238*G238</f>
        <v>0</v>
      </c>
      <c r="J238" s="269">
        <f t="shared" si="159"/>
        <v>218543.60513940209</v>
      </c>
      <c r="K238" s="47"/>
      <c r="L238" s="47">
        <v>20018.594230769231</v>
      </c>
      <c r="M238" s="48"/>
      <c r="N238" s="270">
        <f t="shared" si="160"/>
        <v>90083674.038461536</v>
      </c>
      <c r="O238" s="270">
        <f t="shared" si="160"/>
        <v>0</v>
      </c>
      <c r="P238" s="271">
        <f t="shared" si="161"/>
        <v>218543.60513940209</v>
      </c>
      <c r="Q238" s="483">
        <v>20018.594230769231</v>
      </c>
      <c r="R238" s="79">
        <f t="shared" si="163"/>
        <v>0</v>
      </c>
      <c r="S238" s="272">
        <f t="shared" si="162"/>
        <v>90083674.038461536</v>
      </c>
      <c r="T238" s="272"/>
      <c r="U238" s="398">
        <f t="shared" si="164"/>
        <v>218543.60513940209</v>
      </c>
      <c r="V238" s="411" t="s">
        <v>662</v>
      </c>
    </row>
    <row r="239" spans="2:22" ht="52.5" x14ac:dyDescent="0.25">
      <c r="B239" s="128" t="s">
        <v>421</v>
      </c>
      <c r="C239" s="42" t="s">
        <v>422</v>
      </c>
      <c r="D239" s="53" t="s">
        <v>412</v>
      </c>
      <c r="E239" s="133">
        <f>300*5*3</f>
        <v>4500</v>
      </c>
      <c r="F239" s="273">
        <v>24897.874307692309</v>
      </c>
      <c r="G239" s="274"/>
      <c r="H239" s="46">
        <f t="shared" si="158"/>
        <v>112040434.38461539</v>
      </c>
      <c r="I239" s="46"/>
      <c r="J239" s="269">
        <f t="shared" si="159"/>
        <v>271810.85488747066</v>
      </c>
      <c r="K239" s="47"/>
      <c r="L239" s="47">
        <v>24897.874307692309</v>
      </c>
      <c r="M239" s="48"/>
      <c r="N239" s="270">
        <f t="shared" si="160"/>
        <v>112040434.38461539</v>
      </c>
      <c r="O239" s="270">
        <f t="shared" si="160"/>
        <v>0</v>
      </c>
      <c r="P239" s="271">
        <f t="shared" si="161"/>
        <v>271810.85488747066</v>
      </c>
      <c r="Q239" s="483">
        <v>24897.874307692309</v>
      </c>
      <c r="R239" s="79">
        <f t="shared" si="163"/>
        <v>0</v>
      </c>
      <c r="S239" s="272">
        <f t="shared" si="162"/>
        <v>112040434.38461539</v>
      </c>
      <c r="T239" s="272"/>
      <c r="U239" s="398">
        <f t="shared" si="164"/>
        <v>271810.85488747066</v>
      </c>
      <c r="V239" s="411" t="s">
        <v>662</v>
      </c>
    </row>
    <row r="240" spans="2:22" ht="52.5" x14ac:dyDescent="0.25">
      <c r="B240" s="128" t="s">
        <v>423</v>
      </c>
      <c r="C240" s="42" t="s">
        <v>424</v>
      </c>
      <c r="D240" s="53" t="s">
        <v>378</v>
      </c>
      <c r="E240" s="140" t="s">
        <v>425</v>
      </c>
      <c r="F240" s="273"/>
      <c r="G240" s="274"/>
      <c r="H240" s="46">
        <f>SUM(H234:H239)*0.32</f>
        <v>404039227.75384623</v>
      </c>
      <c r="I240" s="46"/>
      <c r="J240" s="269">
        <f t="shared" si="159"/>
        <v>980201.91109618207</v>
      </c>
      <c r="K240" s="47"/>
      <c r="L240" s="47">
        <v>0.28999999999999998</v>
      </c>
      <c r="M240" s="141"/>
      <c r="N240" s="270">
        <f>SUM(N234:N239)*L240</f>
        <v>366160550.15192312</v>
      </c>
      <c r="O240" s="270">
        <f>SUM(O234:O239)*M240</f>
        <v>0</v>
      </c>
      <c r="P240" s="271">
        <f t="shared" si="161"/>
        <v>888307.98193091492</v>
      </c>
      <c r="Q240" s="489">
        <v>0.28999999999999998</v>
      </c>
      <c r="R240" s="79">
        <f t="shared" si="163"/>
        <v>0</v>
      </c>
      <c r="S240" s="272">
        <f>SUM(S234:S239)*Q240</f>
        <v>366160550.15192312</v>
      </c>
      <c r="T240" s="272">
        <f>SUM(T234:T239)*R240</f>
        <v>0</v>
      </c>
      <c r="U240" s="398">
        <f t="shared" si="164"/>
        <v>888307.98193091492</v>
      </c>
      <c r="V240" s="411" t="s">
        <v>662</v>
      </c>
    </row>
    <row r="241" spans="1:22" ht="11.25" x14ac:dyDescent="0.25">
      <c r="B241" s="128" t="s">
        <v>426</v>
      </c>
      <c r="C241" s="123" t="s">
        <v>682</v>
      </c>
      <c r="D241" s="53"/>
      <c r="E241" s="146"/>
      <c r="F241" s="273"/>
      <c r="G241" s="274"/>
      <c r="H241" s="46"/>
      <c r="I241" s="46"/>
      <c r="J241" s="269"/>
      <c r="K241" s="47"/>
      <c r="L241" s="47"/>
      <c r="M241" s="48"/>
      <c r="N241" s="270"/>
      <c r="O241" s="270"/>
      <c r="P241" s="271"/>
      <c r="Q241" s="137"/>
      <c r="R241" s="79"/>
      <c r="S241" s="272"/>
      <c r="T241" s="272"/>
      <c r="U241" s="398"/>
      <c r="V241" s="409"/>
    </row>
    <row r="242" spans="1:22" ht="19.5" customHeight="1" x14ac:dyDescent="0.25">
      <c r="B242" s="128" t="s">
        <v>427</v>
      </c>
      <c r="C242" s="52" t="s">
        <v>428</v>
      </c>
      <c r="D242" s="147" t="s">
        <v>412</v>
      </c>
      <c r="E242" s="133">
        <v>6000</v>
      </c>
      <c r="F242" s="273">
        <v>7000</v>
      </c>
      <c r="G242" s="274"/>
      <c r="H242" s="46">
        <f t="shared" ref="H242:H264" si="165">E242*F242</f>
        <v>42000000</v>
      </c>
      <c r="I242" s="46"/>
      <c r="J242" s="269">
        <f t="shared" si="159"/>
        <v>101892.28529839884</v>
      </c>
      <c r="K242" s="47"/>
      <c r="L242" s="47">
        <v>6500</v>
      </c>
      <c r="M242" s="48"/>
      <c r="N242" s="270">
        <f t="shared" ref="N242:O249" si="166">$E242*L242</f>
        <v>39000000</v>
      </c>
      <c r="O242" s="270">
        <f t="shared" si="166"/>
        <v>0</v>
      </c>
      <c r="P242" s="271">
        <f t="shared" ref="P242:P264" si="167">O242+(N242/$K$2)</f>
        <v>94614.264919941779</v>
      </c>
      <c r="Q242" s="483">
        <v>6500</v>
      </c>
      <c r="R242" s="79"/>
      <c r="S242" s="272">
        <f t="shared" ref="S242:S264" si="168">$E242*Q242</f>
        <v>39000000</v>
      </c>
      <c r="T242" s="272"/>
      <c r="U242" s="398">
        <f>T242+(S242/$K$2)</f>
        <v>94614.264919941779</v>
      </c>
      <c r="V242" s="408"/>
    </row>
    <row r="243" spans="1:22" ht="31.5" x14ac:dyDescent="0.25">
      <c r="B243" s="128" t="s">
        <v>429</v>
      </c>
      <c r="C243" s="148" t="s">
        <v>430</v>
      </c>
      <c r="D243" s="147" t="s">
        <v>431</v>
      </c>
      <c r="E243" s="133">
        <v>10000</v>
      </c>
      <c r="F243" s="317">
        <v>1000</v>
      </c>
      <c r="G243" s="318"/>
      <c r="H243" s="149">
        <f>F243*E243</f>
        <v>10000000</v>
      </c>
      <c r="I243" s="149"/>
      <c r="J243" s="269">
        <f t="shared" si="159"/>
        <v>24260.067928190201</v>
      </c>
      <c r="K243" s="150"/>
      <c r="L243" s="150">
        <v>8000</v>
      </c>
      <c r="M243" s="151"/>
      <c r="N243" s="270">
        <f t="shared" si="166"/>
        <v>80000000</v>
      </c>
      <c r="O243" s="270">
        <f t="shared" si="166"/>
        <v>0</v>
      </c>
      <c r="P243" s="271">
        <f t="shared" si="167"/>
        <v>194080.54342552161</v>
      </c>
      <c r="Q243" s="483">
        <v>8000</v>
      </c>
      <c r="R243" s="79"/>
      <c r="S243" s="272">
        <f t="shared" si="168"/>
        <v>80000000</v>
      </c>
      <c r="T243" s="272"/>
      <c r="U243" s="398">
        <f t="shared" ref="U243:U264" si="169">T243+(S243/$K$2)</f>
        <v>194080.54342552161</v>
      </c>
      <c r="V243" s="408" t="s">
        <v>663</v>
      </c>
    </row>
    <row r="244" spans="1:22" ht="22.5" x14ac:dyDescent="0.25">
      <c r="B244" s="128" t="s">
        <v>432</v>
      </c>
      <c r="C244" s="52" t="s">
        <v>433</v>
      </c>
      <c r="D244" s="147" t="s">
        <v>412</v>
      </c>
      <c r="E244" s="133">
        <v>1000</v>
      </c>
      <c r="F244" s="273">
        <v>15000</v>
      </c>
      <c r="G244" s="274"/>
      <c r="H244" s="46">
        <f t="shared" si="165"/>
        <v>15000000</v>
      </c>
      <c r="I244" s="46">
        <f t="shared" ref="I244:I262" si="170">E244*G244</f>
        <v>0</v>
      </c>
      <c r="J244" s="269">
        <f t="shared" si="159"/>
        <v>36390.101892285296</v>
      </c>
      <c r="K244" s="47"/>
      <c r="L244" s="47">
        <v>15000</v>
      </c>
      <c r="M244" s="48"/>
      <c r="N244" s="270">
        <f t="shared" si="166"/>
        <v>15000000</v>
      </c>
      <c r="O244" s="270">
        <f t="shared" si="166"/>
        <v>0</v>
      </c>
      <c r="P244" s="271">
        <f t="shared" si="167"/>
        <v>36390.101892285296</v>
      </c>
      <c r="Q244" s="483">
        <v>15000</v>
      </c>
      <c r="R244" s="79"/>
      <c r="S244" s="272">
        <f t="shared" si="168"/>
        <v>15000000</v>
      </c>
      <c r="T244" s="272"/>
      <c r="U244" s="398">
        <f t="shared" si="169"/>
        <v>36390.101892285296</v>
      </c>
      <c r="V244" s="408" t="s">
        <v>664</v>
      </c>
    </row>
    <row r="245" spans="1:22" ht="22.5" x14ac:dyDescent="0.25">
      <c r="B245" s="128" t="s">
        <v>434</v>
      </c>
      <c r="C245" s="52" t="s">
        <v>435</v>
      </c>
      <c r="D245" s="147" t="s">
        <v>412</v>
      </c>
      <c r="E245" s="133">
        <v>400</v>
      </c>
      <c r="F245" s="273">
        <v>30000</v>
      </c>
      <c r="G245" s="274"/>
      <c r="H245" s="46">
        <f t="shared" si="165"/>
        <v>12000000</v>
      </c>
      <c r="I245" s="46">
        <f t="shared" si="170"/>
        <v>0</v>
      </c>
      <c r="J245" s="269">
        <f t="shared" si="159"/>
        <v>29112.081513828238</v>
      </c>
      <c r="K245" s="47"/>
      <c r="L245" s="47">
        <v>30000</v>
      </c>
      <c r="M245" s="48"/>
      <c r="N245" s="270">
        <f t="shared" si="166"/>
        <v>12000000</v>
      </c>
      <c r="O245" s="270">
        <f t="shared" si="166"/>
        <v>0</v>
      </c>
      <c r="P245" s="271">
        <f t="shared" si="167"/>
        <v>29112.081513828238</v>
      </c>
      <c r="Q245" s="483">
        <v>30000</v>
      </c>
      <c r="R245" s="79"/>
      <c r="S245" s="272">
        <f t="shared" si="168"/>
        <v>12000000</v>
      </c>
      <c r="T245" s="272"/>
      <c r="U245" s="398">
        <f t="shared" si="169"/>
        <v>29112.081513828238</v>
      </c>
      <c r="V245" s="408"/>
    </row>
    <row r="246" spans="1:22" ht="22.5" x14ac:dyDescent="0.25">
      <c r="B246" s="128" t="s">
        <v>436</v>
      </c>
      <c r="C246" s="52" t="s">
        <v>437</v>
      </c>
      <c r="D246" s="147" t="s">
        <v>412</v>
      </c>
      <c r="E246" s="133">
        <v>400</v>
      </c>
      <c r="F246" s="273">
        <v>38000</v>
      </c>
      <c r="G246" s="274"/>
      <c r="H246" s="46">
        <f t="shared" si="165"/>
        <v>15200000</v>
      </c>
      <c r="I246" s="46">
        <f t="shared" si="170"/>
        <v>0</v>
      </c>
      <c r="J246" s="269">
        <f t="shared" si="159"/>
        <v>36875.303250849101</v>
      </c>
      <c r="K246" s="47"/>
      <c r="L246" s="47">
        <v>50000</v>
      </c>
      <c r="M246" s="48"/>
      <c r="N246" s="270">
        <f t="shared" si="166"/>
        <v>20000000</v>
      </c>
      <c r="O246" s="270">
        <f t="shared" si="166"/>
        <v>0</v>
      </c>
      <c r="P246" s="271">
        <f t="shared" si="167"/>
        <v>48520.135856380402</v>
      </c>
      <c r="Q246" s="483">
        <v>50000</v>
      </c>
      <c r="R246" s="79"/>
      <c r="S246" s="272">
        <f t="shared" si="168"/>
        <v>20000000</v>
      </c>
      <c r="T246" s="272"/>
      <c r="U246" s="398">
        <f t="shared" si="169"/>
        <v>48520.135856380402</v>
      </c>
      <c r="V246" s="408"/>
    </row>
    <row r="247" spans="1:22" ht="33.75" x14ac:dyDescent="0.25">
      <c r="B247" s="128" t="s">
        <v>438</v>
      </c>
      <c r="C247" s="52" t="s">
        <v>439</v>
      </c>
      <c r="D247" s="147" t="s">
        <v>412</v>
      </c>
      <c r="E247" s="133">
        <v>400</v>
      </c>
      <c r="F247" s="273">
        <v>100000</v>
      </c>
      <c r="G247" s="274"/>
      <c r="H247" s="46">
        <f t="shared" si="165"/>
        <v>40000000</v>
      </c>
      <c r="I247" s="46">
        <f t="shared" si="170"/>
        <v>0</v>
      </c>
      <c r="J247" s="269">
        <f t="shared" si="159"/>
        <v>97040.271712760805</v>
      </c>
      <c r="K247" s="47"/>
      <c r="L247" s="47">
        <v>120000</v>
      </c>
      <c r="M247" s="48"/>
      <c r="N247" s="270">
        <f t="shared" si="166"/>
        <v>48000000</v>
      </c>
      <c r="O247" s="270">
        <f t="shared" si="166"/>
        <v>0</v>
      </c>
      <c r="P247" s="271">
        <f t="shared" si="167"/>
        <v>116448.32605531295</v>
      </c>
      <c r="Q247" s="483">
        <v>120000</v>
      </c>
      <c r="R247" s="79"/>
      <c r="S247" s="272">
        <f t="shared" si="168"/>
        <v>48000000</v>
      </c>
      <c r="T247" s="272"/>
      <c r="U247" s="398">
        <f t="shared" si="169"/>
        <v>116448.32605531295</v>
      </c>
      <c r="V247" s="408"/>
    </row>
    <row r="248" spans="1:22" ht="22.5" x14ac:dyDescent="0.25">
      <c r="B248" s="128" t="s">
        <v>440</v>
      </c>
      <c r="C248" s="52" t="s">
        <v>441</v>
      </c>
      <c r="D248" s="147" t="s">
        <v>412</v>
      </c>
      <c r="E248" s="133">
        <v>140</v>
      </c>
      <c r="F248" s="273">
        <v>5000</v>
      </c>
      <c r="G248" s="274"/>
      <c r="H248" s="46">
        <f t="shared" si="165"/>
        <v>700000</v>
      </c>
      <c r="I248" s="46">
        <f t="shared" si="170"/>
        <v>0</v>
      </c>
      <c r="J248" s="269">
        <f t="shared" si="159"/>
        <v>1698.204754973314</v>
      </c>
      <c r="K248" s="47"/>
      <c r="L248" s="47">
        <v>5000</v>
      </c>
      <c r="M248" s="48"/>
      <c r="N248" s="270">
        <f t="shared" si="166"/>
        <v>700000</v>
      </c>
      <c r="O248" s="270">
        <f t="shared" si="166"/>
        <v>0</v>
      </c>
      <c r="P248" s="271">
        <f t="shared" si="167"/>
        <v>1698.204754973314</v>
      </c>
      <c r="Q248" s="483">
        <v>5000</v>
      </c>
      <c r="R248" s="79"/>
      <c r="S248" s="272">
        <f t="shared" si="168"/>
        <v>700000</v>
      </c>
      <c r="T248" s="272"/>
      <c r="U248" s="398">
        <f t="shared" si="169"/>
        <v>1698.204754973314</v>
      </c>
      <c r="V248" s="408"/>
    </row>
    <row r="249" spans="1:22" ht="27" customHeight="1" x14ac:dyDescent="0.25">
      <c r="A249" s="361"/>
      <c r="B249" s="128" t="s">
        <v>442</v>
      </c>
      <c r="C249" s="52" t="s">
        <v>443</v>
      </c>
      <c r="D249" s="147" t="s">
        <v>444</v>
      </c>
      <c r="E249" s="133">
        <v>100</v>
      </c>
      <c r="F249" s="273">
        <v>300000</v>
      </c>
      <c r="G249" s="274">
        <v>1000</v>
      </c>
      <c r="H249" s="46">
        <f t="shared" si="165"/>
        <v>30000000</v>
      </c>
      <c r="I249" s="46">
        <f t="shared" si="170"/>
        <v>100000</v>
      </c>
      <c r="J249" s="269">
        <f t="shared" si="159"/>
        <v>172780.20378457059</v>
      </c>
      <c r="K249" s="45"/>
      <c r="L249" s="45">
        <v>300000</v>
      </c>
      <c r="M249" s="46">
        <v>1000</v>
      </c>
      <c r="N249" s="270">
        <f>$E249*L249</f>
        <v>30000000</v>
      </c>
      <c r="O249" s="270">
        <f t="shared" si="166"/>
        <v>100000</v>
      </c>
      <c r="P249" s="271">
        <f t="shared" si="167"/>
        <v>172780.20378457059</v>
      </c>
      <c r="Q249" s="483">
        <v>300000</v>
      </c>
      <c r="R249" s="490">
        <v>1000</v>
      </c>
      <c r="S249" s="272">
        <f>$E249*Q249</f>
        <v>30000000</v>
      </c>
      <c r="T249" s="272">
        <f t="shared" ref="T249" si="171">$E249*R249</f>
        <v>100000</v>
      </c>
      <c r="U249" s="398">
        <f t="shared" si="169"/>
        <v>172780.20378457059</v>
      </c>
      <c r="V249" s="408"/>
    </row>
    <row r="250" spans="1:22" ht="24.95" customHeight="1" x14ac:dyDescent="0.25">
      <c r="A250" s="361"/>
      <c r="B250" s="128" t="s">
        <v>445</v>
      </c>
      <c r="C250" s="52" t="s">
        <v>446</v>
      </c>
      <c r="D250" s="152">
        <v>0.2</v>
      </c>
      <c r="E250" s="133">
        <v>100</v>
      </c>
      <c r="F250" s="273">
        <f>0.2*F249</f>
        <v>60000</v>
      </c>
      <c r="G250" s="274">
        <f>0.2*G249</f>
        <v>200</v>
      </c>
      <c r="H250" s="46">
        <f t="shared" si="165"/>
        <v>6000000</v>
      </c>
      <c r="I250" s="46">
        <f t="shared" si="170"/>
        <v>20000</v>
      </c>
      <c r="J250" s="269">
        <f t="shared" si="159"/>
        <v>34556.040756914117</v>
      </c>
      <c r="K250" s="47"/>
      <c r="L250" s="47">
        <v>0.13</v>
      </c>
      <c r="M250" s="141">
        <v>0.13</v>
      </c>
      <c r="N250" s="270">
        <f>$E250*L250*$F$249</f>
        <v>3900000</v>
      </c>
      <c r="O250" s="270">
        <f>$E250*M250*$G$249</f>
        <v>13000</v>
      </c>
      <c r="P250" s="271">
        <f t="shared" si="167"/>
        <v>22461.426491994178</v>
      </c>
      <c r="Q250" s="491">
        <v>0.13</v>
      </c>
      <c r="R250" s="490">
        <v>0.13</v>
      </c>
      <c r="S250" s="272">
        <f>$E250*Q250*$F$249</f>
        <v>3900000</v>
      </c>
      <c r="T250" s="272">
        <f>$E250*R250*$G$249</f>
        <v>13000</v>
      </c>
      <c r="U250" s="398">
        <f t="shared" ref="U250" si="172">T250+(S250/$K$2)</f>
        <v>22461.426491994178</v>
      </c>
      <c r="V250" s="408"/>
    </row>
    <row r="251" spans="1:22" ht="11.25" x14ac:dyDescent="0.25">
      <c r="B251" s="128" t="s">
        <v>447</v>
      </c>
      <c r="C251" s="52" t="s">
        <v>448</v>
      </c>
      <c r="D251" s="147" t="s">
        <v>412</v>
      </c>
      <c r="E251" s="133">
        <v>400</v>
      </c>
      <c r="F251" s="273">
        <v>4000</v>
      </c>
      <c r="G251" s="274"/>
      <c r="H251" s="46">
        <f t="shared" si="165"/>
        <v>1600000</v>
      </c>
      <c r="I251" s="46">
        <f t="shared" si="170"/>
        <v>0</v>
      </c>
      <c r="J251" s="269">
        <f t="shared" si="159"/>
        <v>3881.6108685104318</v>
      </c>
      <c r="K251" s="47"/>
      <c r="L251" s="47">
        <v>4000</v>
      </c>
      <c r="M251" s="48"/>
      <c r="N251" s="270">
        <f t="shared" ref="N251:O264" si="173">$E251*L251</f>
        <v>1600000</v>
      </c>
      <c r="O251" s="270">
        <f t="shared" si="173"/>
        <v>0</v>
      </c>
      <c r="P251" s="271">
        <f t="shared" si="167"/>
        <v>3881.6108685104318</v>
      </c>
      <c r="Q251" s="483">
        <v>4000</v>
      </c>
      <c r="R251" s="79"/>
      <c r="S251" s="272">
        <f t="shared" si="168"/>
        <v>1600000</v>
      </c>
      <c r="T251" s="272"/>
      <c r="U251" s="398">
        <f t="shared" si="169"/>
        <v>3881.6108685104318</v>
      </c>
      <c r="V251" s="408"/>
    </row>
    <row r="252" spans="1:22" ht="11.25" x14ac:dyDescent="0.25">
      <c r="B252" s="128" t="s">
        <v>449</v>
      </c>
      <c r="C252" s="52" t="s">
        <v>450</v>
      </c>
      <c r="D252" s="147" t="s">
        <v>412</v>
      </c>
      <c r="E252" s="133">
        <f>4*100</f>
        <v>400</v>
      </c>
      <c r="F252" s="273">
        <v>3000</v>
      </c>
      <c r="G252" s="274"/>
      <c r="H252" s="46">
        <f t="shared" si="165"/>
        <v>1200000</v>
      </c>
      <c r="I252" s="46">
        <f t="shared" si="170"/>
        <v>0</v>
      </c>
      <c r="J252" s="269">
        <f t="shared" si="159"/>
        <v>2911.2081513828239</v>
      </c>
      <c r="K252" s="47"/>
      <c r="L252" s="47">
        <v>35000</v>
      </c>
      <c r="M252" s="48"/>
      <c r="N252" s="270">
        <f t="shared" si="173"/>
        <v>14000000</v>
      </c>
      <c r="O252" s="270">
        <f t="shared" si="173"/>
        <v>0</v>
      </c>
      <c r="P252" s="271">
        <f t="shared" si="167"/>
        <v>33964.095099466278</v>
      </c>
      <c r="Q252" s="483">
        <v>35000</v>
      </c>
      <c r="R252" s="79"/>
      <c r="S252" s="272">
        <f t="shared" si="168"/>
        <v>14000000</v>
      </c>
      <c r="T252" s="272"/>
      <c r="U252" s="398">
        <f t="shared" si="169"/>
        <v>33964.095099466278</v>
      </c>
      <c r="V252" s="408"/>
    </row>
    <row r="253" spans="1:22" ht="11.25" x14ac:dyDescent="0.25">
      <c r="B253" s="128" t="s">
        <v>451</v>
      </c>
      <c r="C253" s="52" t="s">
        <v>452</v>
      </c>
      <c r="D253" s="147" t="s">
        <v>453</v>
      </c>
      <c r="E253" s="133">
        <v>1000</v>
      </c>
      <c r="F253" s="273">
        <v>1200</v>
      </c>
      <c r="G253" s="274"/>
      <c r="H253" s="46">
        <f t="shared" si="165"/>
        <v>1200000</v>
      </c>
      <c r="I253" s="46">
        <f t="shared" si="170"/>
        <v>0</v>
      </c>
      <c r="J253" s="269">
        <f t="shared" si="159"/>
        <v>2911.2081513828239</v>
      </c>
      <c r="K253" s="47"/>
      <c r="L253" s="47">
        <v>1250</v>
      </c>
      <c r="M253" s="48"/>
      <c r="N253" s="270">
        <f t="shared" si="173"/>
        <v>1250000</v>
      </c>
      <c r="O253" s="270">
        <f t="shared" si="173"/>
        <v>0</v>
      </c>
      <c r="P253" s="271">
        <f t="shared" si="167"/>
        <v>3032.5084910237752</v>
      </c>
      <c r="Q253" s="483">
        <v>1250</v>
      </c>
      <c r="R253" s="79"/>
      <c r="S253" s="272">
        <f t="shared" si="168"/>
        <v>1250000</v>
      </c>
      <c r="T253" s="272"/>
      <c r="U253" s="398">
        <f t="shared" si="169"/>
        <v>3032.5084910237752</v>
      </c>
      <c r="V253" s="408"/>
    </row>
    <row r="254" spans="1:22" ht="11.25" x14ac:dyDescent="0.25">
      <c r="B254" s="128" t="s">
        <v>454</v>
      </c>
      <c r="C254" s="52" t="s">
        <v>455</v>
      </c>
      <c r="D254" s="147" t="s">
        <v>412</v>
      </c>
      <c r="E254" s="133">
        <v>400</v>
      </c>
      <c r="F254" s="273">
        <v>40000</v>
      </c>
      <c r="G254" s="274"/>
      <c r="H254" s="46">
        <f t="shared" si="165"/>
        <v>16000000</v>
      </c>
      <c r="I254" s="46">
        <f t="shared" si="170"/>
        <v>0</v>
      </c>
      <c r="J254" s="269">
        <f t="shared" si="159"/>
        <v>38816.108685104322</v>
      </c>
      <c r="K254" s="47"/>
      <c r="L254" s="47">
        <v>40000</v>
      </c>
      <c r="M254" s="48"/>
      <c r="N254" s="270">
        <f t="shared" si="173"/>
        <v>16000000</v>
      </c>
      <c r="O254" s="270">
        <f t="shared" si="173"/>
        <v>0</v>
      </c>
      <c r="P254" s="271">
        <f t="shared" si="167"/>
        <v>38816.108685104322</v>
      </c>
      <c r="Q254" s="483">
        <v>40000</v>
      </c>
      <c r="R254" s="79"/>
      <c r="S254" s="272">
        <f t="shared" si="168"/>
        <v>16000000</v>
      </c>
      <c r="T254" s="272"/>
      <c r="U254" s="398">
        <f t="shared" si="169"/>
        <v>38816.108685104322</v>
      </c>
      <c r="V254" s="408"/>
    </row>
    <row r="255" spans="1:22" ht="26.45" customHeight="1" x14ac:dyDescent="0.25">
      <c r="B255" s="128" t="s">
        <v>456</v>
      </c>
      <c r="C255" s="52" t="s">
        <v>457</v>
      </c>
      <c r="D255" s="147" t="s">
        <v>412</v>
      </c>
      <c r="E255" s="133">
        <v>400</v>
      </c>
      <c r="F255" s="273">
        <v>30000</v>
      </c>
      <c r="G255" s="274"/>
      <c r="H255" s="46">
        <f t="shared" si="165"/>
        <v>12000000</v>
      </c>
      <c r="I255" s="46">
        <f t="shared" si="170"/>
        <v>0</v>
      </c>
      <c r="J255" s="269">
        <f t="shared" si="159"/>
        <v>29112.081513828238</v>
      </c>
      <c r="K255" s="47"/>
      <c r="L255" s="47">
        <v>32500</v>
      </c>
      <c r="M255" s="48"/>
      <c r="N255" s="270">
        <f t="shared" si="173"/>
        <v>13000000</v>
      </c>
      <c r="O255" s="270">
        <f t="shared" si="173"/>
        <v>0</v>
      </c>
      <c r="P255" s="271">
        <f t="shared" si="167"/>
        <v>31538.08830664726</v>
      </c>
      <c r="Q255" s="483">
        <v>32500</v>
      </c>
      <c r="R255" s="79"/>
      <c r="S255" s="272">
        <f t="shared" si="168"/>
        <v>13000000</v>
      </c>
      <c r="T255" s="272"/>
      <c r="U255" s="398">
        <f t="shared" si="169"/>
        <v>31538.08830664726</v>
      </c>
      <c r="V255" s="408"/>
    </row>
    <row r="256" spans="1:22" ht="16.5" customHeight="1" x14ac:dyDescent="0.25">
      <c r="B256" s="128" t="s">
        <v>458</v>
      </c>
      <c r="C256" s="52" t="s">
        <v>459</v>
      </c>
      <c r="D256" s="147" t="s">
        <v>412</v>
      </c>
      <c r="E256" s="133">
        <v>400</v>
      </c>
      <c r="F256" s="273">
        <v>20000</v>
      </c>
      <c r="G256" s="274"/>
      <c r="H256" s="46">
        <f t="shared" si="165"/>
        <v>8000000</v>
      </c>
      <c r="I256" s="46">
        <f t="shared" si="170"/>
        <v>0</v>
      </c>
      <c r="J256" s="269">
        <f t="shared" si="159"/>
        <v>19408.054342552161</v>
      </c>
      <c r="K256" s="47"/>
      <c r="L256" s="47">
        <v>20000</v>
      </c>
      <c r="M256" s="48"/>
      <c r="N256" s="270">
        <f t="shared" si="173"/>
        <v>8000000</v>
      </c>
      <c r="O256" s="270">
        <f t="shared" si="173"/>
        <v>0</v>
      </c>
      <c r="P256" s="271">
        <f t="shared" si="167"/>
        <v>19408.054342552161</v>
      </c>
      <c r="Q256" s="483">
        <v>20000</v>
      </c>
      <c r="R256" s="79"/>
      <c r="S256" s="272">
        <f t="shared" si="168"/>
        <v>8000000</v>
      </c>
      <c r="T256" s="272"/>
      <c r="U256" s="398">
        <f t="shared" si="169"/>
        <v>19408.054342552161</v>
      </c>
      <c r="V256" s="408"/>
    </row>
    <row r="257" spans="2:22" ht="11.25" x14ac:dyDescent="0.25">
      <c r="B257" s="128" t="s">
        <v>460</v>
      </c>
      <c r="C257" s="52" t="s">
        <v>461</v>
      </c>
      <c r="D257" s="147" t="s">
        <v>412</v>
      </c>
      <c r="E257" s="133">
        <v>400</v>
      </c>
      <c r="F257" s="273">
        <v>300000</v>
      </c>
      <c r="G257" s="274"/>
      <c r="H257" s="46">
        <f t="shared" si="165"/>
        <v>120000000</v>
      </c>
      <c r="I257" s="46">
        <f t="shared" si="170"/>
        <v>0</v>
      </c>
      <c r="J257" s="269">
        <f t="shared" si="159"/>
        <v>291120.81513828237</v>
      </c>
      <c r="K257" s="47"/>
      <c r="L257" s="47">
        <v>300000</v>
      </c>
      <c r="M257" s="48"/>
      <c r="N257" s="270">
        <f t="shared" si="173"/>
        <v>120000000</v>
      </c>
      <c r="O257" s="270">
        <f t="shared" si="173"/>
        <v>0</v>
      </c>
      <c r="P257" s="271">
        <f t="shared" si="167"/>
        <v>291120.81513828237</v>
      </c>
      <c r="Q257" s="483">
        <v>300000</v>
      </c>
      <c r="R257" s="79"/>
      <c r="S257" s="272">
        <f t="shared" si="168"/>
        <v>120000000</v>
      </c>
      <c r="T257" s="272"/>
      <c r="U257" s="398">
        <f t="shared" si="169"/>
        <v>291120.81513828237</v>
      </c>
      <c r="V257" s="408"/>
    </row>
    <row r="258" spans="2:22" ht="21" x14ac:dyDescent="0.25">
      <c r="B258" s="128" t="s">
        <v>462</v>
      </c>
      <c r="C258" s="52" t="s">
        <v>463</v>
      </c>
      <c r="D258" s="147" t="s">
        <v>393</v>
      </c>
      <c r="E258" s="133">
        <v>100</v>
      </c>
      <c r="F258" s="273">
        <v>30000</v>
      </c>
      <c r="G258" s="274"/>
      <c r="H258" s="46">
        <f t="shared" si="165"/>
        <v>3000000</v>
      </c>
      <c r="I258" s="46">
        <f t="shared" si="170"/>
        <v>0</v>
      </c>
      <c r="J258" s="269">
        <f t="shared" si="159"/>
        <v>7278.0203784570595</v>
      </c>
      <c r="K258" s="47"/>
      <c r="L258" s="47">
        <v>25000</v>
      </c>
      <c r="M258" s="48"/>
      <c r="N258" s="270">
        <f t="shared" si="173"/>
        <v>2500000</v>
      </c>
      <c r="O258" s="270">
        <f t="shared" si="173"/>
        <v>0</v>
      </c>
      <c r="P258" s="271">
        <f t="shared" si="167"/>
        <v>6065.0169820475503</v>
      </c>
      <c r="Q258" s="483">
        <v>25000</v>
      </c>
      <c r="R258" s="79"/>
      <c r="S258" s="272">
        <f t="shared" si="168"/>
        <v>2500000</v>
      </c>
      <c r="T258" s="272"/>
      <c r="U258" s="398">
        <f t="shared" si="169"/>
        <v>6065.0169820475503</v>
      </c>
      <c r="V258" s="408" t="s">
        <v>665</v>
      </c>
    </row>
    <row r="259" spans="2:22" ht="21" x14ac:dyDescent="0.25">
      <c r="B259" s="128" t="s">
        <v>464</v>
      </c>
      <c r="C259" s="52" t="s">
        <v>465</v>
      </c>
      <c r="D259" s="147" t="s">
        <v>466</v>
      </c>
      <c r="E259" s="133">
        <v>700</v>
      </c>
      <c r="F259" s="273">
        <v>6500</v>
      </c>
      <c r="G259" s="274"/>
      <c r="H259" s="46">
        <f t="shared" si="165"/>
        <v>4550000</v>
      </c>
      <c r="I259" s="46">
        <f t="shared" si="170"/>
        <v>0</v>
      </c>
      <c r="J259" s="269">
        <f t="shared" si="159"/>
        <v>11038.330907326541</v>
      </c>
      <c r="K259" s="47"/>
      <c r="L259" s="47">
        <v>6000</v>
      </c>
      <c r="M259" s="48"/>
      <c r="N259" s="270">
        <f t="shared" si="173"/>
        <v>4200000</v>
      </c>
      <c r="O259" s="270">
        <f t="shared" si="173"/>
        <v>0</v>
      </c>
      <c r="P259" s="271">
        <f t="shared" si="167"/>
        <v>10189.228529839884</v>
      </c>
      <c r="Q259" s="483">
        <v>6000</v>
      </c>
      <c r="R259" s="79"/>
      <c r="S259" s="272">
        <f t="shared" si="168"/>
        <v>4200000</v>
      </c>
      <c r="T259" s="272"/>
      <c r="U259" s="398">
        <f t="shared" si="169"/>
        <v>10189.228529839884</v>
      </c>
      <c r="V259" s="408" t="s">
        <v>665</v>
      </c>
    </row>
    <row r="260" spans="2:22" ht="22.5" x14ac:dyDescent="0.25">
      <c r="B260" s="128" t="s">
        <v>467</v>
      </c>
      <c r="C260" s="52" t="s">
        <v>468</v>
      </c>
      <c r="D260" s="147" t="s">
        <v>393</v>
      </c>
      <c r="E260" s="133">
        <v>20</v>
      </c>
      <c r="F260" s="273">
        <v>70000</v>
      </c>
      <c r="G260" s="274"/>
      <c r="H260" s="46">
        <f t="shared" si="165"/>
        <v>1400000</v>
      </c>
      <c r="I260" s="46">
        <f t="shared" si="170"/>
        <v>0</v>
      </c>
      <c r="J260" s="269">
        <f t="shared" si="159"/>
        <v>3396.4095099466281</v>
      </c>
      <c r="K260" s="47"/>
      <c r="L260" s="47">
        <v>85000</v>
      </c>
      <c r="M260" s="48"/>
      <c r="N260" s="270">
        <f t="shared" si="173"/>
        <v>1700000</v>
      </c>
      <c r="O260" s="270">
        <f t="shared" si="173"/>
        <v>0</v>
      </c>
      <c r="P260" s="271">
        <f t="shared" si="167"/>
        <v>4124.2115477923344</v>
      </c>
      <c r="Q260" s="483">
        <v>85000</v>
      </c>
      <c r="R260" s="79"/>
      <c r="S260" s="272">
        <f t="shared" si="168"/>
        <v>1700000</v>
      </c>
      <c r="T260" s="272"/>
      <c r="U260" s="398">
        <f t="shared" si="169"/>
        <v>4124.2115477923344</v>
      </c>
      <c r="V260" s="408" t="s">
        <v>665</v>
      </c>
    </row>
    <row r="261" spans="2:22" ht="22.5" x14ac:dyDescent="0.25">
      <c r="B261" s="128" t="s">
        <v>469</v>
      </c>
      <c r="C261" s="52" t="s">
        <v>470</v>
      </c>
      <c r="D261" s="147" t="s">
        <v>393</v>
      </c>
      <c r="E261" s="133">
        <v>20</v>
      </c>
      <c r="F261" s="273">
        <v>50000</v>
      </c>
      <c r="G261" s="274"/>
      <c r="H261" s="46">
        <f t="shared" si="165"/>
        <v>1000000</v>
      </c>
      <c r="I261" s="46">
        <f t="shared" si="170"/>
        <v>0</v>
      </c>
      <c r="J261" s="269">
        <f t="shared" si="159"/>
        <v>2426.0067928190201</v>
      </c>
      <c r="K261" s="47"/>
      <c r="L261" s="47">
        <v>65000</v>
      </c>
      <c r="M261" s="48"/>
      <c r="N261" s="270">
        <f t="shared" si="173"/>
        <v>1300000</v>
      </c>
      <c r="O261" s="270">
        <f t="shared" si="173"/>
        <v>0</v>
      </c>
      <c r="P261" s="271">
        <f t="shared" si="167"/>
        <v>3153.808830664726</v>
      </c>
      <c r="Q261" s="483">
        <v>65000</v>
      </c>
      <c r="R261" s="79"/>
      <c r="S261" s="272">
        <f t="shared" si="168"/>
        <v>1300000</v>
      </c>
      <c r="T261" s="272"/>
      <c r="U261" s="398">
        <f t="shared" si="169"/>
        <v>3153.808830664726</v>
      </c>
      <c r="V261" s="408" t="s">
        <v>665</v>
      </c>
    </row>
    <row r="262" spans="2:22" ht="15.95" customHeight="1" x14ac:dyDescent="0.25">
      <c r="B262" s="128" t="s">
        <v>471</v>
      </c>
      <c r="C262" s="52" t="s">
        <v>472</v>
      </c>
      <c r="D262" s="147" t="s">
        <v>393</v>
      </c>
      <c r="E262" s="133">
        <v>20</v>
      </c>
      <c r="F262" s="273">
        <v>15000</v>
      </c>
      <c r="G262" s="274"/>
      <c r="H262" s="46">
        <f t="shared" si="165"/>
        <v>300000</v>
      </c>
      <c r="I262" s="46">
        <f t="shared" si="170"/>
        <v>0</v>
      </c>
      <c r="J262" s="269">
        <f t="shared" si="159"/>
        <v>727.80203784570597</v>
      </c>
      <c r="K262" s="47"/>
      <c r="L262" s="47">
        <v>13000</v>
      </c>
      <c r="M262" s="48"/>
      <c r="N262" s="270">
        <f t="shared" si="173"/>
        <v>260000</v>
      </c>
      <c r="O262" s="270">
        <f t="shared" si="173"/>
        <v>0</v>
      </c>
      <c r="P262" s="271">
        <f t="shared" si="167"/>
        <v>630.76176613294524</v>
      </c>
      <c r="Q262" s="483">
        <v>13000</v>
      </c>
      <c r="R262" s="79"/>
      <c r="S262" s="272">
        <f t="shared" si="168"/>
        <v>260000</v>
      </c>
      <c r="T262" s="272"/>
      <c r="U262" s="398">
        <f t="shared" si="169"/>
        <v>630.76176613294524</v>
      </c>
      <c r="V262" s="408" t="s">
        <v>665</v>
      </c>
    </row>
    <row r="263" spans="2:22" ht="24.6" customHeight="1" x14ac:dyDescent="0.25">
      <c r="B263" s="128" t="s">
        <v>473</v>
      </c>
      <c r="C263" s="35" t="s">
        <v>474</v>
      </c>
      <c r="D263" s="147" t="s">
        <v>393</v>
      </c>
      <c r="E263" s="133">
        <v>20</v>
      </c>
      <c r="F263" s="267">
        <v>16500</v>
      </c>
      <c r="G263" s="268"/>
      <c r="H263" s="46">
        <f t="shared" si="165"/>
        <v>330000</v>
      </c>
      <c r="I263" s="46"/>
      <c r="J263" s="269">
        <f t="shared" si="159"/>
        <v>800.5822416302766</v>
      </c>
      <c r="K263" s="40"/>
      <c r="L263" s="40">
        <v>20000</v>
      </c>
      <c r="M263" s="41"/>
      <c r="N263" s="270">
        <f t="shared" si="173"/>
        <v>400000</v>
      </c>
      <c r="O263" s="270">
        <f t="shared" si="173"/>
        <v>0</v>
      </c>
      <c r="P263" s="271">
        <f t="shared" si="167"/>
        <v>970.40271712760796</v>
      </c>
      <c r="Q263" s="483">
        <v>20000</v>
      </c>
      <c r="R263" s="79"/>
      <c r="S263" s="272">
        <f t="shared" si="168"/>
        <v>400000</v>
      </c>
      <c r="T263" s="272"/>
      <c r="U263" s="398">
        <f t="shared" si="169"/>
        <v>970.40271712760796</v>
      </c>
      <c r="V263" s="408"/>
    </row>
    <row r="264" spans="2:22" ht="23.25" thickBot="1" x14ac:dyDescent="0.3">
      <c r="B264" s="129" t="s">
        <v>475</v>
      </c>
      <c r="C264" s="153" t="s">
        <v>495</v>
      </c>
      <c r="D264" s="154" t="s">
        <v>393</v>
      </c>
      <c r="E264" s="138">
        <v>20</v>
      </c>
      <c r="F264" s="304">
        <v>110000</v>
      </c>
      <c r="G264" s="305"/>
      <c r="H264" s="102">
        <f t="shared" si="165"/>
        <v>2200000</v>
      </c>
      <c r="I264" s="102"/>
      <c r="J264" s="269">
        <f t="shared" si="159"/>
        <v>5337.2149442018435</v>
      </c>
      <c r="K264" s="155"/>
      <c r="L264" s="155">
        <v>95000</v>
      </c>
      <c r="M264" s="156"/>
      <c r="N264" s="270">
        <f t="shared" si="173"/>
        <v>1900000</v>
      </c>
      <c r="O264" s="270">
        <f t="shared" si="173"/>
        <v>0</v>
      </c>
      <c r="P264" s="271">
        <f t="shared" si="167"/>
        <v>4609.4129063561377</v>
      </c>
      <c r="Q264" s="484">
        <v>95000</v>
      </c>
      <c r="R264" s="104"/>
      <c r="S264" s="281">
        <f t="shared" si="168"/>
        <v>1900000</v>
      </c>
      <c r="T264" s="281"/>
      <c r="U264" s="403">
        <f t="shared" si="169"/>
        <v>4609.4129063561377</v>
      </c>
      <c r="V264" s="408"/>
    </row>
    <row r="265" spans="2:22" ht="12" thickBot="1" x14ac:dyDescent="0.3">
      <c r="B265" s="459" t="s">
        <v>476</v>
      </c>
      <c r="C265" s="460"/>
      <c r="D265" s="157"/>
      <c r="E265" s="139"/>
      <c r="F265" s="158"/>
      <c r="G265" s="159"/>
      <c r="H265" s="159">
        <f>SUM(H234:H264)</f>
        <v>2010341814.4846156</v>
      </c>
      <c r="I265" s="159">
        <f t="shared" ref="I265:J265" si="174">SUM(I234:I264)</f>
        <v>120000</v>
      </c>
      <c r="J265" s="160">
        <f t="shared" si="174"/>
        <v>4997102.8978277911</v>
      </c>
      <c r="K265" s="158"/>
      <c r="L265" s="158"/>
      <c r="M265" s="159"/>
      <c r="N265" s="159">
        <f t="shared" ref="N265:P265" si="175">SUM(N234:N264)</f>
        <v>2063493136.8826926</v>
      </c>
      <c r="O265" s="159">
        <f t="shared" si="175"/>
        <v>113000</v>
      </c>
      <c r="P265" s="160">
        <f t="shared" si="175"/>
        <v>5119048.3670128398</v>
      </c>
      <c r="Q265" s="319"/>
      <c r="R265" s="320"/>
      <c r="S265" s="159">
        <f t="shared" ref="S265:U265" si="176">SUM(S234:S264)</f>
        <v>2063493136.8826926</v>
      </c>
      <c r="T265" s="159">
        <f t="shared" si="176"/>
        <v>113000</v>
      </c>
      <c r="U265" s="160">
        <f t="shared" si="176"/>
        <v>5119048.3670128398</v>
      </c>
    </row>
    <row r="266" spans="2:22" ht="12" thickBot="1" x14ac:dyDescent="0.3">
      <c r="B266" s="161"/>
      <c r="C266" s="162"/>
      <c r="D266" s="163"/>
      <c r="E266" s="164"/>
      <c r="F266" s="165"/>
      <c r="G266" s="166"/>
      <c r="H266" s="166"/>
      <c r="I266" s="166"/>
      <c r="J266" s="167"/>
      <c r="K266" s="168"/>
      <c r="L266" s="168"/>
      <c r="M266" s="169"/>
      <c r="N266" s="169"/>
      <c r="O266" s="169"/>
      <c r="P266" s="170"/>
      <c r="U266" s="321"/>
    </row>
    <row r="267" spans="2:22" ht="12.75" thickBot="1" x14ac:dyDescent="0.3">
      <c r="B267" s="171"/>
      <c r="C267" s="172" t="s">
        <v>477</v>
      </c>
      <c r="D267" s="173"/>
      <c r="E267" s="174"/>
      <c r="F267" s="175"/>
      <c r="G267" s="176"/>
      <c r="H267" s="176">
        <f>SUM(H27,H49,H71,H75,H85,H92,H98,H103,H107,H121,H165,H179,H193,H222,H231,H265)</f>
        <v>16739271026.254482</v>
      </c>
      <c r="I267" s="176">
        <f t="shared" ref="I267:J267" si="177">SUM(I27,I49,I71,I75,I85,I92,I98,I103,I107,I121,I165,I179,I193,I222,I231,I265)</f>
        <v>12036563.333333334</v>
      </c>
      <c r="J267" s="176">
        <f t="shared" si="177"/>
        <v>52646148.549865291</v>
      </c>
      <c r="K267" s="175"/>
      <c r="L267" s="175"/>
      <c r="M267" s="176"/>
      <c r="N267" s="176">
        <f t="shared" ref="N267" si="178">SUM(N27,N49,N71,N75,N85,N92,N98,N103,N107,N121,N165,N179,N193,N222,N231,N265)</f>
        <v>12942705753.688093</v>
      </c>
      <c r="O267" s="176">
        <f t="shared" ref="O267:P267" si="179">O27+O49+O71+O75+O85+O92+O98+O103+O107+O121+O165+O179+O193+O222+O231+O265</f>
        <v>4874500</v>
      </c>
      <c r="P267" s="177">
        <f t="shared" si="179"/>
        <v>36273592.075905129</v>
      </c>
      <c r="S267" s="176">
        <f t="shared" ref="S267" si="180">SUM(S27,S49,S71,S75,S85,S92,S98,S103,S107,S121,S165,S179,S193,S222,S231,S265)</f>
        <v>13545789239.046692</v>
      </c>
      <c r="T267" s="176">
        <f t="shared" ref="T267:U267" si="181">T27+T49+T71+T75+T85+T92+T98+T103+T107+T121+T165+T179+T193+T222+T231+T265</f>
        <v>6998033.333333334</v>
      </c>
      <c r="U267" s="177">
        <f t="shared" si="181"/>
        <v>39860210.041355401</v>
      </c>
    </row>
    <row r="268" spans="2:22" ht="11.25" x14ac:dyDescent="0.25">
      <c r="B268" s="178"/>
      <c r="C268" s="179"/>
      <c r="D268" s="124"/>
      <c r="E268" s="180"/>
      <c r="F268" s="181"/>
      <c r="G268" s="182"/>
      <c r="H268" s="182"/>
      <c r="I268" s="182"/>
      <c r="J268" s="182"/>
      <c r="L268" s="183"/>
      <c r="M268" s="183"/>
      <c r="N268" s="184"/>
      <c r="O268" s="184"/>
      <c r="P268" s="184"/>
      <c r="Q268" s="183"/>
      <c r="R268" s="183"/>
      <c r="S268" s="183"/>
      <c r="T268" s="183"/>
      <c r="U268" s="183"/>
    </row>
    <row r="269" spans="2:22" ht="12" thickBot="1" x14ac:dyDescent="0.3">
      <c r="B269" s="178"/>
      <c r="C269" s="179"/>
      <c r="D269" s="124"/>
      <c r="E269" s="185"/>
      <c r="F269" s="186"/>
      <c r="G269" s="187"/>
      <c r="H269" s="187"/>
      <c r="I269" s="187"/>
      <c r="J269" s="187"/>
      <c r="L269" s="183"/>
      <c r="M269" s="183"/>
      <c r="N269" s="184"/>
      <c r="O269" s="184"/>
      <c r="P269" s="184"/>
    </row>
    <row r="270" spans="2:22" ht="11.25" x14ac:dyDescent="0.25">
      <c r="B270" s="461" t="s">
        <v>478</v>
      </c>
      <c r="C270" s="462"/>
      <c r="D270" s="463"/>
      <c r="E270" s="463"/>
      <c r="F270" s="463"/>
      <c r="G270" s="464"/>
      <c r="H270" s="188"/>
      <c r="I270" s="189"/>
      <c r="J270" s="190"/>
      <c r="K270" s="191"/>
      <c r="L270" s="191"/>
      <c r="M270" s="192"/>
      <c r="N270" s="193"/>
      <c r="O270" s="193"/>
      <c r="P270" s="194"/>
      <c r="S270" s="193"/>
      <c r="T270" s="193"/>
      <c r="U270" s="194"/>
    </row>
    <row r="271" spans="2:22" ht="11.25" x14ac:dyDescent="0.25">
      <c r="B271" s="195" t="s">
        <v>14</v>
      </c>
      <c r="C271" s="196" t="s">
        <v>15</v>
      </c>
      <c r="D271" s="465"/>
      <c r="E271" s="465"/>
      <c r="F271" s="465"/>
      <c r="G271" s="466"/>
      <c r="H271" s="197">
        <f>SUM(H8:H26)</f>
        <v>707184000</v>
      </c>
      <c r="I271" s="198">
        <f>SUM(I8:I26)</f>
        <v>0</v>
      </c>
      <c r="J271" s="199">
        <f>SUM(J8:J26)</f>
        <v>1715633.1877729257</v>
      </c>
      <c r="K271" s="200"/>
      <c r="L271" s="200"/>
      <c r="N271" s="198">
        <f>N27</f>
        <v>476000000</v>
      </c>
      <c r="O271" s="198">
        <f>O27</f>
        <v>0</v>
      </c>
      <c r="P271" s="201">
        <f>P27</f>
        <v>1154779.2333818534</v>
      </c>
      <c r="S271" s="198">
        <f>S27</f>
        <v>422300000</v>
      </c>
      <c r="T271" s="198">
        <f>T27</f>
        <v>0</v>
      </c>
      <c r="U271" s="201">
        <f>U27</f>
        <v>1024502.6686074721</v>
      </c>
    </row>
    <row r="272" spans="2:22" ht="11.25" x14ac:dyDescent="0.25">
      <c r="B272" s="89" t="s">
        <v>51</v>
      </c>
      <c r="C272" s="196" t="s">
        <v>52</v>
      </c>
      <c r="D272" s="457"/>
      <c r="E272" s="457"/>
      <c r="F272" s="457"/>
      <c r="G272" s="458"/>
      <c r="H272" s="197">
        <f>SUM(H30:H48)</f>
        <v>1658647800</v>
      </c>
      <c r="I272" s="198">
        <f>SUM(I30:I48)</f>
        <v>0</v>
      </c>
      <c r="J272" s="199">
        <f>SUM(J30:J48)</f>
        <v>4023890.8296943228</v>
      </c>
      <c r="K272" s="200"/>
      <c r="L272" s="200"/>
      <c r="N272" s="198">
        <f>N49</f>
        <v>1192000000</v>
      </c>
      <c r="O272" s="198">
        <f t="shared" ref="O272:P272" si="182">O49</f>
        <v>0</v>
      </c>
      <c r="P272" s="201">
        <f t="shared" si="182"/>
        <v>2891800.0970402719</v>
      </c>
      <c r="S272" s="198">
        <f>S49</f>
        <v>1300000000</v>
      </c>
      <c r="T272" s="198">
        <f t="shared" ref="T272:U272" si="183">T49</f>
        <v>1860000</v>
      </c>
      <c r="U272" s="201">
        <f t="shared" si="183"/>
        <v>5013808.830664726</v>
      </c>
    </row>
    <row r="273" spans="2:21" ht="22.5" x14ac:dyDescent="0.25">
      <c r="B273" s="89" t="s">
        <v>77</v>
      </c>
      <c r="C273" s="196" t="s">
        <v>78</v>
      </c>
      <c r="D273" s="457"/>
      <c r="E273" s="457"/>
      <c r="F273" s="457"/>
      <c r="G273" s="458"/>
      <c r="H273" s="197">
        <f>SUM(H52:H70)</f>
        <v>801524000</v>
      </c>
      <c r="I273" s="198">
        <f>SUM(I52:I70)</f>
        <v>0</v>
      </c>
      <c r="J273" s="199">
        <f>SUM(J52:J70)</f>
        <v>1944502.668607472</v>
      </c>
      <c r="K273" s="200"/>
      <c r="L273" s="200"/>
      <c r="N273" s="198">
        <f>N71</f>
        <v>504000000</v>
      </c>
      <c r="O273" s="198">
        <f t="shared" ref="O273:P273" si="184">O71</f>
        <v>0</v>
      </c>
      <c r="P273" s="201">
        <f t="shared" si="184"/>
        <v>1222707.423580786</v>
      </c>
      <c r="S273" s="198">
        <f>S71</f>
        <v>502000000</v>
      </c>
      <c r="T273" s="198">
        <f t="shared" ref="T273:U273" si="185">T71</f>
        <v>0</v>
      </c>
      <c r="U273" s="201">
        <f t="shared" si="185"/>
        <v>1217855.409995148</v>
      </c>
    </row>
    <row r="274" spans="2:21" ht="11.25" x14ac:dyDescent="0.25">
      <c r="B274" s="89" t="s">
        <v>102</v>
      </c>
      <c r="C274" s="202" t="s">
        <v>479</v>
      </c>
      <c r="D274" s="457"/>
      <c r="E274" s="457"/>
      <c r="F274" s="457"/>
      <c r="G274" s="458"/>
      <c r="H274" s="197">
        <f>SUM(H73:H74)</f>
        <v>496000000</v>
      </c>
      <c r="I274" s="198">
        <f>SUM(I73:I74)</f>
        <v>240000</v>
      </c>
      <c r="J274" s="199">
        <f>SUM(J73:J74)</f>
        <v>1443299.3692382339</v>
      </c>
      <c r="K274" s="200"/>
      <c r="L274" s="200"/>
      <c r="N274" s="198">
        <f>N75</f>
        <v>364000000</v>
      </c>
      <c r="O274" s="198">
        <f t="shared" ref="O274:P274" si="186">O75</f>
        <v>180000</v>
      </c>
      <c r="P274" s="201">
        <f t="shared" si="186"/>
        <v>1063066.4725861233</v>
      </c>
      <c r="S274" s="198">
        <f>S75</f>
        <v>475200000</v>
      </c>
      <c r="T274" s="198">
        <f t="shared" ref="T274:U274" si="187">T75</f>
        <v>2260000</v>
      </c>
      <c r="U274" s="201">
        <f t="shared" si="187"/>
        <v>3412838.427947598</v>
      </c>
    </row>
    <row r="275" spans="2:21" ht="11.25" x14ac:dyDescent="0.25">
      <c r="B275" s="89" t="s">
        <v>109</v>
      </c>
      <c r="C275" s="202" t="s">
        <v>480</v>
      </c>
      <c r="D275" s="457"/>
      <c r="E275" s="457"/>
      <c r="F275" s="457"/>
      <c r="G275" s="458"/>
      <c r="H275" s="197">
        <f>SUM(H77:H84)</f>
        <v>55466666.666666664</v>
      </c>
      <c r="I275" s="198">
        <f>SUM(I77:I84)</f>
        <v>6933.333333333333</v>
      </c>
      <c r="J275" s="199">
        <f>SUM(J77:J84)</f>
        <v>141495.843441695</v>
      </c>
      <c r="K275" s="200"/>
      <c r="L275" s="200"/>
      <c r="N275" s="198">
        <f>N85</f>
        <v>46050000</v>
      </c>
      <c r="O275" s="198">
        <f t="shared" ref="O275:P275" si="188">O85</f>
        <v>4200</v>
      </c>
      <c r="P275" s="201">
        <f t="shared" si="188"/>
        <v>115917.61280931586</v>
      </c>
      <c r="S275" s="198">
        <f>S85</f>
        <v>25180000</v>
      </c>
      <c r="T275" s="198">
        <f t="shared" ref="T275:U275" si="189">T85</f>
        <v>6933.333333333333</v>
      </c>
      <c r="U275" s="201">
        <f t="shared" si="189"/>
        <v>68020.184376516263</v>
      </c>
    </row>
    <row r="276" spans="2:21" ht="22.5" x14ac:dyDescent="0.25">
      <c r="B276" s="89" t="s">
        <v>130</v>
      </c>
      <c r="C276" s="202" t="s">
        <v>131</v>
      </c>
      <c r="D276" s="457"/>
      <c r="E276" s="457"/>
      <c r="F276" s="457"/>
      <c r="G276" s="458"/>
      <c r="H276" s="197">
        <f>SUM(H87:H91)</f>
        <v>38400000</v>
      </c>
      <c r="I276" s="198">
        <f>SUM(I87:I91)</f>
        <v>0</v>
      </c>
      <c r="J276" s="199">
        <f>SUM(J87:J91)</f>
        <v>93158.660844250378</v>
      </c>
      <c r="K276" s="200"/>
      <c r="L276" s="200"/>
      <c r="N276" s="198">
        <f>N92</f>
        <v>34000000</v>
      </c>
      <c r="O276" s="198">
        <f t="shared" ref="O276:P276" si="190">O92</f>
        <v>0</v>
      </c>
      <c r="P276" s="201">
        <f t="shared" si="190"/>
        <v>82484.23095584668</v>
      </c>
      <c r="S276" s="198">
        <f>S92</f>
        <v>34000000</v>
      </c>
      <c r="T276" s="198">
        <f t="shared" ref="T276:U276" si="191">T92</f>
        <v>0</v>
      </c>
      <c r="U276" s="201">
        <f t="shared" si="191"/>
        <v>82484.23095584668</v>
      </c>
    </row>
    <row r="277" spans="2:21" ht="11.25" x14ac:dyDescent="0.25">
      <c r="B277" s="89" t="s">
        <v>143</v>
      </c>
      <c r="C277" s="202" t="s">
        <v>481</v>
      </c>
      <c r="D277" s="457"/>
      <c r="E277" s="457"/>
      <c r="F277" s="457"/>
      <c r="G277" s="458"/>
      <c r="H277" s="197">
        <f>SUM(H94:H97)</f>
        <v>21000000</v>
      </c>
      <c r="I277" s="198">
        <f>SUM(I94:I97)</f>
        <v>0</v>
      </c>
      <c r="J277" s="199">
        <f>SUM(J94:J97)</f>
        <v>50946.142649199421</v>
      </c>
      <c r="K277" s="200"/>
      <c r="L277" s="200"/>
      <c r="N277" s="198">
        <f>N98</f>
        <v>18725000</v>
      </c>
      <c r="O277" s="198">
        <f t="shared" ref="O277:P277" si="192">O98</f>
        <v>0</v>
      </c>
      <c r="P277" s="201">
        <f t="shared" si="192"/>
        <v>45426.97719553615</v>
      </c>
      <c r="S277" s="198">
        <f>S98</f>
        <v>9700000</v>
      </c>
      <c r="T277" s="198">
        <f t="shared" ref="T277:U277" si="193">T98</f>
        <v>0</v>
      </c>
      <c r="U277" s="201">
        <f t="shared" si="193"/>
        <v>23532.265890344494</v>
      </c>
    </row>
    <row r="278" spans="2:21" ht="11.25" x14ac:dyDescent="0.25">
      <c r="B278" s="89" t="s">
        <v>154</v>
      </c>
      <c r="C278" s="202" t="s">
        <v>482</v>
      </c>
      <c r="D278" s="457"/>
      <c r="E278" s="457"/>
      <c r="F278" s="457"/>
      <c r="G278" s="458"/>
      <c r="H278" s="197">
        <f>SUM(H100:H102)</f>
        <v>27500000</v>
      </c>
      <c r="I278" s="198">
        <f>SUM(I100:I102)</f>
        <v>0</v>
      </c>
      <c r="J278" s="199">
        <f>SUM(J100:J102)</f>
        <v>66715.186802523036</v>
      </c>
      <c r="K278" s="200"/>
      <c r="L278" s="200"/>
      <c r="N278" s="198">
        <f>N103</f>
        <v>21500000</v>
      </c>
      <c r="O278" s="198">
        <f t="shared" ref="O278:P278" si="194">O103</f>
        <v>0</v>
      </c>
      <c r="P278" s="201">
        <f t="shared" si="194"/>
        <v>52159.146045608926</v>
      </c>
      <c r="S278" s="198">
        <f>S103</f>
        <v>20500000</v>
      </c>
      <c r="T278" s="198">
        <f t="shared" ref="T278:U278" si="195">T103</f>
        <v>0</v>
      </c>
      <c r="U278" s="201">
        <f t="shared" si="195"/>
        <v>49733.139252789908</v>
      </c>
    </row>
    <row r="279" spans="2:21" ht="11.25" x14ac:dyDescent="0.25">
      <c r="B279" s="89" t="s">
        <v>164</v>
      </c>
      <c r="C279" s="202" t="s">
        <v>483</v>
      </c>
      <c r="D279" s="457"/>
      <c r="E279" s="457"/>
      <c r="F279" s="457"/>
      <c r="G279" s="458"/>
      <c r="H279" s="197">
        <f>SUM(H105:H106)</f>
        <v>62500000</v>
      </c>
      <c r="I279" s="198">
        <f>SUM(I105:I106)</f>
        <v>0</v>
      </c>
      <c r="J279" s="199">
        <f>SUM(J105:J106)</f>
        <v>151625.42455118874</v>
      </c>
      <c r="K279" s="200"/>
      <c r="L279" s="200"/>
      <c r="N279" s="198">
        <f>N107</f>
        <v>27500000</v>
      </c>
      <c r="O279" s="198">
        <f t="shared" ref="O279:P279" si="196">O107</f>
        <v>0</v>
      </c>
      <c r="P279" s="201">
        <f t="shared" si="196"/>
        <v>66715.186802523051</v>
      </c>
      <c r="S279" s="198">
        <f>S107</f>
        <v>6000000</v>
      </c>
      <c r="T279" s="198">
        <f t="shared" ref="T279:U279" si="197">T107</f>
        <v>0</v>
      </c>
      <c r="U279" s="201">
        <f t="shared" si="197"/>
        <v>14556.040756914121</v>
      </c>
    </row>
    <row r="280" spans="2:21" ht="11.25" x14ac:dyDescent="0.25">
      <c r="B280" s="89" t="s">
        <v>171</v>
      </c>
      <c r="C280" s="202" t="s">
        <v>484</v>
      </c>
      <c r="D280" s="457"/>
      <c r="E280" s="457"/>
      <c r="F280" s="457"/>
      <c r="G280" s="458"/>
      <c r="H280" s="197">
        <f>SUM(H110:H120)</f>
        <v>27000000</v>
      </c>
      <c r="I280" s="198">
        <f>SUM(I110:I120)</f>
        <v>0</v>
      </c>
      <c r="J280" s="199">
        <f>SUM(J110:J120)</f>
        <v>65502.183406113545</v>
      </c>
      <c r="K280" s="200"/>
      <c r="L280" s="200"/>
      <c r="N280" s="198">
        <f>N121</f>
        <v>23100000</v>
      </c>
      <c r="O280" s="198">
        <f t="shared" ref="O280:P280" si="198">O121</f>
        <v>0</v>
      </c>
      <c r="P280" s="201">
        <f t="shared" si="198"/>
        <v>56040.756914119367</v>
      </c>
      <c r="S280" s="198">
        <f>S121</f>
        <v>8640000</v>
      </c>
      <c r="T280" s="198">
        <f t="shared" ref="T280:U280" si="199">T121</f>
        <v>0</v>
      </c>
      <c r="U280" s="201">
        <f t="shared" si="199"/>
        <v>20960.698689956334</v>
      </c>
    </row>
    <row r="281" spans="2:21" ht="11.25" x14ac:dyDescent="0.25">
      <c r="B281" s="89" t="s">
        <v>198</v>
      </c>
      <c r="C281" s="202" t="s">
        <v>485</v>
      </c>
      <c r="D281" s="457"/>
      <c r="E281" s="457"/>
      <c r="F281" s="457"/>
      <c r="G281" s="458"/>
      <c r="H281" s="197">
        <f>SUM(H125:H164)</f>
        <v>6787594300</v>
      </c>
      <c r="I281" s="198">
        <f>SUM(I125:I164)</f>
        <v>10895830</v>
      </c>
      <c r="J281" s="199">
        <f>SUM(J125:J164)</f>
        <v>27362579.878699645</v>
      </c>
      <c r="K281" s="200"/>
      <c r="L281" s="200"/>
      <c r="N281" s="198">
        <f>N165</f>
        <v>4285400000</v>
      </c>
      <c r="O281" s="198">
        <f t="shared" ref="O281:P281" si="200">O165</f>
        <v>3933500</v>
      </c>
      <c r="P281" s="201">
        <f t="shared" si="200"/>
        <v>14329909.509946631</v>
      </c>
      <c r="S281" s="198">
        <f>S165</f>
        <v>4717940000</v>
      </c>
      <c r="T281" s="198">
        <f t="shared" ref="T281:U281" si="201">T165</f>
        <v>2239000</v>
      </c>
      <c r="U281" s="201">
        <f t="shared" si="201"/>
        <v>13684754.488112569</v>
      </c>
    </row>
    <row r="282" spans="2:21" ht="11.25" x14ac:dyDescent="0.25">
      <c r="B282" s="89" t="s">
        <v>282</v>
      </c>
      <c r="C282" s="202" t="s">
        <v>486</v>
      </c>
      <c r="D282" s="457"/>
      <c r="E282" s="457"/>
      <c r="F282" s="457"/>
      <c r="G282" s="458"/>
      <c r="H282" s="197">
        <f>SUM(H168:H178)</f>
        <v>149280000</v>
      </c>
      <c r="I282" s="198">
        <f>SUM(I168:I178)</f>
        <v>290800</v>
      </c>
      <c r="J282" s="199">
        <f>SUM(J168:J178)</f>
        <v>652954.29403202329</v>
      </c>
      <c r="K282" s="200"/>
      <c r="L282" s="200"/>
      <c r="N282" s="198">
        <f>N179</f>
        <v>190475000</v>
      </c>
      <c r="O282" s="198">
        <f t="shared" ref="O282:P282" si="202">O179</f>
        <v>255000</v>
      </c>
      <c r="P282" s="201">
        <f t="shared" si="202"/>
        <v>717093.64386220276</v>
      </c>
      <c r="S282" s="198">
        <f>S179</f>
        <v>91425000</v>
      </c>
      <c r="T282" s="198">
        <f t="shared" ref="T282:U282" si="203">T179</f>
        <v>0</v>
      </c>
      <c r="U282" s="201">
        <f t="shared" si="203"/>
        <v>221797.67103347889</v>
      </c>
    </row>
    <row r="283" spans="2:21" ht="11.25" x14ac:dyDescent="0.25">
      <c r="B283" s="89" t="s">
        <v>309</v>
      </c>
      <c r="C283" s="202" t="s">
        <v>487</v>
      </c>
      <c r="D283" s="457"/>
      <c r="E283" s="457"/>
      <c r="F283" s="457"/>
      <c r="G283" s="458"/>
      <c r="H283" s="197">
        <f>SUM(H182:H192)</f>
        <v>209000000</v>
      </c>
      <c r="I283" s="198">
        <f>SUM(I182:I192)</f>
        <v>211000</v>
      </c>
      <c r="J283" s="199">
        <f>SUM(J182:J192)</f>
        <v>718035.41969917505</v>
      </c>
      <c r="K283" s="200"/>
      <c r="L283" s="200"/>
      <c r="N283" s="198">
        <f>N193</f>
        <v>160550000</v>
      </c>
      <c r="O283" s="198">
        <f t="shared" ref="O283:P283" si="204">O193</f>
        <v>133700</v>
      </c>
      <c r="P283" s="201">
        <f t="shared" si="204"/>
        <v>523195.39058709366</v>
      </c>
      <c r="S283" s="198">
        <f>S193</f>
        <v>197200000</v>
      </c>
      <c r="T283" s="198">
        <f t="shared" ref="T283:U283" si="205">T193</f>
        <v>319000</v>
      </c>
      <c r="U283" s="201">
        <f t="shared" si="205"/>
        <v>797408.53954391053</v>
      </c>
    </row>
    <row r="284" spans="2:21" ht="11.25" x14ac:dyDescent="0.25">
      <c r="B284" s="89" t="s">
        <v>329</v>
      </c>
      <c r="C284" s="202" t="s">
        <v>488</v>
      </c>
      <c r="D284" s="457"/>
      <c r="E284" s="457"/>
      <c r="F284" s="457"/>
      <c r="G284" s="458"/>
      <c r="H284" s="197">
        <f>SUM(H195:H221)</f>
        <v>3409832445.1032004</v>
      </c>
      <c r="I284" s="198">
        <f>SUM(I195:I221)</f>
        <v>100000</v>
      </c>
      <c r="J284" s="199">
        <f>SUM(J195:J221)</f>
        <v>8372276.6741950531</v>
      </c>
      <c r="K284" s="200"/>
      <c r="L284" s="200"/>
      <c r="N284" s="198">
        <f>N222</f>
        <v>3302612616.8054004</v>
      </c>
      <c r="O284" s="198">
        <f t="shared" ref="O284:P284" si="206">O222</f>
        <v>100000</v>
      </c>
      <c r="P284" s="201">
        <f t="shared" si="206"/>
        <v>8112160.6424197005</v>
      </c>
      <c r="S284" s="198">
        <f>S222</f>
        <v>3438911102.1639996</v>
      </c>
      <c r="T284" s="198">
        <f t="shared" ref="T284:U284" si="207">T222</f>
        <v>45000</v>
      </c>
      <c r="U284" s="201">
        <f t="shared" si="207"/>
        <v>8387821.6937506078</v>
      </c>
    </row>
    <row r="285" spans="2:21" ht="11.25" x14ac:dyDescent="0.25">
      <c r="B285" s="89" t="s">
        <v>390</v>
      </c>
      <c r="C285" s="359" t="s">
        <v>658</v>
      </c>
      <c r="D285" s="457"/>
      <c r="E285" s="457"/>
      <c r="F285" s="457"/>
      <c r="G285" s="458"/>
      <c r="H285" s="197">
        <f>SUM(H224:H230)</f>
        <v>278000000</v>
      </c>
      <c r="I285" s="198">
        <f>SUM(I224:I230)</f>
        <v>172000</v>
      </c>
      <c r="J285" s="199">
        <f>SUM(J224:J230)</f>
        <v>846429.88840368763</v>
      </c>
      <c r="K285" s="200"/>
      <c r="L285" s="200"/>
      <c r="N285" s="198">
        <f>N231</f>
        <v>233300000</v>
      </c>
      <c r="O285" s="198">
        <f t="shared" ref="O285:P285" si="208">O231</f>
        <v>155100</v>
      </c>
      <c r="P285" s="201">
        <f t="shared" si="208"/>
        <v>721087.38476467726</v>
      </c>
      <c r="S285" s="198">
        <f>S231</f>
        <v>233300000</v>
      </c>
      <c r="T285" s="198">
        <f t="shared" ref="T285:U285" si="209">T231</f>
        <v>155100</v>
      </c>
      <c r="U285" s="201">
        <f t="shared" si="209"/>
        <v>721087.38476467726</v>
      </c>
    </row>
    <row r="286" spans="2:21" ht="12" thickBot="1" x14ac:dyDescent="0.3">
      <c r="B286" s="203" t="s">
        <v>407</v>
      </c>
      <c r="C286" s="204" t="s">
        <v>683</v>
      </c>
      <c r="D286" s="471"/>
      <c r="E286" s="471"/>
      <c r="F286" s="471"/>
      <c r="G286" s="472"/>
      <c r="H286" s="205">
        <f>SUM(H234:H264)</f>
        <v>2010341814.4846156</v>
      </c>
      <c r="I286" s="206">
        <f t="shared" ref="I286:J286" si="210">SUM(I234:I264)</f>
        <v>120000</v>
      </c>
      <c r="J286" s="207">
        <f t="shared" si="210"/>
        <v>4997102.8978277911</v>
      </c>
      <c r="K286" s="208"/>
      <c r="L286" s="208"/>
      <c r="M286" s="209"/>
      <c r="N286" s="206">
        <f>N265</f>
        <v>2063493136.8826926</v>
      </c>
      <c r="O286" s="206">
        <f t="shared" ref="O286:P286" si="211">O265</f>
        <v>113000</v>
      </c>
      <c r="P286" s="210">
        <f t="shared" si="211"/>
        <v>5119048.3670128398</v>
      </c>
      <c r="S286" s="206">
        <f>S265</f>
        <v>2063493136.8826926</v>
      </c>
      <c r="T286" s="206">
        <f t="shared" ref="T286:U286" si="212">T265</f>
        <v>113000</v>
      </c>
      <c r="U286" s="210">
        <f t="shared" si="212"/>
        <v>5119048.3670128398</v>
      </c>
    </row>
    <row r="287" spans="2:21" ht="14.1" customHeight="1" thickBot="1" x14ac:dyDescent="0.3">
      <c r="B287" s="178"/>
      <c r="C287" s="179"/>
      <c r="D287" s="124"/>
      <c r="E287" s="185"/>
      <c r="F287" s="186"/>
      <c r="G287" s="186"/>
      <c r="H287" s="211">
        <f>SUM(H271:H286)</f>
        <v>16739271026.254482</v>
      </c>
      <c r="I287" s="212">
        <f>SUM(I271:I286)</f>
        <v>12036563.333333334</v>
      </c>
      <c r="J287" s="213">
        <f>SUM(J271:J286)</f>
        <v>52646148.549865291</v>
      </c>
      <c r="N287" s="214">
        <f>SUM(N271:N286)</f>
        <v>12942705753.688093</v>
      </c>
      <c r="O287" s="215">
        <f t="shared" ref="O287:P287" si="213">SUM(O271:O286)</f>
        <v>4874500</v>
      </c>
      <c r="P287" s="216">
        <f t="shared" si="213"/>
        <v>36273592.075905129</v>
      </c>
      <c r="S287" s="214">
        <f>SUM(S271:S286)</f>
        <v>13545789239.046692</v>
      </c>
      <c r="T287" s="215">
        <f t="shared" ref="T287:U287" si="214">SUM(T271:T286)</f>
        <v>6998033.333333334</v>
      </c>
      <c r="U287" s="216">
        <f t="shared" si="214"/>
        <v>39860210.041355401</v>
      </c>
    </row>
    <row r="288" spans="2:21" ht="11.25" x14ac:dyDescent="0.25">
      <c r="B288" s="178"/>
      <c r="C288" s="179"/>
      <c r="D288" s="124"/>
      <c r="E288" s="185"/>
      <c r="F288" s="186"/>
      <c r="G288" s="186"/>
      <c r="H288" s="186"/>
      <c r="I288" s="186"/>
      <c r="J288" s="186"/>
      <c r="N288" s="217"/>
      <c r="O288" s="218"/>
      <c r="P288" s="219"/>
    </row>
    <row r="289" spans="2:21" s="225" customFormat="1" ht="11.25" x14ac:dyDescent="0.25">
      <c r="B289" s="220"/>
      <c r="C289" s="221"/>
      <c r="D289" s="428"/>
      <c r="E289" s="223"/>
      <c r="F289" s="224"/>
      <c r="G289" s="224"/>
      <c r="H289" s="224"/>
      <c r="I289" s="224"/>
      <c r="J289" s="224"/>
      <c r="N289" s="226">
        <f>N287/H287</f>
        <v>0.77319410943214206</v>
      </c>
      <c r="O289" s="227">
        <f>O287/I287</f>
        <v>0.40497439883864966</v>
      </c>
      <c r="P289" s="228">
        <f>P287/J287</f>
        <v>0.68900751669512095</v>
      </c>
      <c r="Q289" s="322"/>
      <c r="R289" s="322">
        <f>U287-P287</f>
        <v>3586617.965450272</v>
      </c>
      <c r="S289" s="322"/>
      <c r="T289" s="322"/>
      <c r="U289" s="322"/>
    </row>
    <row r="290" spans="2:21" ht="12" thickBot="1" x14ac:dyDescent="0.3">
      <c r="B290" s="178"/>
      <c r="C290" s="179"/>
      <c r="D290" s="124"/>
      <c r="E290" s="185"/>
      <c r="F290" s="186"/>
      <c r="G290" s="186"/>
      <c r="H290" s="186"/>
      <c r="I290" s="186"/>
      <c r="J290" s="186"/>
      <c r="N290" s="229"/>
      <c r="O290" s="230"/>
      <c r="P290" s="231"/>
    </row>
    <row r="291" spans="2:21" ht="11.25" x14ac:dyDescent="0.25">
      <c r="B291" s="178"/>
      <c r="C291" s="179"/>
      <c r="D291" s="124"/>
      <c r="E291" s="185"/>
      <c r="F291" s="186"/>
      <c r="G291" s="186"/>
      <c r="H291" s="186"/>
      <c r="I291" s="186"/>
      <c r="J291" s="186"/>
    </row>
    <row r="292" spans="2:21" ht="11.25" x14ac:dyDescent="0.25">
      <c r="B292" s="178"/>
      <c r="C292" s="179"/>
      <c r="D292" s="124"/>
      <c r="E292" s="185"/>
      <c r="F292" s="186"/>
      <c r="G292" s="186"/>
      <c r="H292" s="186"/>
      <c r="I292" s="186"/>
      <c r="J292" s="186"/>
    </row>
    <row r="293" spans="2:21" ht="11.25" x14ac:dyDescent="0.25">
      <c r="B293" s="178"/>
      <c r="C293" s="179"/>
      <c r="D293" s="124"/>
      <c r="E293" s="185"/>
      <c r="F293" s="186"/>
      <c r="G293" s="186"/>
      <c r="H293" s="186"/>
      <c r="I293" s="186"/>
      <c r="J293" s="186"/>
    </row>
    <row r="294" spans="2:21" ht="12" thickBot="1" x14ac:dyDescent="0.3">
      <c r="B294" s="178"/>
      <c r="C294" s="179"/>
      <c r="D294" s="124"/>
      <c r="E294" s="185"/>
      <c r="F294" s="186"/>
      <c r="G294" s="186"/>
      <c r="H294" s="186"/>
      <c r="I294" s="186"/>
      <c r="J294" s="186"/>
    </row>
    <row r="295" spans="2:21" ht="11.25" x14ac:dyDescent="0.25">
      <c r="B295" s="473" t="s">
        <v>489</v>
      </c>
      <c r="C295" s="474"/>
      <c r="D295" s="474"/>
      <c r="E295" s="474"/>
      <c r="F295" s="474"/>
      <c r="G295" s="474"/>
      <c r="H295" s="475"/>
      <c r="I295" s="186"/>
      <c r="J295" s="186"/>
    </row>
    <row r="296" spans="2:21" ht="11.25" x14ac:dyDescent="0.25">
      <c r="B296" s="232" t="s">
        <v>490</v>
      </c>
      <c r="C296" s="233"/>
      <c r="D296" s="467" t="s">
        <v>491</v>
      </c>
      <c r="E296" s="468"/>
      <c r="F296" s="469"/>
      <c r="G296" s="469"/>
      <c r="H296" s="470"/>
      <c r="I296" s="179"/>
      <c r="J296" s="179"/>
    </row>
    <row r="297" spans="2:21" ht="11.25" x14ac:dyDescent="0.25">
      <c r="B297" s="234" t="s">
        <v>492</v>
      </c>
      <c r="C297" s="233"/>
      <c r="D297" s="476" t="s">
        <v>492</v>
      </c>
      <c r="E297" s="477"/>
      <c r="F297" s="469"/>
      <c r="G297" s="469"/>
      <c r="H297" s="470"/>
      <c r="I297" s="179"/>
      <c r="J297" s="179"/>
    </row>
    <row r="298" spans="2:21" ht="11.25" x14ac:dyDescent="0.25">
      <c r="B298" s="234" t="s">
        <v>493</v>
      </c>
      <c r="C298" s="233"/>
      <c r="D298" s="476" t="s">
        <v>493</v>
      </c>
      <c r="E298" s="477"/>
      <c r="F298" s="469"/>
      <c r="G298" s="469"/>
      <c r="H298" s="470"/>
      <c r="I298" s="179"/>
      <c r="J298" s="179"/>
    </row>
    <row r="299" spans="2:21" ht="12" thickBot="1" x14ac:dyDescent="0.3">
      <c r="B299" s="235" t="s">
        <v>494</v>
      </c>
      <c r="C299" s="236"/>
      <c r="D299" s="478" t="s">
        <v>494</v>
      </c>
      <c r="E299" s="479"/>
      <c r="F299" s="480"/>
      <c r="G299" s="480"/>
      <c r="H299" s="481"/>
      <c r="I299" s="179"/>
      <c r="J299" s="179"/>
    </row>
    <row r="300" spans="2:21" x14ac:dyDescent="0.25">
      <c r="E300" s="239"/>
      <c r="F300" s="1"/>
      <c r="I300" s="1"/>
    </row>
    <row r="301" spans="2:21" x14ac:dyDescent="0.25">
      <c r="D301" s="1"/>
      <c r="E301" s="238"/>
      <c r="F301" s="1"/>
      <c r="G301" s="1"/>
    </row>
    <row r="302" spans="2:21" x14ac:dyDescent="0.25">
      <c r="D302" s="1"/>
      <c r="E302" s="238"/>
      <c r="F302" s="1"/>
      <c r="G302" s="1"/>
    </row>
    <row r="303" spans="2:21" x14ac:dyDescent="0.25">
      <c r="D303" s="1"/>
      <c r="E303" s="238"/>
      <c r="F303" s="1"/>
      <c r="G303" s="1"/>
    </row>
    <row r="304" spans="2:21" x14ac:dyDescent="0.25">
      <c r="D304" s="1"/>
      <c r="E304" s="238"/>
      <c r="F304" s="1"/>
      <c r="G304" s="1"/>
    </row>
  </sheetData>
  <mergeCells count="50">
    <mergeCell ref="D297:E297"/>
    <mergeCell ref="F297:H297"/>
    <mergeCell ref="D298:E298"/>
    <mergeCell ref="F298:H298"/>
    <mergeCell ref="D299:E299"/>
    <mergeCell ref="F299:H299"/>
    <mergeCell ref="D283:G283"/>
    <mergeCell ref="D284:G284"/>
    <mergeCell ref="D285:G285"/>
    <mergeCell ref="D286:G286"/>
    <mergeCell ref="B295:H295"/>
    <mergeCell ref="D296:E296"/>
    <mergeCell ref="F296:H296"/>
    <mergeCell ref="D277:G277"/>
    <mergeCell ref="D278:G278"/>
    <mergeCell ref="D279:G279"/>
    <mergeCell ref="D280:G280"/>
    <mergeCell ref="D281:G281"/>
    <mergeCell ref="D282:G282"/>
    <mergeCell ref="D271:G271"/>
    <mergeCell ref="D272:G272"/>
    <mergeCell ref="D273:G273"/>
    <mergeCell ref="D274:G274"/>
    <mergeCell ref="D275:G275"/>
    <mergeCell ref="D276:G276"/>
    <mergeCell ref="B193:C193"/>
    <mergeCell ref="B222:C222"/>
    <mergeCell ref="B231:C231"/>
    <mergeCell ref="B265:C265"/>
    <mergeCell ref="B270:C270"/>
    <mergeCell ref="D270:G270"/>
    <mergeCell ref="B103:C103"/>
    <mergeCell ref="B107:C107"/>
    <mergeCell ref="B121:C121"/>
    <mergeCell ref="B124:B125"/>
    <mergeCell ref="B165:C165"/>
    <mergeCell ref="B179:C179"/>
    <mergeCell ref="B49:C49"/>
    <mergeCell ref="B71:C71"/>
    <mergeCell ref="B75:C75"/>
    <mergeCell ref="B85:C85"/>
    <mergeCell ref="B92:C92"/>
    <mergeCell ref="B98:C98"/>
    <mergeCell ref="B1:J1"/>
    <mergeCell ref="B2:C2"/>
    <mergeCell ref="B3:C3"/>
    <mergeCell ref="L4:P4"/>
    <mergeCell ref="Q4:U4"/>
    <mergeCell ref="B27:E27"/>
    <mergeCell ref="B4: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4463F-19FB-46E8-BC9E-C892D5AB985C}">
  <dimension ref="B2:L25"/>
  <sheetViews>
    <sheetView tabSelected="1" topLeftCell="A4" zoomScale="90" zoomScaleNormal="90" workbookViewId="0">
      <selection activeCell="D25" sqref="D25"/>
    </sheetView>
  </sheetViews>
  <sheetFormatPr defaultRowHeight="15" x14ac:dyDescent="0.25"/>
  <cols>
    <col min="1" max="1" width="6.140625" customWidth="1"/>
    <col min="2" max="2" width="16.28515625" customWidth="1"/>
    <col min="3" max="3" width="48.5703125" customWidth="1"/>
    <col min="4" max="4" width="18.42578125" customWidth="1"/>
    <col min="5" max="5" width="15.5703125" customWidth="1"/>
    <col min="6" max="6" width="17" customWidth="1"/>
    <col min="8" max="8" width="19.5703125" customWidth="1"/>
    <col min="9" max="9" width="15.85546875" customWidth="1"/>
    <col min="10" max="10" width="18.140625" customWidth="1"/>
    <col min="11" max="11" width="18" hidden="1" customWidth="1"/>
    <col min="12" max="12" width="18.5703125" hidden="1" customWidth="1"/>
    <col min="13" max="13" width="13.85546875" customWidth="1"/>
  </cols>
  <sheetData>
    <row r="2" spans="2:12" x14ac:dyDescent="0.25">
      <c r="B2" s="505" t="str">
        <f>'Realigned Rate'!B270</f>
        <v>SUMMARY</v>
      </c>
      <c r="C2" s="506"/>
      <c r="D2" s="506"/>
      <c r="E2" s="506"/>
      <c r="F2" s="506"/>
      <c r="G2" s="506"/>
      <c r="H2" s="506"/>
      <c r="I2" s="507"/>
    </row>
    <row r="3" spans="2:12" ht="15.75" thickBot="1" x14ac:dyDescent="0.3"/>
    <row r="4" spans="2:12" ht="15.75" thickBot="1" x14ac:dyDescent="0.3">
      <c r="D4" s="494" t="s">
        <v>689</v>
      </c>
      <c r="E4" s="495"/>
      <c r="F4" s="496"/>
      <c r="H4" s="431" t="s">
        <v>690</v>
      </c>
      <c r="I4" s="432"/>
      <c r="J4" s="433"/>
    </row>
    <row r="5" spans="2:12" x14ac:dyDescent="0.25">
      <c r="B5" s="508" t="s">
        <v>700</v>
      </c>
      <c r="C5" s="509"/>
      <c r="D5" s="497" t="s">
        <v>685</v>
      </c>
      <c r="E5" s="493" t="s">
        <v>686</v>
      </c>
      <c r="F5" s="498" t="s">
        <v>699</v>
      </c>
      <c r="H5" s="383" t="s">
        <v>685</v>
      </c>
      <c r="I5" s="384" t="s">
        <v>686</v>
      </c>
      <c r="J5" s="385" t="s">
        <v>699</v>
      </c>
    </row>
    <row r="6" spans="2:12" x14ac:dyDescent="0.25">
      <c r="B6" s="342" t="str">
        <f>'Realigned Rate'!B271</f>
        <v>SECTION A</v>
      </c>
      <c r="C6" s="342" t="str">
        <f>'Realigned Rate'!C271</f>
        <v>SITE VISIT AND SOIL SAMPLING - ASSESSMENT</v>
      </c>
      <c r="D6" s="511">
        <f>'Realigned Rate'!N271</f>
        <v>476000000</v>
      </c>
      <c r="E6" s="354">
        <f>'Realigned Rate'!O271</f>
        <v>0</v>
      </c>
      <c r="F6" s="355">
        <f>'Realigned Rate'!P271</f>
        <v>1154779.2333818534</v>
      </c>
      <c r="H6" s="512">
        <f>'Realigned Rate'!S271</f>
        <v>422300000</v>
      </c>
      <c r="I6" s="492">
        <f>'Realigned Rate'!T271</f>
        <v>0</v>
      </c>
      <c r="J6" s="502">
        <f>'Realigned Rate'!U271</f>
        <v>1024502.6686074721</v>
      </c>
      <c r="K6" s="345">
        <f>H6-D6</f>
        <v>-53700000</v>
      </c>
      <c r="L6" s="345">
        <f>I6-E6</f>
        <v>0</v>
      </c>
    </row>
    <row r="7" spans="2:12" x14ac:dyDescent="0.25">
      <c r="B7" s="342" t="str">
        <f>'Realigned Rate'!B272</f>
        <v>SECTION B</v>
      </c>
      <c r="C7" s="342" t="str">
        <f>'Realigned Rate'!C272</f>
        <v>SITE VISIT AND SOIL SAMPLING - QA/QC AND VERIFICATION</v>
      </c>
      <c r="D7" s="511">
        <f>'Realigned Rate'!N272</f>
        <v>1192000000</v>
      </c>
      <c r="E7" s="354">
        <f>'Realigned Rate'!O272</f>
        <v>0</v>
      </c>
      <c r="F7" s="355">
        <f>'Realigned Rate'!P272</f>
        <v>2891800.0970402719</v>
      </c>
      <c r="H7" s="512">
        <f>'Realigned Rate'!S272</f>
        <v>1300000000</v>
      </c>
      <c r="I7" s="492">
        <f>'Realigned Rate'!T272</f>
        <v>1860000</v>
      </c>
      <c r="J7" s="502">
        <f>'Realigned Rate'!U272</f>
        <v>5013808.830664726</v>
      </c>
      <c r="K7" s="345">
        <f t="shared" ref="K7:K21" si="0">H7-D7</f>
        <v>108000000</v>
      </c>
      <c r="L7" s="345">
        <f t="shared" ref="L7:L21" si="1">I7-E7</f>
        <v>1860000</v>
      </c>
    </row>
    <row r="8" spans="2:12" x14ac:dyDescent="0.25">
      <c r="B8" s="342" t="str">
        <f>'Realigned Rate'!B273</f>
        <v>SECTION C</v>
      </c>
      <c r="C8" s="342" t="str">
        <f>'Realigned Rate'!C273</f>
        <v>SITE VISIT AND SOIL SAMPLING - CERTIFICATION WITH REGULATORS</v>
      </c>
      <c r="D8" s="511">
        <f>'Realigned Rate'!N273</f>
        <v>504000000</v>
      </c>
      <c r="E8" s="354">
        <f>'Realigned Rate'!O273</f>
        <v>0</v>
      </c>
      <c r="F8" s="355">
        <f>'Realigned Rate'!P273</f>
        <v>1222707.423580786</v>
      </c>
      <c r="H8" s="512">
        <f>'Realigned Rate'!S273</f>
        <v>502000000</v>
      </c>
      <c r="I8" s="492">
        <f>'Realigned Rate'!T273</f>
        <v>0</v>
      </c>
      <c r="J8" s="502">
        <f>'Realigned Rate'!U273</f>
        <v>1217855.409995148</v>
      </c>
      <c r="K8" s="345">
        <f t="shared" si="0"/>
        <v>-2000000</v>
      </c>
      <c r="L8" s="345">
        <f t="shared" si="1"/>
        <v>0</v>
      </c>
    </row>
    <row r="9" spans="2:12" x14ac:dyDescent="0.25">
      <c r="B9" s="342" t="str">
        <f>'Realigned Rate'!B274</f>
        <v>Section D</v>
      </c>
      <c r="C9" s="342" t="str">
        <f>'Realigned Rate'!C274</f>
        <v>RISK ASSESSMENT &amp; REPORT WRITING</v>
      </c>
      <c r="D9" s="510">
        <f>'Realigned Rate'!N274</f>
        <v>364000000</v>
      </c>
      <c r="E9" s="354">
        <f>'Realigned Rate'!O274</f>
        <v>180000</v>
      </c>
      <c r="F9" s="355">
        <f>'Realigned Rate'!P274</f>
        <v>1063066.4725861233</v>
      </c>
      <c r="H9" s="501">
        <f>'Realigned Rate'!S274</f>
        <v>475200000</v>
      </c>
      <c r="I9" s="492">
        <f>'Realigned Rate'!T274</f>
        <v>2260000</v>
      </c>
      <c r="J9" s="502">
        <f>'Realigned Rate'!U274</f>
        <v>3412838.427947598</v>
      </c>
      <c r="K9" s="345">
        <f t="shared" si="0"/>
        <v>111200000</v>
      </c>
      <c r="L9" s="345">
        <f t="shared" si="1"/>
        <v>2080000</v>
      </c>
    </row>
    <row r="10" spans="2:12" x14ac:dyDescent="0.25">
      <c r="B10" s="342" t="str">
        <f>'Realigned Rate'!B275</f>
        <v>Section E</v>
      </c>
      <c r="C10" s="342" t="str">
        <f>'Realigned Rate'!C275</f>
        <v>BOREHOLE DRILLING</v>
      </c>
      <c r="D10" s="510">
        <f>'Realigned Rate'!N275</f>
        <v>46050000</v>
      </c>
      <c r="E10" s="354">
        <f>'Realigned Rate'!O275</f>
        <v>4200</v>
      </c>
      <c r="F10" s="355">
        <f>'Realigned Rate'!P275</f>
        <v>115917.61280931586</v>
      </c>
      <c r="H10" s="501">
        <f>'Realigned Rate'!S275</f>
        <v>25180000</v>
      </c>
      <c r="I10" s="492">
        <f>'Realigned Rate'!T275</f>
        <v>6933.333333333333</v>
      </c>
      <c r="J10" s="502">
        <f>'Realigned Rate'!U275</f>
        <v>68020.184376516263</v>
      </c>
      <c r="K10" s="345">
        <f t="shared" si="0"/>
        <v>-20870000</v>
      </c>
      <c r="L10" s="345">
        <f t="shared" si="1"/>
        <v>2733.333333333333</v>
      </c>
    </row>
    <row r="11" spans="2:12" x14ac:dyDescent="0.25">
      <c r="B11" s="342" t="str">
        <f>'Realigned Rate'!B276</f>
        <v>SECTION F</v>
      </c>
      <c r="C11" s="342" t="str">
        <f>'Realigned Rate'!C276</f>
        <v>INSTALLATION OF PORTABLE WATER BOREHOLE AND FACILITIES</v>
      </c>
      <c r="D11" s="511">
        <f>'Realigned Rate'!N276</f>
        <v>34000000</v>
      </c>
      <c r="E11" s="354">
        <f>'Realigned Rate'!O276</f>
        <v>0</v>
      </c>
      <c r="F11" s="355">
        <f>'Realigned Rate'!P276</f>
        <v>82484.23095584668</v>
      </c>
      <c r="H11" s="512">
        <f>'Realigned Rate'!S276</f>
        <v>34000000</v>
      </c>
      <c r="I11" s="492">
        <f>'Realigned Rate'!T276</f>
        <v>0</v>
      </c>
      <c r="J11" s="502">
        <f>'Realigned Rate'!U276</f>
        <v>82484.23095584668</v>
      </c>
      <c r="K11" s="345">
        <f t="shared" si="0"/>
        <v>0</v>
      </c>
      <c r="L11" s="345">
        <f t="shared" si="1"/>
        <v>0</v>
      </c>
    </row>
    <row r="12" spans="2:12" x14ac:dyDescent="0.25">
      <c r="B12" s="342" t="str">
        <f>'Realigned Rate'!B277</f>
        <v>Section G</v>
      </c>
      <c r="C12" s="342" t="str">
        <f>'Realigned Rate'!C277</f>
        <v>SAMPLING FROM BOREHOLES AND MONITORING WELLS</v>
      </c>
      <c r="D12" s="510">
        <f>'Realigned Rate'!N277</f>
        <v>18725000</v>
      </c>
      <c r="E12" s="354">
        <f>'Realigned Rate'!O277</f>
        <v>0</v>
      </c>
      <c r="F12" s="355">
        <f>'Realigned Rate'!P277</f>
        <v>45426.97719553615</v>
      </c>
      <c r="H12" s="501">
        <f>'Realigned Rate'!S277</f>
        <v>9700000</v>
      </c>
      <c r="I12" s="492">
        <f>'Realigned Rate'!T277</f>
        <v>0</v>
      </c>
      <c r="J12" s="502">
        <f>'Realigned Rate'!U277</f>
        <v>23532.265890344494</v>
      </c>
      <c r="K12" s="345">
        <f t="shared" si="0"/>
        <v>-9025000</v>
      </c>
      <c r="L12" s="345">
        <f t="shared" si="1"/>
        <v>0</v>
      </c>
    </row>
    <row r="13" spans="2:12" x14ac:dyDescent="0.25">
      <c r="B13" s="342" t="str">
        <f>'Realigned Rate'!B278</f>
        <v>Section H</v>
      </c>
      <c r="C13" s="342" t="str">
        <f>'Realigned Rate'!C278</f>
        <v>IN SITU TESTING</v>
      </c>
      <c r="D13" s="510">
        <f>'Realigned Rate'!N278</f>
        <v>21500000</v>
      </c>
      <c r="E13" s="354">
        <f>'Realigned Rate'!O278</f>
        <v>0</v>
      </c>
      <c r="F13" s="355">
        <f>'Realigned Rate'!P278</f>
        <v>52159.146045608926</v>
      </c>
      <c r="H13" s="501">
        <f>'Realigned Rate'!S278</f>
        <v>20500000</v>
      </c>
      <c r="I13" s="492">
        <f>'Realigned Rate'!T278</f>
        <v>0</v>
      </c>
      <c r="J13" s="502">
        <f>'Realigned Rate'!U278</f>
        <v>49733.139252789908</v>
      </c>
      <c r="K13" s="345">
        <f t="shared" si="0"/>
        <v>-1000000</v>
      </c>
      <c r="L13" s="345">
        <f t="shared" si="1"/>
        <v>0</v>
      </c>
    </row>
    <row r="14" spans="2:12" x14ac:dyDescent="0.25">
      <c r="B14" s="342" t="str">
        <f>'Realigned Rate'!B279</f>
        <v>Section I</v>
      </c>
      <c r="C14" s="342" t="str">
        <f>'Realigned Rate'!C279</f>
        <v>MONITORING WELL INSTALL AND DEVELOPMENT</v>
      </c>
      <c r="D14" s="510">
        <f>'Realigned Rate'!N279</f>
        <v>27500000</v>
      </c>
      <c r="E14" s="354">
        <f>'Realigned Rate'!O279</f>
        <v>0</v>
      </c>
      <c r="F14" s="355">
        <f>'Realigned Rate'!P279</f>
        <v>66715.186802523051</v>
      </c>
      <c r="H14" s="501">
        <f>'Realigned Rate'!S279</f>
        <v>6000000</v>
      </c>
      <c r="I14" s="492">
        <f>'Realigned Rate'!T279</f>
        <v>0</v>
      </c>
      <c r="J14" s="502">
        <f>'Realigned Rate'!U279</f>
        <v>14556.040756914121</v>
      </c>
      <c r="K14" s="345">
        <f t="shared" si="0"/>
        <v>-21500000</v>
      </c>
      <c r="L14" s="345">
        <f t="shared" si="1"/>
        <v>0</v>
      </c>
    </row>
    <row r="15" spans="2:12" x14ac:dyDescent="0.25">
      <c r="B15" s="342" t="str">
        <f>'Realigned Rate'!B280</f>
        <v>Section J</v>
      </c>
      <c r="C15" s="342" t="str">
        <f>'Realigned Rate'!C280</f>
        <v>SOIL CLASSIFICATION TESTING</v>
      </c>
      <c r="D15" s="510">
        <f>'Realigned Rate'!N280</f>
        <v>23100000</v>
      </c>
      <c r="E15" s="354">
        <f>'Realigned Rate'!O280</f>
        <v>0</v>
      </c>
      <c r="F15" s="355">
        <f>'Realigned Rate'!P280</f>
        <v>56040.756914119367</v>
      </c>
      <c r="H15" s="501">
        <f>'Realigned Rate'!S280</f>
        <v>8640000</v>
      </c>
      <c r="I15" s="492">
        <f>'Realigned Rate'!T280</f>
        <v>0</v>
      </c>
      <c r="J15" s="502">
        <f>'Realigned Rate'!U280</f>
        <v>20960.698689956334</v>
      </c>
      <c r="K15" s="345">
        <f t="shared" si="0"/>
        <v>-14460000</v>
      </c>
      <c r="L15" s="345">
        <f t="shared" si="1"/>
        <v>0</v>
      </c>
    </row>
    <row r="16" spans="2:12" x14ac:dyDescent="0.25">
      <c r="B16" s="342" t="str">
        <f>'Realigned Rate'!B281</f>
        <v>Section K</v>
      </c>
      <c r="C16" s="342" t="str">
        <f>'Realigned Rate'!C281</f>
        <v xml:space="preserve">CHEMICAL TESTING </v>
      </c>
      <c r="D16" s="510">
        <f>'Realigned Rate'!N281</f>
        <v>4285400000</v>
      </c>
      <c r="E16" s="354">
        <f>'Realigned Rate'!O281</f>
        <v>3933500</v>
      </c>
      <c r="F16" s="355">
        <f>'Realigned Rate'!P281</f>
        <v>14329909.509946631</v>
      </c>
      <c r="H16" s="501">
        <f>'Realigned Rate'!S281</f>
        <v>4717940000</v>
      </c>
      <c r="I16" s="492">
        <f>'Realigned Rate'!T281</f>
        <v>2239000</v>
      </c>
      <c r="J16" s="502">
        <f>'Realigned Rate'!U281</f>
        <v>13684754.488112569</v>
      </c>
      <c r="K16" s="345">
        <f t="shared" si="0"/>
        <v>432540000</v>
      </c>
      <c r="L16" s="345">
        <f t="shared" si="1"/>
        <v>-1694500</v>
      </c>
    </row>
    <row r="17" spans="2:12" x14ac:dyDescent="0.25">
      <c r="B17" s="342" t="str">
        <f>'Realigned Rate'!B282</f>
        <v>Section L</v>
      </c>
      <c r="C17" s="342" t="str">
        <f>'Realigned Rate'!C282</f>
        <v>NON-INTRUSIVE GEOPHYSICAL TESTING</v>
      </c>
      <c r="D17" s="510">
        <f>'Realigned Rate'!N282</f>
        <v>190475000</v>
      </c>
      <c r="E17" s="354">
        <f>'Realigned Rate'!O282</f>
        <v>255000</v>
      </c>
      <c r="F17" s="355">
        <f>'Realigned Rate'!P282</f>
        <v>717093.64386220276</v>
      </c>
      <c r="H17" s="501">
        <f>'Realigned Rate'!S282</f>
        <v>91425000</v>
      </c>
      <c r="I17" s="492">
        <f>'Realigned Rate'!T282</f>
        <v>0</v>
      </c>
      <c r="J17" s="502">
        <f>'Realigned Rate'!U282</f>
        <v>221797.67103347889</v>
      </c>
      <c r="K17" s="345">
        <f t="shared" si="0"/>
        <v>-99050000</v>
      </c>
      <c r="L17" s="345">
        <f t="shared" si="1"/>
        <v>-255000</v>
      </c>
    </row>
    <row r="18" spans="2:12" x14ac:dyDescent="0.25">
      <c r="B18" s="342" t="str">
        <f>'Realigned Rate'!B283</f>
        <v>Section M</v>
      </c>
      <c r="C18" s="342" t="str">
        <f>'Realigned Rate'!C283</f>
        <v>REMEDIATION DESIGN, SUPERVISION AND REPORTING</v>
      </c>
      <c r="D18" s="510">
        <f>'Realigned Rate'!N283</f>
        <v>160550000</v>
      </c>
      <c r="E18" s="354">
        <f>'Realigned Rate'!O283</f>
        <v>133700</v>
      </c>
      <c r="F18" s="355">
        <f>'Realigned Rate'!P283</f>
        <v>523195.39058709366</v>
      </c>
      <c r="H18" s="501">
        <f>'Realigned Rate'!S283</f>
        <v>197200000</v>
      </c>
      <c r="I18" s="492">
        <f>'Realigned Rate'!T283</f>
        <v>319000</v>
      </c>
      <c r="J18" s="502">
        <f>'Realigned Rate'!U283</f>
        <v>797408.53954391053</v>
      </c>
      <c r="K18" s="345">
        <f t="shared" si="0"/>
        <v>36650000</v>
      </c>
      <c r="L18" s="345">
        <f t="shared" si="1"/>
        <v>185300</v>
      </c>
    </row>
    <row r="19" spans="2:12" x14ac:dyDescent="0.25">
      <c r="B19" s="342" t="str">
        <f>'Realigned Rate'!B284</f>
        <v>Section N</v>
      </c>
      <c r="C19" s="342" t="str">
        <f>'Realigned Rate'!C284</f>
        <v>PROJECT MANAGEMENT</v>
      </c>
      <c r="D19" s="511">
        <f>'Realigned Rate'!N284</f>
        <v>3302612616.8054004</v>
      </c>
      <c r="E19" s="513">
        <f>'Realigned Rate'!O284</f>
        <v>100000</v>
      </c>
      <c r="F19" s="355">
        <f>'Realigned Rate'!P284</f>
        <v>8112160.6424197005</v>
      </c>
      <c r="H19" s="512">
        <f>'Realigned Rate'!S284</f>
        <v>3438911102.1639996</v>
      </c>
      <c r="I19" s="514">
        <f>'Realigned Rate'!T284</f>
        <v>45000</v>
      </c>
      <c r="J19" s="502">
        <f>'Realigned Rate'!U284</f>
        <v>8387821.6937506078</v>
      </c>
      <c r="K19" s="345">
        <f t="shared" si="0"/>
        <v>136298485.35859919</v>
      </c>
      <c r="L19" s="345">
        <f t="shared" si="1"/>
        <v>-55000</v>
      </c>
    </row>
    <row r="20" spans="2:12" x14ac:dyDescent="0.25">
      <c r="B20" s="342" t="str">
        <f>'Realigned Rate'!B285</f>
        <v>Section O</v>
      </c>
      <c r="C20" s="342" t="str">
        <f>'Realigned Rate'!C285</f>
        <v>COMPETENCY DEVELOPMENT &amp; TRAINING</v>
      </c>
      <c r="D20" s="511">
        <f>'Realigned Rate'!N285</f>
        <v>233300000</v>
      </c>
      <c r="E20" s="513">
        <f>'Realigned Rate'!O285</f>
        <v>155100</v>
      </c>
      <c r="F20" s="355">
        <f>'Realigned Rate'!P285</f>
        <v>721087.38476467726</v>
      </c>
      <c r="H20" s="512">
        <f>'Realigned Rate'!S285</f>
        <v>233300000</v>
      </c>
      <c r="I20" s="514">
        <f>'Realigned Rate'!T285</f>
        <v>155100</v>
      </c>
      <c r="J20" s="502">
        <f>'Realigned Rate'!U285</f>
        <v>721087.38476467726</v>
      </c>
      <c r="K20" s="345">
        <f t="shared" si="0"/>
        <v>0</v>
      </c>
      <c r="L20" s="345">
        <f t="shared" si="1"/>
        <v>0</v>
      </c>
    </row>
    <row r="21" spans="2:12" x14ac:dyDescent="0.25">
      <c r="B21" s="342" t="str">
        <f>'Realigned Rate'!B286</f>
        <v>Section P</v>
      </c>
      <c r="C21" s="342" t="str">
        <f>'Realigned Rate'!C286</f>
        <v>ADHOC TECHNICAL EXPERTISE CALL-OFF</v>
      </c>
      <c r="D21" s="511">
        <f>'Realigned Rate'!N286</f>
        <v>2063493136.8826926</v>
      </c>
      <c r="E21" s="513">
        <f>'Realigned Rate'!O286</f>
        <v>113000</v>
      </c>
      <c r="F21" s="355">
        <f>'Realigned Rate'!P286</f>
        <v>5119048.3670128398</v>
      </c>
      <c r="H21" s="512">
        <f>'Realigned Rate'!S286</f>
        <v>2063493136.8826926</v>
      </c>
      <c r="I21" s="514">
        <f>'Realigned Rate'!T286</f>
        <v>113000</v>
      </c>
      <c r="J21" s="502">
        <f>'Realigned Rate'!U286</f>
        <v>5119048.3670128398</v>
      </c>
      <c r="K21" s="345">
        <f t="shared" si="0"/>
        <v>0</v>
      </c>
      <c r="L21" s="345">
        <f t="shared" si="1"/>
        <v>0</v>
      </c>
    </row>
    <row r="22" spans="2:12" ht="24" customHeight="1" thickBot="1" x14ac:dyDescent="0.3">
      <c r="D22" s="499">
        <f>'Realigned Rate'!N287</f>
        <v>12942705753.688093</v>
      </c>
      <c r="E22" s="500">
        <f>'Realigned Rate'!O287</f>
        <v>4874500</v>
      </c>
      <c r="F22" s="519">
        <f>'Realigned Rate'!P287</f>
        <v>36273592.075905129</v>
      </c>
      <c r="H22" s="503">
        <f>'Realigned Rate'!S287</f>
        <v>13545789239.046692</v>
      </c>
      <c r="I22" s="504">
        <f>'Realigned Rate'!T287</f>
        <v>6998033.333333334</v>
      </c>
      <c r="J22" s="518">
        <f>'Realigned Rate'!U287</f>
        <v>39860210.041355401</v>
      </c>
    </row>
    <row r="23" spans="2:12" x14ac:dyDescent="0.25">
      <c r="H23" s="345"/>
      <c r="I23" s="345"/>
      <c r="J23" s="345"/>
    </row>
    <row r="25" spans="2:12" x14ac:dyDescent="0.25">
      <c r="C25" s="523" t="s">
        <v>701</v>
      </c>
      <c r="D25" s="524">
        <f>J22-F22</f>
        <v>3586617.965450272</v>
      </c>
      <c r="H25" s="345"/>
    </row>
  </sheetData>
  <mergeCells count="4">
    <mergeCell ref="D4:F4"/>
    <mergeCell ref="H4:J4"/>
    <mergeCell ref="B2:I2"/>
    <mergeCell ref="B5:C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BD1D7-CFA0-40A4-9573-4CE7CD92509B}">
  <dimension ref="B1:Q157"/>
  <sheetViews>
    <sheetView topLeftCell="A103" workbookViewId="0">
      <selection activeCell="K146" sqref="K146"/>
    </sheetView>
  </sheetViews>
  <sheetFormatPr defaultRowHeight="15" x14ac:dyDescent="0.25"/>
  <cols>
    <col min="3" max="3" width="9.140625" style="323"/>
    <col min="4" max="4" width="52.140625" style="346" customWidth="1"/>
    <col min="5" max="5" width="16.85546875" bestFit="1" customWidth="1"/>
    <col min="6" max="6" width="16.85546875" customWidth="1"/>
    <col min="7" max="7" width="10" style="350" bestFit="1" customWidth="1"/>
    <col min="8" max="8" width="16.85546875" style="350" bestFit="1" customWidth="1"/>
    <col min="9" max="9" width="13.85546875" bestFit="1" customWidth="1"/>
    <col min="10" max="10" width="18.42578125" style="350" bestFit="1" customWidth="1"/>
    <col min="11" max="11" width="23.5703125" style="350" bestFit="1" customWidth="1"/>
    <col min="12" max="12" width="18.5703125" style="350" bestFit="1" customWidth="1"/>
    <col min="13" max="13" width="12.5703125" bestFit="1" customWidth="1"/>
    <col min="15" max="15" width="11.140625" bestFit="1" customWidth="1"/>
    <col min="261" max="261" width="52.140625" customWidth="1"/>
    <col min="262" max="262" width="16.85546875" bestFit="1" customWidth="1"/>
    <col min="263" max="263" width="10" bestFit="1" customWidth="1"/>
    <col min="264" max="264" width="16.85546875" bestFit="1" customWidth="1"/>
    <col min="265" max="265" width="13.85546875" bestFit="1" customWidth="1"/>
    <col min="266" max="266" width="18.42578125" bestFit="1" customWidth="1"/>
    <col min="267" max="267" width="23.5703125" bestFit="1" customWidth="1"/>
    <col min="268" max="268" width="18.5703125" bestFit="1" customWidth="1"/>
    <col min="269" max="269" width="12.5703125" bestFit="1" customWidth="1"/>
    <col min="271" max="271" width="11.140625" bestFit="1" customWidth="1"/>
    <col min="517" max="517" width="52.140625" customWidth="1"/>
    <col min="518" max="518" width="16.85546875" bestFit="1" customWidth="1"/>
    <col min="519" max="519" width="10" bestFit="1" customWidth="1"/>
    <col min="520" max="520" width="16.85546875" bestFit="1" customWidth="1"/>
    <col min="521" max="521" width="13.85546875" bestFit="1" customWidth="1"/>
    <col min="522" max="522" width="18.42578125" bestFit="1" customWidth="1"/>
    <col min="523" max="523" width="23.5703125" bestFit="1" customWidth="1"/>
    <col min="524" max="524" width="18.5703125" bestFit="1" customWidth="1"/>
    <col min="525" max="525" width="12.5703125" bestFit="1" customWidth="1"/>
    <col min="527" max="527" width="11.140625" bestFit="1" customWidth="1"/>
    <col min="773" max="773" width="52.140625" customWidth="1"/>
    <col min="774" max="774" width="16.85546875" bestFit="1" customWidth="1"/>
    <col min="775" max="775" width="10" bestFit="1" customWidth="1"/>
    <col min="776" max="776" width="16.85546875" bestFit="1" customWidth="1"/>
    <col min="777" max="777" width="13.85546875" bestFit="1" customWidth="1"/>
    <col min="778" max="778" width="18.42578125" bestFit="1" customWidth="1"/>
    <col min="779" max="779" width="23.5703125" bestFit="1" customWidth="1"/>
    <col min="780" max="780" width="18.5703125" bestFit="1" customWidth="1"/>
    <col min="781" max="781" width="12.5703125" bestFit="1" customWidth="1"/>
    <col min="783" max="783" width="11.140625" bestFit="1" customWidth="1"/>
    <col min="1029" max="1029" width="52.140625" customWidth="1"/>
    <col min="1030" max="1030" width="16.85546875" bestFit="1" customWidth="1"/>
    <col min="1031" max="1031" width="10" bestFit="1" customWidth="1"/>
    <col min="1032" max="1032" width="16.85546875" bestFit="1" customWidth="1"/>
    <col min="1033" max="1033" width="13.85546875" bestFit="1" customWidth="1"/>
    <col min="1034" max="1034" width="18.42578125" bestFit="1" customWidth="1"/>
    <col min="1035" max="1035" width="23.5703125" bestFit="1" customWidth="1"/>
    <col min="1036" max="1036" width="18.5703125" bestFit="1" customWidth="1"/>
    <col min="1037" max="1037" width="12.5703125" bestFit="1" customWidth="1"/>
    <col min="1039" max="1039" width="11.140625" bestFit="1" customWidth="1"/>
    <col min="1285" max="1285" width="52.140625" customWidth="1"/>
    <col min="1286" max="1286" width="16.85546875" bestFit="1" customWidth="1"/>
    <col min="1287" max="1287" width="10" bestFit="1" customWidth="1"/>
    <col min="1288" max="1288" width="16.85546875" bestFit="1" customWidth="1"/>
    <col min="1289" max="1289" width="13.85546875" bestFit="1" customWidth="1"/>
    <col min="1290" max="1290" width="18.42578125" bestFit="1" customWidth="1"/>
    <col min="1291" max="1291" width="23.5703125" bestFit="1" customWidth="1"/>
    <col min="1292" max="1292" width="18.5703125" bestFit="1" customWidth="1"/>
    <col min="1293" max="1293" width="12.5703125" bestFit="1" customWidth="1"/>
    <col min="1295" max="1295" width="11.140625" bestFit="1" customWidth="1"/>
    <col min="1541" max="1541" width="52.140625" customWidth="1"/>
    <col min="1542" max="1542" width="16.85546875" bestFit="1" customWidth="1"/>
    <col min="1543" max="1543" width="10" bestFit="1" customWidth="1"/>
    <col min="1544" max="1544" width="16.85546875" bestFit="1" customWidth="1"/>
    <col min="1545" max="1545" width="13.85546875" bestFit="1" customWidth="1"/>
    <col min="1546" max="1546" width="18.42578125" bestFit="1" customWidth="1"/>
    <col min="1547" max="1547" width="23.5703125" bestFit="1" customWidth="1"/>
    <col min="1548" max="1548" width="18.5703125" bestFit="1" customWidth="1"/>
    <col min="1549" max="1549" width="12.5703125" bestFit="1" customWidth="1"/>
    <col min="1551" max="1551" width="11.140625" bestFit="1" customWidth="1"/>
    <col min="1797" max="1797" width="52.140625" customWidth="1"/>
    <col min="1798" max="1798" width="16.85546875" bestFit="1" customWidth="1"/>
    <col min="1799" max="1799" width="10" bestFit="1" customWidth="1"/>
    <col min="1800" max="1800" width="16.85546875" bestFit="1" customWidth="1"/>
    <col min="1801" max="1801" width="13.85546875" bestFit="1" customWidth="1"/>
    <col min="1802" max="1802" width="18.42578125" bestFit="1" customWidth="1"/>
    <col min="1803" max="1803" width="23.5703125" bestFit="1" customWidth="1"/>
    <col min="1804" max="1804" width="18.5703125" bestFit="1" customWidth="1"/>
    <col min="1805" max="1805" width="12.5703125" bestFit="1" customWidth="1"/>
    <col min="1807" max="1807" width="11.140625" bestFit="1" customWidth="1"/>
    <col min="2053" max="2053" width="52.140625" customWidth="1"/>
    <col min="2054" max="2054" width="16.85546875" bestFit="1" customWidth="1"/>
    <col min="2055" max="2055" width="10" bestFit="1" customWidth="1"/>
    <col min="2056" max="2056" width="16.85546875" bestFit="1" customWidth="1"/>
    <col min="2057" max="2057" width="13.85546875" bestFit="1" customWidth="1"/>
    <col min="2058" max="2058" width="18.42578125" bestFit="1" customWidth="1"/>
    <col min="2059" max="2059" width="23.5703125" bestFit="1" customWidth="1"/>
    <col min="2060" max="2060" width="18.5703125" bestFit="1" customWidth="1"/>
    <col min="2061" max="2061" width="12.5703125" bestFit="1" customWidth="1"/>
    <col min="2063" max="2063" width="11.140625" bestFit="1" customWidth="1"/>
    <col min="2309" max="2309" width="52.140625" customWidth="1"/>
    <col min="2310" max="2310" width="16.85546875" bestFit="1" customWidth="1"/>
    <col min="2311" max="2311" width="10" bestFit="1" customWidth="1"/>
    <col min="2312" max="2312" width="16.85546875" bestFit="1" customWidth="1"/>
    <col min="2313" max="2313" width="13.85546875" bestFit="1" customWidth="1"/>
    <col min="2314" max="2314" width="18.42578125" bestFit="1" customWidth="1"/>
    <col min="2315" max="2315" width="23.5703125" bestFit="1" customWidth="1"/>
    <col min="2316" max="2316" width="18.5703125" bestFit="1" customWidth="1"/>
    <col min="2317" max="2317" width="12.5703125" bestFit="1" customWidth="1"/>
    <col min="2319" max="2319" width="11.140625" bestFit="1" customWidth="1"/>
    <col min="2565" max="2565" width="52.140625" customWidth="1"/>
    <col min="2566" max="2566" width="16.85546875" bestFit="1" customWidth="1"/>
    <col min="2567" max="2567" width="10" bestFit="1" customWidth="1"/>
    <col min="2568" max="2568" width="16.85546875" bestFit="1" customWidth="1"/>
    <col min="2569" max="2569" width="13.85546875" bestFit="1" customWidth="1"/>
    <col min="2570" max="2570" width="18.42578125" bestFit="1" customWidth="1"/>
    <col min="2571" max="2571" width="23.5703125" bestFit="1" customWidth="1"/>
    <col min="2572" max="2572" width="18.5703125" bestFit="1" customWidth="1"/>
    <col min="2573" max="2573" width="12.5703125" bestFit="1" customWidth="1"/>
    <col min="2575" max="2575" width="11.140625" bestFit="1" customWidth="1"/>
    <col min="2821" max="2821" width="52.140625" customWidth="1"/>
    <col min="2822" max="2822" width="16.85546875" bestFit="1" customWidth="1"/>
    <col min="2823" max="2823" width="10" bestFit="1" customWidth="1"/>
    <col min="2824" max="2824" width="16.85546875" bestFit="1" customWidth="1"/>
    <col min="2825" max="2825" width="13.85546875" bestFit="1" customWidth="1"/>
    <col min="2826" max="2826" width="18.42578125" bestFit="1" customWidth="1"/>
    <col min="2827" max="2827" width="23.5703125" bestFit="1" customWidth="1"/>
    <col min="2828" max="2828" width="18.5703125" bestFit="1" customWidth="1"/>
    <col min="2829" max="2829" width="12.5703125" bestFit="1" customWidth="1"/>
    <col min="2831" max="2831" width="11.140625" bestFit="1" customWidth="1"/>
    <col min="3077" max="3077" width="52.140625" customWidth="1"/>
    <col min="3078" max="3078" width="16.85546875" bestFit="1" customWidth="1"/>
    <col min="3079" max="3079" width="10" bestFit="1" customWidth="1"/>
    <col min="3080" max="3080" width="16.85546875" bestFit="1" customWidth="1"/>
    <col min="3081" max="3081" width="13.85546875" bestFit="1" customWidth="1"/>
    <col min="3082" max="3082" width="18.42578125" bestFit="1" customWidth="1"/>
    <col min="3083" max="3083" width="23.5703125" bestFit="1" customWidth="1"/>
    <col min="3084" max="3084" width="18.5703125" bestFit="1" customWidth="1"/>
    <col min="3085" max="3085" width="12.5703125" bestFit="1" customWidth="1"/>
    <col min="3087" max="3087" width="11.140625" bestFit="1" customWidth="1"/>
    <col min="3333" max="3333" width="52.140625" customWidth="1"/>
    <col min="3334" max="3334" width="16.85546875" bestFit="1" customWidth="1"/>
    <col min="3335" max="3335" width="10" bestFit="1" customWidth="1"/>
    <col min="3336" max="3336" width="16.85546875" bestFit="1" customWidth="1"/>
    <col min="3337" max="3337" width="13.85546875" bestFit="1" customWidth="1"/>
    <col min="3338" max="3338" width="18.42578125" bestFit="1" customWidth="1"/>
    <col min="3339" max="3339" width="23.5703125" bestFit="1" customWidth="1"/>
    <col min="3340" max="3340" width="18.5703125" bestFit="1" customWidth="1"/>
    <col min="3341" max="3341" width="12.5703125" bestFit="1" customWidth="1"/>
    <col min="3343" max="3343" width="11.140625" bestFit="1" customWidth="1"/>
    <col min="3589" max="3589" width="52.140625" customWidth="1"/>
    <col min="3590" max="3590" width="16.85546875" bestFit="1" customWidth="1"/>
    <col min="3591" max="3591" width="10" bestFit="1" customWidth="1"/>
    <col min="3592" max="3592" width="16.85546875" bestFit="1" customWidth="1"/>
    <col min="3593" max="3593" width="13.85546875" bestFit="1" customWidth="1"/>
    <col min="3594" max="3594" width="18.42578125" bestFit="1" customWidth="1"/>
    <col min="3595" max="3595" width="23.5703125" bestFit="1" customWidth="1"/>
    <col min="3596" max="3596" width="18.5703125" bestFit="1" customWidth="1"/>
    <col min="3597" max="3597" width="12.5703125" bestFit="1" customWidth="1"/>
    <col min="3599" max="3599" width="11.140625" bestFit="1" customWidth="1"/>
    <col min="3845" max="3845" width="52.140625" customWidth="1"/>
    <col min="3846" max="3846" width="16.85546875" bestFit="1" customWidth="1"/>
    <col min="3847" max="3847" width="10" bestFit="1" customWidth="1"/>
    <col min="3848" max="3848" width="16.85546875" bestFit="1" customWidth="1"/>
    <col min="3849" max="3849" width="13.85546875" bestFit="1" customWidth="1"/>
    <col min="3850" max="3850" width="18.42578125" bestFit="1" customWidth="1"/>
    <col min="3851" max="3851" width="23.5703125" bestFit="1" customWidth="1"/>
    <col min="3852" max="3852" width="18.5703125" bestFit="1" customWidth="1"/>
    <col min="3853" max="3853" width="12.5703125" bestFit="1" customWidth="1"/>
    <col min="3855" max="3855" width="11.140625" bestFit="1" customWidth="1"/>
    <col min="4101" max="4101" width="52.140625" customWidth="1"/>
    <col min="4102" max="4102" width="16.85546875" bestFit="1" customWidth="1"/>
    <col min="4103" max="4103" width="10" bestFit="1" customWidth="1"/>
    <col min="4104" max="4104" width="16.85546875" bestFit="1" customWidth="1"/>
    <col min="4105" max="4105" width="13.85546875" bestFit="1" customWidth="1"/>
    <col min="4106" max="4106" width="18.42578125" bestFit="1" customWidth="1"/>
    <col min="4107" max="4107" width="23.5703125" bestFit="1" customWidth="1"/>
    <col min="4108" max="4108" width="18.5703125" bestFit="1" customWidth="1"/>
    <col min="4109" max="4109" width="12.5703125" bestFit="1" customWidth="1"/>
    <col min="4111" max="4111" width="11.140625" bestFit="1" customWidth="1"/>
    <col min="4357" max="4357" width="52.140625" customWidth="1"/>
    <col min="4358" max="4358" width="16.85546875" bestFit="1" customWidth="1"/>
    <col min="4359" max="4359" width="10" bestFit="1" customWidth="1"/>
    <col min="4360" max="4360" width="16.85546875" bestFit="1" customWidth="1"/>
    <col min="4361" max="4361" width="13.85546875" bestFit="1" customWidth="1"/>
    <col min="4362" max="4362" width="18.42578125" bestFit="1" customWidth="1"/>
    <col min="4363" max="4363" width="23.5703125" bestFit="1" customWidth="1"/>
    <col min="4364" max="4364" width="18.5703125" bestFit="1" customWidth="1"/>
    <col min="4365" max="4365" width="12.5703125" bestFit="1" customWidth="1"/>
    <col min="4367" max="4367" width="11.140625" bestFit="1" customWidth="1"/>
    <col min="4613" max="4613" width="52.140625" customWidth="1"/>
    <col min="4614" max="4614" width="16.85546875" bestFit="1" customWidth="1"/>
    <col min="4615" max="4615" width="10" bestFit="1" customWidth="1"/>
    <col min="4616" max="4616" width="16.85546875" bestFit="1" customWidth="1"/>
    <col min="4617" max="4617" width="13.85546875" bestFit="1" customWidth="1"/>
    <col min="4618" max="4618" width="18.42578125" bestFit="1" customWidth="1"/>
    <col min="4619" max="4619" width="23.5703125" bestFit="1" customWidth="1"/>
    <col min="4620" max="4620" width="18.5703125" bestFit="1" customWidth="1"/>
    <col min="4621" max="4621" width="12.5703125" bestFit="1" customWidth="1"/>
    <col min="4623" max="4623" width="11.140625" bestFit="1" customWidth="1"/>
    <col min="4869" max="4869" width="52.140625" customWidth="1"/>
    <col min="4870" max="4870" width="16.85546875" bestFit="1" customWidth="1"/>
    <col min="4871" max="4871" width="10" bestFit="1" customWidth="1"/>
    <col min="4872" max="4872" width="16.85546875" bestFit="1" customWidth="1"/>
    <col min="4873" max="4873" width="13.85546875" bestFit="1" customWidth="1"/>
    <col min="4874" max="4874" width="18.42578125" bestFit="1" customWidth="1"/>
    <col min="4875" max="4875" width="23.5703125" bestFit="1" customWidth="1"/>
    <col min="4876" max="4876" width="18.5703125" bestFit="1" customWidth="1"/>
    <col min="4877" max="4877" width="12.5703125" bestFit="1" customWidth="1"/>
    <col min="4879" max="4879" width="11.140625" bestFit="1" customWidth="1"/>
    <col min="5125" max="5125" width="52.140625" customWidth="1"/>
    <col min="5126" max="5126" width="16.85546875" bestFit="1" customWidth="1"/>
    <col min="5127" max="5127" width="10" bestFit="1" customWidth="1"/>
    <col min="5128" max="5128" width="16.85546875" bestFit="1" customWidth="1"/>
    <col min="5129" max="5129" width="13.85546875" bestFit="1" customWidth="1"/>
    <col min="5130" max="5130" width="18.42578125" bestFit="1" customWidth="1"/>
    <col min="5131" max="5131" width="23.5703125" bestFit="1" customWidth="1"/>
    <col min="5132" max="5132" width="18.5703125" bestFit="1" customWidth="1"/>
    <col min="5133" max="5133" width="12.5703125" bestFit="1" customWidth="1"/>
    <col min="5135" max="5135" width="11.140625" bestFit="1" customWidth="1"/>
    <col min="5381" max="5381" width="52.140625" customWidth="1"/>
    <col min="5382" max="5382" width="16.85546875" bestFit="1" customWidth="1"/>
    <col min="5383" max="5383" width="10" bestFit="1" customWidth="1"/>
    <col min="5384" max="5384" width="16.85546875" bestFit="1" customWidth="1"/>
    <col min="5385" max="5385" width="13.85546875" bestFit="1" customWidth="1"/>
    <col min="5386" max="5386" width="18.42578125" bestFit="1" customWidth="1"/>
    <col min="5387" max="5387" width="23.5703125" bestFit="1" customWidth="1"/>
    <col min="5388" max="5388" width="18.5703125" bestFit="1" customWidth="1"/>
    <col min="5389" max="5389" width="12.5703125" bestFit="1" customWidth="1"/>
    <col min="5391" max="5391" width="11.140625" bestFit="1" customWidth="1"/>
    <col min="5637" max="5637" width="52.140625" customWidth="1"/>
    <col min="5638" max="5638" width="16.85546875" bestFit="1" customWidth="1"/>
    <col min="5639" max="5639" width="10" bestFit="1" customWidth="1"/>
    <col min="5640" max="5640" width="16.85546875" bestFit="1" customWidth="1"/>
    <col min="5641" max="5641" width="13.85546875" bestFit="1" customWidth="1"/>
    <col min="5642" max="5642" width="18.42578125" bestFit="1" customWidth="1"/>
    <col min="5643" max="5643" width="23.5703125" bestFit="1" customWidth="1"/>
    <col min="5644" max="5644" width="18.5703125" bestFit="1" customWidth="1"/>
    <col min="5645" max="5645" width="12.5703125" bestFit="1" customWidth="1"/>
    <col min="5647" max="5647" width="11.140625" bestFit="1" customWidth="1"/>
    <col min="5893" max="5893" width="52.140625" customWidth="1"/>
    <col min="5894" max="5894" width="16.85546875" bestFit="1" customWidth="1"/>
    <col min="5895" max="5895" width="10" bestFit="1" customWidth="1"/>
    <col min="5896" max="5896" width="16.85546875" bestFit="1" customWidth="1"/>
    <col min="5897" max="5897" width="13.85546875" bestFit="1" customWidth="1"/>
    <col min="5898" max="5898" width="18.42578125" bestFit="1" customWidth="1"/>
    <col min="5899" max="5899" width="23.5703125" bestFit="1" customWidth="1"/>
    <col min="5900" max="5900" width="18.5703125" bestFit="1" customWidth="1"/>
    <col min="5901" max="5901" width="12.5703125" bestFit="1" customWidth="1"/>
    <col min="5903" max="5903" width="11.140625" bestFit="1" customWidth="1"/>
    <col min="6149" max="6149" width="52.140625" customWidth="1"/>
    <col min="6150" max="6150" width="16.85546875" bestFit="1" customWidth="1"/>
    <col min="6151" max="6151" width="10" bestFit="1" customWidth="1"/>
    <col min="6152" max="6152" width="16.85546875" bestFit="1" customWidth="1"/>
    <col min="6153" max="6153" width="13.85546875" bestFit="1" customWidth="1"/>
    <col min="6154" max="6154" width="18.42578125" bestFit="1" customWidth="1"/>
    <col min="6155" max="6155" width="23.5703125" bestFit="1" customWidth="1"/>
    <col min="6156" max="6156" width="18.5703125" bestFit="1" customWidth="1"/>
    <col min="6157" max="6157" width="12.5703125" bestFit="1" customWidth="1"/>
    <col min="6159" max="6159" width="11.140625" bestFit="1" customWidth="1"/>
    <col min="6405" max="6405" width="52.140625" customWidth="1"/>
    <col min="6406" max="6406" width="16.85546875" bestFit="1" customWidth="1"/>
    <col min="6407" max="6407" width="10" bestFit="1" customWidth="1"/>
    <col min="6408" max="6408" width="16.85546875" bestFit="1" customWidth="1"/>
    <col min="6409" max="6409" width="13.85546875" bestFit="1" customWidth="1"/>
    <col min="6410" max="6410" width="18.42578125" bestFit="1" customWidth="1"/>
    <col min="6411" max="6411" width="23.5703125" bestFit="1" customWidth="1"/>
    <col min="6412" max="6412" width="18.5703125" bestFit="1" customWidth="1"/>
    <col min="6413" max="6413" width="12.5703125" bestFit="1" customWidth="1"/>
    <col min="6415" max="6415" width="11.140625" bestFit="1" customWidth="1"/>
    <col min="6661" max="6661" width="52.140625" customWidth="1"/>
    <col min="6662" max="6662" width="16.85546875" bestFit="1" customWidth="1"/>
    <col min="6663" max="6663" width="10" bestFit="1" customWidth="1"/>
    <col min="6664" max="6664" width="16.85546875" bestFit="1" customWidth="1"/>
    <col min="6665" max="6665" width="13.85546875" bestFit="1" customWidth="1"/>
    <col min="6666" max="6666" width="18.42578125" bestFit="1" customWidth="1"/>
    <col min="6667" max="6667" width="23.5703125" bestFit="1" customWidth="1"/>
    <col min="6668" max="6668" width="18.5703125" bestFit="1" customWidth="1"/>
    <col min="6669" max="6669" width="12.5703125" bestFit="1" customWidth="1"/>
    <col min="6671" max="6671" width="11.140625" bestFit="1" customWidth="1"/>
    <col min="6917" max="6917" width="52.140625" customWidth="1"/>
    <col min="6918" max="6918" width="16.85546875" bestFit="1" customWidth="1"/>
    <col min="6919" max="6919" width="10" bestFit="1" customWidth="1"/>
    <col min="6920" max="6920" width="16.85546875" bestFit="1" customWidth="1"/>
    <col min="6921" max="6921" width="13.85546875" bestFit="1" customWidth="1"/>
    <col min="6922" max="6922" width="18.42578125" bestFit="1" customWidth="1"/>
    <col min="6923" max="6923" width="23.5703125" bestFit="1" customWidth="1"/>
    <col min="6924" max="6924" width="18.5703125" bestFit="1" customWidth="1"/>
    <col min="6925" max="6925" width="12.5703125" bestFit="1" customWidth="1"/>
    <col min="6927" max="6927" width="11.140625" bestFit="1" customWidth="1"/>
    <col min="7173" max="7173" width="52.140625" customWidth="1"/>
    <col min="7174" max="7174" width="16.85546875" bestFit="1" customWidth="1"/>
    <col min="7175" max="7175" width="10" bestFit="1" customWidth="1"/>
    <col min="7176" max="7176" width="16.85546875" bestFit="1" customWidth="1"/>
    <col min="7177" max="7177" width="13.85546875" bestFit="1" customWidth="1"/>
    <col min="7178" max="7178" width="18.42578125" bestFit="1" customWidth="1"/>
    <col min="7179" max="7179" width="23.5703125" bestFit="1" customWidth="1"/>
    <col min="7180" max="7180" width="18.5703125" bestFit="1" customWidth="1"/>
    <col min="7181" max="7181" width="12.5703125" bestFit="1" customWidth="1"/>
    <col min="7183" max="7183" width="11.140625" bestFit="1" customWidth="1"/>
    <col min="7429" max="7429" width="52.140625" customWidth="1"/>
    <col min="7430" max="7430" width="16.85546875" bestFit="1" customWidth="1"/>
    <col min="7431" max="7431" width="10" bestFit="1" customWidth="1"/>
    <col min="7432" max="7432" width="16.85546875" bestFit="1" customWidth="1"/>
    <col min="7433" max="7433" width="13.85546875" bestFit="1" customWidth="1"/>
    <col min="7434" max="7434" width="18.42578125" bestFit="1" customWidth="1"/>
    <col min="7435" max="7435" width="23.5703125" bestFit="1" customWidth="1"/>
    <col min="7436" max="7436" width="18.5703125" bestFit="1" customWidth="1"/>
    <col min="7437" max="7437" width="12.5703125" bestFit="1" customWidth="1"/>
    <col min="7439" max="7439" width="11.140625" bestFit="1" customWidth="1"/>
    <col min="7685" max="7685" width="52.140625" customWidth="1"/>
    <col min="7686" max="7686" width="16.85546875" bestFit="1" customWidth="1"/>
    <col min="7687" max="7687" width="10" bestFit="1" customWidth="1"/>
    <col min="7688" max="7688" width="16.85546875" bestFit="1" customWidth="1"/>
    <col min="7689" max="7689" width="13.85546875" bestFit="1" customWidth="1"/>
    <col min="7690" max="7690" width="18.42578125" bestFit="1" customWidth="1"/>
    <col min="7691" max="7691" width="23.5703125" bestFit="1" customWidth="1"/>
    <col min="7692" max="7692" width="18.5703125" bestFit="1" customWidth="1"/>
    <col min="7693" max="7693" width="12.5703125" bestFit="1" customWidth="1"/>
    <col min="7695" max="7695" width="11.140625" bestFit="1" customWidth="1"/>
    <col min="7941" max="7941" width="52.140625" customWidth="1"/>
    <col min="7942" max="7942" width="16.85546875" bestFit="1" customWidth="1"/>
    <col min="7943" max="7943" width="10" bestFit="1" customWidth="1"/>
    <col min="7944" max="7944" width="16.85546875" bestFit="1" customWidth="1"/>
    <col min="7945" max="7945" width="13.85546875" bestFit="1" customWidth="1"/>
    <col min="7946" max="7946" width="18.42578125" bestFit="1" customWidth="1"/>
    <col min="7947" max="7947" width="23.5703125" bestFit="1" customWidth="1"/>
    <col min="7948" max="7948" width="18.5703125" bestFit="1" customWidth="1"/>
    <col min="7949" max="7949" width="12.5703125" bestFit="1" customWidth="1"/>
    <col min="7951" max="7951" width="11.140625" bestFit="1" customWidth="1"/>
    <col min="8197" max="8197" width="52.140625" customWidth="1"/>
    <col min="8198" max="8198" width="16.85546875" bestFit="1" customWidth="1"/>
    <col min="8199" max="8199" width="10" bestFit="1" customWidth="1"/>
    <col min="8200" max="8200" width="16.85546875" bestFit="1" customWidth="1"/>
    <col min="8201" max="8201" width="13.85546875" bestFit="1" customWidth="1"/>
    <col min="8202" max="8202" width="18.42578125" bestFit="1" customWidth="1"/>
    <col min="8203" max="8203" width="23.5703125" bestFit="1" customWidth="1"/>
    <col min="8204" max="8204" width="18.5703125" bestFit="1" customWidth="1"/>
    <col min="8205" max="8205" width="12.5703125" bestFit="1" customWidth="1"/>
    <col min="8207" max="8207" width="11.140625" bestFit="1" customWidth="1"/>
    <col min="8453" max="8453" width="52.140625" customWidth="1"/>
    <col min="8454" max="8454" width="16.85546875" bestFit="1" customWidth="1"/>
    <col min="8455" max="8455" width="10" bestFit="1" customWidth="1"/>
    <col min="8456" max="8456" width="16.85546875" bestFit="1" customWidth="1"/>
    <col min="8457" max="8457" width="13.85546875" bestFit="1" customWidth="1"/>
    <col min="8458" max="8458" width="18.42578125" bestFit="1" customWidth="1"/>
    <col min="8459" max="8459" width="23.5703125" bestFit="1" customWidth="1"/>
    <col min="8460" max="8460" width="18.5703125" bestFit="1" customWidth="1"/>
    <col min="8461" max="8461" width="12.5703125" bestFit="1" customWidth="1"/>
    <col min="8463" max="8463" width="11.140625" bestFit="1" customWidth="1"/>
    <col min="8709" max="8709" width="52.140625" customWidth="1"/>
    <col min="8710" max="8710" width="16.85546875" bestFit="1" customWidth="1"/>
    <col min="8711" max="8711" width="10" bestFit="1" customWidth="1"/>
    <col min="8712" max="8712" width="16.85546875" bestFit="1" customWidth="1"/>
    <col min="8713" max="8713" width="13.85546875" bestFit="1" customWidth="1"/>
    <col min="8714" max="8714" width="18.42578125" bestFit="1" customWidth="1"/>
    <col min="8715" max="8715" width="23.5703125" bestFit="1" customWidth="1"/>
    <col min="8716" max="8716" width="18.5703125" bestFit="1" customWidth="1"/>
    <col min="8717" max="8717" width="12.5703125" bestFit="1" customWidth="1"/>
    <col min="8719" max="8719" width="11.140625" bestFit="1" customWidth="1"/>
    <col min="8965" max="8965" width="52.140625" customWidth="1"/>
    <col min="8966" max="8966" width="16.85546875" bestFit="1" customWidth="1"/>
    <col min="8967" max="8967" width="10" bestFit="1" customWidth="1"/>
    <col min="8968" max="8968" width="16.85546875" bestFit="1" customWidth="1"/>
    <col min="8969" max="8969" width="13.85546875" bestFit="1" customWidth="1"/>
    <col min="8970" max="8970" width="18.42578125" bestFit="1" customWidth="1"/>
    <col min="8971" max="8971" width="23.5703125" bestFit="1" customWidth="1"/>
    <col min="8972" max="8972" width="18.5703125" bestFit="1" customWidth="1"/>
    <col min="8973" max="8973" width="12.5703125" bestFit="1" customWidth="1"/>
    <col min="8975" max="8975" width="11.140625" bestFit="1" customWidth="1"/>
    <col min="9221" max="9221" width="52.140625" customWidth="1"/>
    <col min="9222" max="9222" width="16.85546875" bestFit="1" customWidth="1"/>
    <col min="9223" max="9223" width="10" bestFit="1" customWidth="1"/>
    <col min="9224" max="9224" width="16.85546875" bestFit="1" customWidth="1"/>
    <col min="9225" max="9225" width="13.85546875" bestFit="1" customWidth="1"/>
    <col min="9226" max="9226" width="18.42578125" bestFit="1" customWidth="1"/>
    <col min="9227" max="9227" width="23.5703125" bestFit="1" customWidth="1"/>
    <col min="9228" max="9228" width="18.5703125" bestFit="1" customWidth="1"/>
    <col min="9229" max="9229" width="12.5703125" bestFit="1" customWidth="1"/>
    <col min="9231" max="9231" width="11.140625" bestFit="1" customWidth="1"/>
    <col min="9477" max="9477" width="52.140625" customWidth="1"/>
    <col min="9478" max="9478" width="16.85546875" bestFit="1" customWidth="1"/>
    <col min="9479" max="9479" width="10" bestFit="1" customWidth="1"/>
    <col min="9480" max="9480" width="16.85546875" bestFit="1" customWidth="1"/>
    <col min="9481" max="9481" width="13.85546875" bestFit="1" customWidth="1"/>
    <col min="9482" max="9482" width="18.42578125" bestFit="1" customWidth="1"/>
    <col min="9483" max="9483" width="23.5703125" bestFit="1" customWidth="1"/>
    <col min="9484" max="9484" width="18.5703125" bestFit="1" customWidth="1"/>
    <col min="9485" max="9485" width="12.5703125" bestFit="1" customWidth="1"/>
    <col min="9487" max="9487" width="11.140625" bestFit="1" customWidth="1"/>
    <col min="9733" max="9733" width="52.140625" customWidth="1"/>
    <col min="9734" max="9734" width="16.85546875" bestFit="1" customWidth="1"/>
    <col min="9735" max="9735" width="10" bestFit="1" customWidth="1"/>
    <col min="9736" max="9736" width="16.85546875" bestFit="1" customWidth="1"/>
    <col min="9737" max="9737" width="13.85546875" bestFit="1" customWidth="1"/>
    <col min="9738" max="9738" width="18.42578125" bestFit="1" customWidth="1"/>
    <col min="9739" max="9739" width="23.5703125" bestFit="1" customWidth="1"/>
    <col min="9740" max="9740" width="18.5703125" bestFit="1" customWidth="1"/>
    <col min="9741" max="9741" width="12.5703125" bestFit="1" customWidth="1"/>
    <col min="9743" max="9743" width="11.140625" bestFit="1" customWidth="1"/>
    <col min="9989" max="9989" width="52.140625" customWidth="1"/>
    <col min="9990" max="9990" width="16.85546875" bestFit="1" customWidth="1"/>
    <col min="9991" max="9991" width="10" bestFit="1" customWidth="1"/>
    <col min="9992" max="9992" width="16.85546875" bestFit="1" customWidth="1"/>
    <col min="9993" max="9993" width="13.85546875" bestFit="1" customWidth="1"/>
    <col min="9994" max="9994" width="18.42578125" bestFit="1" customWidth="1"/>
    <col min="9995" max="9995" width="23.5703125" bestFit="1" customWidth="1"/>
    <col min="9996" max="9996" width="18.5703125" bestFit="1" customWidth="1"/>
    <col min="9997" max="9997" width="12.5703125" bestFit="1" customWidth="1"/>
    <col min="9999" max="9999" width="11.140625" bestFit="1" customWidth="1"/>
    <col min="10245" max="10245" width="52.140625" customWidth="1"/>
    <col min="10246" max="10246" width="16.85546875" bestFit="1" customWidth="1"/>
    <col min="10247" max="10247" width="10" bestFit="1" customWidth="1"/>
    <col min="10248" max="10248" width="16.85546875" bestFit="1" customWidth="1"/>
    <col min="10249" max="10249" width="13.85546875" bestFit="1" customWidth="1"/>
    <col min="10250" max="10250" width="18.42578125" bestFit="1" customWidth="1"/>
    <col min="10251" max="10251" width="23.5703125" bestFit="1" customWidth="1"/>
    <col min="10252" max="10252" width="18.5703125" bestFit="1" customWidth="1"/>
    <col min="10253" max="10253" width="12.5703125" bestFit="1" customWidth="1"/>
    <col min="10255" max="10255" width="11.140625" bestFit="1" customWidth="1"/>
    <col min="10501" max="10501" width="52.140625" customWidth="1"/>
    <col min="10502" max="10502" width="16.85546875" bestFit="1" customWidth="1"/>
    <col min="10503" max="10503" width="10" bestFit="1" customWidth="1"/>
    <col min="10504" max="10504" width="16.85546875" bestFit="1" customWidth="1"/>
    <col min="10505" max="10505" width="13.85546875" bestFit="1" customWidth="1"/>
    <col min="10506" max="10506" width="18.42578125" bestFit="1" customWidth="1"/>
    <col min="10507" max="10507" width="23.5703125" bestFit="1" customWidth="1"/>
    <col min="10508" max="10508" width="18.5703125" bestFit="1" customWidth="1"/>
    <col min="10509" max="10509" width="12.5703125" bestFit="1" customWidth="1"/>
    <col min="10511" max="10511" width="11.140625" bestFit="1" customWidth="1"/>
    <col min="10757" max="10757" width="52.140625" customWidth="1"/>
    <col min="10758" max="10758" width="16.85546875" bestFit="1" customWidth="1"/>
    <col min="10759" max="10759" width="10" bestFit="1" customWidth="1"/>
    <col min="10760" max="10760" width="16.85546875" bestFit="1" customWidth="1"/>
    <col min="10761" max="10761" width="13.85546875" bestFit="1" customWidth="1"/>
    <col min="10762" max="10762" width="18.42578125" bestFit="1" customWidth="1"/>
    <col min="10763" max="10763" width="23.5703125" bestFit="1" customWidth="1"/>
    <col min="10764" max="10764" width="18.5703125" bestFit="1" customWidth="1"/>
    <col min="10765" max="10765" width="12.5703125" bestFit="1" customWidth="1"/>
    <col min="10767" max="10767" width="11.140625" bestFit="1" customWidth="1"/>
    <col min="11013" max="11013" width="52.140625" customWidth="1"/>
    <col min="11014" max="11014" width="16.85546875" bestFit="1" customWidth="1"/>
    <col min="11015" max="11015" width="10" bestFit="1" customWidth="1"/>
    <col min="11016" max="11016" width="16.85546875" bestFit="1" customWidth="1"/>
    <col min="11017" max="11017" width="13.85546875" bestFit="1" customWidth="1"/>
    <col min="11018" max="11018" width="18.42578125" bestFit="1" customWidth="1"/>
    <col min="11019" max="11019" width="23.5703125" bestFit="1" customWidth="1"/>
    <col min="11020" max="11020" width="18.5703125" bestFit="1" customWidth="1"/>
    <col min="11021" max="11021" width="12.5703125" bestFit="1" customWidth="1"/>
    <col min="11023" max="11023" width="11.140625" bestFit="1" customWidth="1"/>
    <col min="11269" max="11269" width="52.140625" customWidth="1"/>
    <col min="11270" max="11270" width="16.85546875" bestFit="1" customWidth="1"/>
    <col min="11271" max="11271" width="10" bestFit="1" customWidth="1"/>
    <col min="11272" max="11272" width="16.85546875" bestFit="1" customWidth="1"/>
    <col min="11273" max="11273" width="13.85546875" bestFit="1" customWidth="1"/>
    <col min="11274" max="11274" width="18.42578125" bestFit="1" customWidth="1"/>
    <col min="11275" max="11275" width="23.5703125" bestFit="1" customWidth="1"/>
    <col min="11276" max="11276" width="18.5703125" bestFit="1" customWidth="1"/>
    <col min="11277" max="11277" width="12.5703125" bestFit="1" customWidth="1"/>
    <col min="11279" max="11279" width="11.140625" bestFit="1" customWidth="1"/>
    <col min="11525" max="11525" width="52.140625" customWidth="1"/>
    <col min="11526" max="11526" width="16.85546875" bestFit="1" customWidth="1"/>
    <col min="11527" max="11527" width="10" bestFit="1" customWidth="1"/>
    <col min="11528" max="11528" width="16.85546875" bestFit="1" customWidth="1"/>
    <col min="11529" max="11529" width="13.85546875" bestFit="1" customWidth="1"/>
    <col min="11530" max="11530" width="18.42578125" bestFit="1" customWidth="1"/>
    <col min="11531" max="11531" width="23.5703125" bestFit="1" customWidth="1"/>
    <col min="11532" max="11532" width="18.5703125" bestFit="1" customWidth="1"/>
    <col min="11533" max="11533" width="12.5703125" bestFit="1" customWidth="1"/>
    <col min="11535" max="11535" width="11.140625" bestFit="1" customWidth="1"/>
    <col min="11781" max="11781" width="52.140625" customWidth="1"/>
    <col min="11782" max="11782" width="16.85546875" bestFit="1" customWidth="1"/>
    <col min="11783" max="11783" width="10" bestFit="1" customWidth="1"/>
    <col min="11784" max="11784" width="16.85546875" bestFit="1" customWidth="1"/>
    <col min="11785" max="11785" width="13.85546875" bestFit="1" customWidth="1"/>
    <col min="11786" max="11786" width="18.42578125" bestFit="1" customWidth="1"/>
    <col min="11787" max="11787" width="23.5703125" bestFit="1" customWidth="1"/>
    <col min="11788" max="11788" width="18.5703125" bestFit="1" customWidth="1"/>
    <col min="11789" max="11789" width="12.5703125" bestFit="1" customWidth="1"/>
    <col min="11791" max="11791" width="11.140625" bestFit="1" customWidth="1"/>
    <col min="12037" max="12037" width="52.140625" customWidth="1"/>
    <col min="12038" max="12038" width="16.85546875" bestFit="1" customWidth="1"/>
    <col min="12039" max="12039" width="10" bestFit="1" customWidth="1"/>
    <col min="12040" max="12040" width="16.85546875" bestFit="1" customWidth="1"/>
    <col min="12041" max="12041" width="13.85546875" bestFit="1" customWidth="1"/>
    <col min="12042" max="12042" width="18.42578125" bestFit="1" customWidth="1"/>
    <col min="12043" max="12043" width="23.5703125" bestFit="1" customWidth="1"/>
    <col min="12044" max="12044" width="18.5703125" bestFit="1" customWidth="1"/>
    <col min="12045" max="12045" width="12.5703125" bestFit="1" customWidth="1"/>
    <col min="12047" max="12047" width="11.140625" bestFit="1" customWidth="1"/>
    <col min="12293" max="12293" width="52.140625" customWidth="1"/>
    <col min="12294" max="12294" width="16.85546875" bestFit="1" customWidth="1"/>
    <col min="12295" max="12295" width="10" bestFit="1" customWidth="1"/>
    <col min="12296" max="12296" width="16.85546875" bestFit="1" customWidth="1"/>
    <col min="12297" max="12297" width="13.85546875" bestFit="1" customWidth="1"/>
    <col min="12298" max="12298" width="18.42578125" bestFit="1" customWidth="1"/>
    <col min="12299" max="12299" width="23.5703125" bestFit="1" customWidth="1"/>
    <col min="12300" max="12300" width="18.5703125" bestFit="1" customWidth="1"/>
    <col min="12301" max="12301" width="12.5703125" bestFit="1" customWidth="1"/>
    <col min="12303" max="12303" width="11.140625" bestFit="1" customWidth="1"/>
    <col min="12549" max="12549" width="52.140625" customWidth="1"/>
    <col min="12550" max="12550" width="16.85546875" bestFit="1" customWidth="1"/>
    <col min="12551" max="12551" width="10" bestFit="1" customWidth="1"/>
    <col min="12552" max="12552" width="16.85546875" bestFit="1" customWidth="1"/>
    <col min="12553" max="12553" width="13.85546875" bestFit="1" customWidth="1"/>
    <col min="12554" max="12554" width="18.42578125" bestFit="1" customWidth="1"/>
    <col min="12555" max="12555" width="23.5703125" bestFit="1" customWidth="1"/>
    <col min="12556" max="12556" width="18.5703125" bestFit="1" customWidth="1"/>
    <col min="12557" max="12557" width="12.5703125" bestFit="1" customWidth="1"/>
    <col min="12559" max="12559" width="11.140625" bestFit="1" customWidth="1"/>
    <col min="12805" max="12805" width="52.140625" customWidth="1"/>
    <col min="12806" max="12806" width="16.85546875" bestFit="1" customWidth="1"/>
    <col min="12807" max="12807" width="10" bestFit="1" customWidth="1"/>
    <col min="12808" max="12808" width="16.85546875" bestFit="1" customWidth="1"/>
    <col min="12809" max="12809" width="13.85546875" bestFit="1" customWidth="1"/>
    <col min="12810" max="12810" width="18.42578125" bestFit="1" customWidth="1"/>
    <col min="12811" max="12811" width="23.5703125" bestFit="1" customWidth="1"/>
    <col min="12812" max="12812" width="18.5703125" bestFit="1" customWidth="1"/>
    <col min="12813" max="12813" width="12.5703125" bestFit="1" customWidth="1"/>
    <col min="12815" max="12815" width="11.140625" bestFit="1" customWidth="1"/>
    <col min="13061" max="13061" width="52.140625" customWidth="1"/>
    <col min="13062" max="13062" width="16.85546875" bestFit="1" customWidth="1"/>
    <col min="13063" max="13063" width="10" bestFit="1" customWidth="1"/>
    <col min="13064" max="13064" width="16.85546875" bestFit="1" customWidth="1"/>
    <col min="13065" max="13065" width="13.85546875" bestFit="1" customWidth="1"/>
    <col min="13066" max="13066" width="18.42578125" bestFit="1" customWidth="1"/>
    <col min="13067" max="13067" width="23.5703125" bestFit="1" customWidth="1"/>
    <col min="13068" max="13068" width="18.5703125" bestFit="1" customWidth="1"/>
    <col min="13069" max="13069" width="12.5703125" bestFit="1" customWidth="1"/>
    <col min="13071" max="13071" width="11.140625" bestFit="1" customWidth="1"/>
    <col min="13317" max="13317" width="52.140625" customWidth="1"/>
    <col min="13318" max="13318" width="16.85546875" bestFit="1" customWidth="1"/>
    <col min="13319" max="13319" width="10" bestFit="1" customWidth="1"/>
    <col min="13320" max="13320" width="16.85546875" bestFit="1" customWidth="1"/>
    <col min="13321" max="13321" width="13.85546875" bestFit="1" customWidth="1"/>
    <col min="13322" max="13322" width="18.42578125" bestFit="1" customWidth="1"/>
    <col min="13323" max="13323" width="23.5703125" bestFit="1" customWidth="1"/>
    <col min="13324" max="13324" width="18.5703125" bestFit="1" customWidth="1"/>
    <col min="13325" max="13325" width="12.5703125" bestFit="1" customWidth="1"/>
    <col min="13327" max="13327" width="11.140625" bestFit="1" customWidth="1"/>
    <col min="13573" max="13573" width="52.140625" customWidth="1"/>
    <col min="13574" max="13574" width="16.85546875" bestFit="1" customWidth="1"/>
    <col min="13575" max="13575" width="10" bestFit="1" customWidth="1"/>
    <col min="13576" max="13576" width="16.85546875" bestFit="1" customWidth="1"/>
    <col min="13577" max="13577" width="13.85546875" bestFit="1" customWidth="1"/>
    <col min="13578" max="13578" width="18.42578125" bestFit="1" customWidth="1"/>
    <col min="13579" max="13579" width="23.5703125" bestFit="1" customWidth="1"/>
    <col min="13580" max="13580" width="18.5703125" bestFit="1" customWidth="1"/>
    <col min="13581" max="13581" width="12.5703125" bestFit="1" customWidth="1"/>
    <col min="13583" max="13583" width="11.140625" bestFit="1" customWidth="1"/>
    <col min="13829" max="13829" width="52.140625" customWidth="1"/>
    <col min="13830" max="13830" width="16.85546875" bestFit="1" customWidth="1"/>
    <col min="13831" max="13831" width="10" bestFit="1" customWidth="1"/>
    <col min="13832" max="13832" width="16.85546875" bestFit="1" customWidth="1"/>
    <col min="13833" max="13833" width="13.85546875" bestFit="1" customWidth="1"/>
    <col min="13834" max="13834" width="18.42578125" bestFit="1" customWidth="1"/>
    <col min="13835" max="13835" width="23.5703125" bestFit="1" customWidth="1"/>
    <col min="13836" max="13836" width="18.5703125" bestFit="1" customWidth="1"/>
    <col min="13837" max="13837" width="12.5703125" bestFit="1" customWidth="1"/>
    <col min="13839" max="13839" width="11.140625" bestFit="1" customWidth="1"/>
    <col min="14085" max="14085" width="52.140625" customWidth="1"/>
    <col min="14086" max="14086" width="16.85546875" bestFit="1" customWidth="1"/>
    <col min="14087" max="14087" width="10" bestFit="1" customWidth="1"/>
    <col min="14088" max="14088" width="16.85546875" bestFit="1" customWidth="1"/>
    <col min="14089" max="14089" width="13.85546875" bestFit="1" customWidth="1"/>
    <col min="14090" max="14090" width="18.42578125" bestFit="1" customWidth="1"/>
    <col min="14091" max="14091" width="23.5703125" bestFit="1" customWidth="1"/>
    <col min="14092" max="14092" width="18.5703125" bestFit="1" customWidth="1"/>
    <col min="14093" max="14093" width="12.5703125" bestFit="1" customWidth="1"/>
    <col min="14095" max="14095" width="11.140625" bestFit="1" customWidth="1"/>
    <col min="14341" max="14341" width="52.140625" customWidth="1"/>
    <col min="14342" max="14342" width="16.85546875" bestFit="1" customWidth="1"/>
    <col min="14343" max="14343" width="10" bestFit="1" customWidth="1"/>
    <col min="14344" max="14344" width="16.85546875" bestFit="1" customWidth="1"/>
    <col min="14345" max="14345" width="13.85546875" bestFit="1" customWidth="1"/>
    <col min="14346" max="14346" width="18.42578125" bestFit="1" customWidth="1"/>
    <col min="14347" max="14347" width="23.5703125" bestFit="1" customWidth="1"/>
    <col min="14348" max="14348" width="18.5703125" bestFit="1" customWidth="1"/>
    <col min="14349" max="14349" width="12.5703125" bestFit="1" customWidth="1"/>
    <col min="14351" max="14351" width="11.140625" bestFit="1" customWidth="1"/>
    <col min="14597" max="14597" width="52.140625" customWidth="1"/>
    <col min="14598" max="14598" width="16.85546875" bestFit="1" customWidth="1"/>
    <col min="14599" max="14599" width="10" bestFit="1" customWidth="1"/>
    <col min="14600" max="14600" width="16.85546875" bestFit="1" customWidth="1"/>
    <col min="14601" max="14601" width="13.85546875" bestFit="1" customWidth="1"/>
    <col min="14602" max="14602" width="18.42578125" bestFit="1" customWidth="1"/>
    <col min="14603" max="14603" width="23.5703125" bestFit="1" customWidth="1"/>
    <col min="14604" max="14604" width="18.5703125" bestFit="1" customWidth="1"/>
    <col min="14605" max="14605" width="12.5703125" bestFit="1" customWidth="1"/>
    <col min="14607" max="14607" width="11.140625" bestFit="1" customWidth="1"/>
    <col min="14853" max="14853" width="52.140625" customWidth="1"/>
    <col min="14854" max="14854" width="16.85546875" bestFit="1" customWidth="1"/>
    <col min="14855" max="14855" width="10" bestFit="1" customWidth="1"/>
    <col min="14856" max="14856" width="16.85546875" bestFit="1" customWidth="1"/>
    <col min="14857" max="14857" width="13.85546875" bestFit="1" customWidth="1"/>
    <col min="14858" max="14858" width="18.42578125" bestFit="1" customWidth="1"/>
    <col min="14859" max="14859" width="23.5703125" bestFit="1" customWidth="1"/>
    <col min="14860" max="14860" width="18.5703125" bestFit="1" customWidth="1"/>
    <col min="14861" max="14861" width="12.5703125" bestFit="1" customWidth="1"/>
    <col min="14863" max="14863" width="11.140625" bestFit="1" customWidth="1"/>
    <col min="15109" max="15109" width="52.140625" customWidth="1"/>
    <col min="15110" max="15110" width="16.85546875" bestFit="1" customWidth="1"/>
    <col min="15111" max="15111" width="10" bestFit="1" customWidth="1"/>
    <col min="15112" max="15112" width="16.85546875" bestFit="1" customWidth="1"/>
    <col min="15113" max="15113" width="13.85546875" bestFit="1" customWidth="1"/>
    <col min="15114" max="15114" width="18.42578125" bestFit="1" customWidth="1"/>
    <col min="15115" max="15115" width="23.5703125" bestFit="1" customWidth="1"/>
    <col min="15116" max="15116" width="18.5703125" bestFit="1" customWidth="1"/>
    <col min="15117" max="15117" width="12.5703125" bestFit="1" customWidth="1"/>
    <col min="15119" max="15119" width="11.140625" bestFit="1" customWidth="1"/>
    <col min="15365" max="15365" width="52.140625" customWidth="1"/>
    <col min="15366" max="15366" width="16.85546875" bestFit="1" customWidth="1"/>
    <col min="15367" max="15367" width="10" bestFit="1" customWidth="1"/>
    <col min="15368" max="15368" width="16.85546875" bestFit="1" customWidth="1"/>
    <col min="15369" max="15369" width="13.85546875" bestFit="1" customWidth="1"/>
    <col min="15370" max="15370" width="18.42578125" bestFit="1" customWidth="1"/>
    <col min="15371" max="15371" width="23.5703125" bestFit="1" customWidth="1"/>
    <col min="15372" max="15372" width="18.5703125" bestFit="1" customWidth="1"/>
    <col min="15373" max="15373" width="12.5703125" bestFit="1" customWidth="1"/>
    <col min="15375" max="15375" width="11.140625" bestFit="1" customWidth="1"/>
    <col min="15621" max="15621" width="52.140625" customWidth="1"/>
    <col min="15622" max="15622" width="16.85546875" bestFit="1" customWidth="1"/>
    <col min="15623" max="15623" width="10" bestFit="1" customWidth="1"/>
    <col min="15624" max="15624" width="16.85546875" bestFit="1" customWidth="1"/>
    <col min="15625" max="15625" width="13.85546875" bestFit="1" customWidth="1"/>
    <col min="15626" max="15626" width="18.42578125" bestFit="1" customWidth="1"/>
    <col min="15627" max="15627" width="23.5703125" bestFit="1" customWidth="1"/>
    <col min="15628" max="15628" width="18.5703125" bestFit="1" customWidth="1"/>
    <col min="15629" max="15629" width="12.5703125" bestFit="1" customWidth="1"/>
    <col min="15631" max="15631" width="11.140625" bestFit="1" customWidth="1"/>
    <col min="15877" max="15877" width="52.140625" customWidth="1"/>
    <col min="15878" max="15878" width="16.85546875" bestFit="1" customWidth="1"/>
    <col min="15879" max="15879" width="10" bestFit="1" customWidth="1"/>
    <col min="15880" max="15880" width="16.85546875" bestFit="1" customWidth="1"/>
    <col min="15881" max="15881" width="13.85546875" bestFit="1" customWidth="1"/>
    <col min="15882" max="15882" width="18.42578125" bestFit="1" customWidth="1"/>
    <col min="15883" max="15883" width="23.5703125" bestFit="1" customWidth="1"/>
    <col min="15884" max="15884" width="18.5703125" bestFit="1" customWidth="1"/>
    <col min="15885" max="15885" width="12.5703125" bestFit="1" customWidth="1"/>
    <col min="15887" max="15887" width="11.140625" bestFit="1" customWidth="1"/>
    <col min="16133" max="16133" width="52.140625" customWidth="1"/>
    <col min="16134" max="16134" width="16.85546875" bestFit="1" customWidth="1"/>
    <col min="16135" max="16135" width="10" bestFit="1" customWidth="1"/>
    <col min="16136" max="16136" width="16.85546875" bestFit="1" customWidth="1"/>
    <col min="16137" max="16137" width="13.85546875" bestFit="1" customWidth="1"/>
    <col min="16138" max="16138" width="18.42578125" bestFit="1" customWidth="1"/>
    <col min="16139" max="16139" width="23.5703125" bestFit="1" customWidth="1"/>
    <col min="16140" max="16140" width="18.5703125" bestFit="1" customWidth="1"/>
    <col min="16141" max="16141" width="12.5703125" bestFit="1" customWidth="1"/>
    <col min="16143" max="16143" width="11.140625" bestFit="1" customWidth="1"/>
  </cols>
  <sheetData>
    <row r="1" spans="3:12" ht="28.7" customHeight="1" x14ac:dyDescent="0.25">
      <c r="D1" s="482" t="s">
        <v>496</v>
      </c>
      <c r="E1" s="482"/>
      <c r="F1" s="482"/>
      <c r="G1" s="482"/>
      <c r="H1" s="482"/>
      <c r="I1" s="482"/>
      <c r="J1" s="482"/>
      <c r="K1" s="482"/>
      <c r="L1" s="482"/>
    </row>
    <row r="3" spans="3:12" s="328" customFormat="1" ht="15.75" x14ac:dyDescent="0.25">
      <c r="C3" s="324" t="s">
        <v>497</v>
      </c>
      <c r="D3" s="325" t="s">
        <v>498</v>
      </c>
      <c r="E3" s="326" t="s">
        <v>499</v>
      </c>
      <c r="F3" s="326" t="s">
        <v>8</v>
      </c>
      <c r="G3" s="327" t="s">
        <v>500</v>
      </c>
      <c r="H3" s="327" t="s">
        <v>501</v>
      </c>
      <c r="I3" s="326" t="s">
        <v>502</v>
      </c>
      <c r="J3" s="327" t="s">
        <v>503</v>
      </c>
      <c r="K3" s="327" t="s">
        <v>504</v>
      </c>
      <c r="L3" s="327" t="s">
        <v>505</v>
      </c>
    </row>
    <row r="4" spans="3:12" ht="120" x14ac:dyDescent="0.25">
      <c r="C4" s="329" t="s">
        <v>16</v>
      </c>
      <c r="D4" s="330" t="s">
        <v>506</v>
      </c>
      <c r="E4" s="331" t="s">
        <v>233</v>
      </c>
      <c r="F4" s="331"/>
      <c r="G4" s="332">
        <v>0</v>
      </c>
      <c r="H4" s="332">
        <v>200000</v>
      </c>
      <c r="I4" s="331">
        <v>115</v>
      </c>
      <c r="J4" s="332">
        <f>I4*G4</f>
        <v>0</v>
      </c>
      <c r="K4" s="332">
        <f>I4*H4</f>
        <v>23000000</v>
      </c>
      <c r="L4" s="332">
        <f>(K4/409.82)+J4</f>
        <v>56122.19999023962</v>
      </c>
    </row>
    <row r="5" spans="3:12" x14ac:dyDescent="0.25">
      <c r="C5" s="329" t="s">
        <v>38</v>
      </c>
      <c r="D5" s="330" t="s">
        <v>25</v>
      </c>
      <c r="E5" s="331" t="s">
        <v>233</v>
      </c>
      <c r="F5" s="331"/>
      <c r="G5" s="332">
        <v>0</v>
      </c>
      <c r="H5" s="332">
        <v>250000</v>
      </c>
      <c r="I5" s="331">
        <v>30</v>
      </c>
      <c r="J5" s="332">
        <f t="shared" ref="J5:J68" si="0">I5*G5</f>
        <v>0</v>
      </c>
      <c r="K5" s="332">
        <f t="shared" ref="K5:K68" si="1">I5*H5</f>
        <v>7500000</v>
      </c>
      <c r="L5" s="332">
        <f>(K5/409.82)+J5</f>
        <v>18300.717388121615</v>
      </c>
    </row>
    <row r="6" spans="3:12" x14ac:dyDescent="0.25">
      <c r="C6" s="329" t="s">
        <v>507</v>
      </c>
      <c r="D6" s="330" t="s">
        <v>508</v>
      </c>
      <c r="E6" s="331" t="s">
        <v>233</v>
      </c>
      <c r="F6" s="331"/>
      <c r="G6" s="332">
        <v>0</v>
      </c>
      <c r="H6" s="332">
        <v>430000</v>
      </c>
      <c r="I6" s="331">
        <v>15</v>
      </c>
      <c r="J6" s="332">
        <f t="shared" si="0"/>
        <v>0</v>
      </c>
      <c r="K6" s="332">
        <f t="shared" si="1"/>
        <v>6450000</v>
      </c>
      <c r="L6" s="332">
        <f>(K6/409.82)+J6</f>
        <v>15738.616953784589</v>
      </c>
    </row>
    <row r="7" spans="3:12" x14ac:dyDescent="0.25">
      <c r="C7" s="329"/>
      <c r="D7" s="330"/>
      <c r="E7" s="331"/>
      <c r="F7" s="331"/>
      <c r="G7" s="332"/>
      <c r="H7" s="332"/>
      <c r="I7" s="331"/>
      <c r="J7" s="332"/>
      <c r="K7" s="332"/>
      <c r="L7" s="332"/>
    </row>
    <row r="8" spans="3:12" x14ac:dyDescent="0.25">
      <c r="C8" s="333" t="s">
        <v>509</v>
      </c>
      <c r="D8" s="334" t="s">
        <v>103</v>
      </c>
      <c r="E8" s="331"/>
      <c r="F8" s="331"/>
      <c r="G8" s="332"/>
      <c r="H8" s="332"/>
      <c r="I8" s="331"/>
      <c r="J8" s="332"/>
      <c r="K8" s="332"/>
      <c r="L8" s="332"/>
    </row>
    <row r="9" spans="3:12" ht="90" x14ac:dyDescent="0.25">
      <c r="C9" s="329" t="s">
        <v>53</v>
      </c>
      <c r="D9" s="330" t="s">
        <v>510</v>
      </c>
      <c r="E9" s="331" t="s">
        <v>233</v>
      </c>
      <c r="F9" s="331"/>
      <c r="G9" s="332">
        <v>2300</v>
      </c>
      <c r="H9" s="332">
        <v>480000</v>
      </c>
      <c r="I9" s="331">
        <v>135</v>
      </c>
      <c r="J9" s="332">
        <f t="shared" si="0"/>
        <v>310500</v>
      </c>
      <c r="K9" s="332">
        <f t="shared" si="1"/>
        <v>64800000</v>
      </c>
      <c r="L9" s="332">
        <f>(K9/409.82)+J9</f>
        <v>468618.19823337079</v>
      </c>
    </row>
    <row r="10" spans="3:12" ht="60" x14ac:dyDescent="0.25">
      <c r="C10" s="329" t="s">
        <v>64</v>
      </c>
      <c r="D10" s="330" t="s">
        <v>511</v>
      </c>
      <c r="E10" s="331" t="s">
        <v>233</v>
      </c>
      <c r="F10" s="331"/>
      <c r="G10" s="332">
        <v>3500</v>
      </c>
      <c r="H10" s="332">
        <v>760000</v>
      </c>
      <c r="I10" s="331">
        <v>3</v>
      </c>
      <c r="J10" s="332">
        <f t="shared" si="0"/>
        <v>10500</v>
      </c>
      <c r="K10" s="332">
        <f t="shared" si="1"/>
        <v>2280000</v>
      </c>
      <c r="L10" s="332">
        <f>(K10/409.82)+J10</f>
        <v>16063.418085988971</v>
      </c>
    </row>
    <row r="11" spans="3:12" ht="60" x14ac:dyDescent="0.25">
      <c r="C11" s="329" t="s">
        <v>512</v>
      </c>
      <c r="D11" s="330" t="s">
        <v>513</v>
      </c>
      <c r="E11" s="331" t="s">
        <v>233</v>
      </c>
      <c r="F11" s="331"/>
      <c r="G11" s="332">
        <v>3100</v>
      </c>
      <c r="H11" s="332">
        <v>480000</v>
      </c>
      <c r="I11" s="331">
        <v>3</v>
      </c>
      <c r="J11" s="332">
        <f t="shared" si="0"/>
        <v>9300</v>
      </c>
      <c r="K11" s="332">
        <f t="shared" si="1"/>
        <v>1440000</v>
      </c>
      <c r="L11" s="332">
        <f>(K11/409.82)+J11</f>
        <v>12813.73773851935</v>
      </c>
    </row>
    <row r="12" spans="3:12" ht="60" x14ac:dyDescent="0.25">
      <c r="C12" s="329" t="s">
        <v>514</v>
      </c>
      <c r="D12" s="330" t="s">
        <v>515</v>
      </c>
      <c r="E12" s="331" t="s">
        <v>233</v>
      </c>
      <c r="F12" s="331"/>
      <c r="G12" s="332">
        <v>5800</v>
      </c>
      <c r="H12" s="332">
        <v>480000</v>
      </c>
      <c r="I12" s="331">
        <v>3</v>
      </c>
      <c r="J12" s="332">
        <f t="shared" si="0"/>
        <v>17400</v>
      </c>
      <c r="K12" s="332">
        <f t="shared" si="1"/>
        <v>1440000</v>
      </c>
      <c r="L12" s="332">
        <f>(K12/409.82)+J12</f>
        <v>20913.73773851935</v>
      </c>
    </row>
    <row r="13" spans="3:12" ht="60" x14ac:dyDescent="0.25">
      <c r="C13" s="329" t="s">
        <v>516</v>
      </c>
      <c r="D13" s="330" t="s">
        <v>517</v>
      </c>
      <c r="E13" s="331" t="s">
        <v>233</v>
      </c>
      <c r="F13" s="331"/>
      <c r="G13" s="332">
        <v>5800</v>
      </c>
      <c r="H13" s="332">
        <v>480000</v>
      </c>
      <c r="I13" s="331">
        <v>3</v>
      </c>
      <c r="J13" s="332">
        <f t="shared" si="0"/>
        <v>17400</v>
      </c>
      <c r="K13" s="332">
        <f t="shared" si="1"/>
        <v>1440000</v>
      </c>
      <c r="L13" s="332">
        <f>(K13/409.82)+J13</f>
        <v>20913.73773851935</v>
      </c>
    </row>
    <row r="14" spans="3:12" x14ac:dyDescent="0.25">
      <c r="C14" s="329"/>
      <c r="D14" s="330"/>
      <c r="E14" s="331"/>
      <c r="F14" s="331"/>
      <c r="G14" s="332"/>
      <c r="H14" s="332"/>
      <c r="I14" s="331"/>
      <c r="J14" s="332"/>
      <c r="K14" s="332"/>
      <c r="L14" s="332"/>
    </row>
    <row r="15" spans="3:12" s="337" customFormat="1" x14ac:dyDescent="0.25">
      <c r="C15" s="333" t="s">
        <v>518</v>
      </c>
      <c r="D15" s="334" t="s">
        <v>110</v>
      </c>
      <c r="E15" s="335"/>
      <c r="F15" s="335"/>
      <c r="G15" s="336"/>
      <c r="H15" s="336"/>
      <c r="I15" s="335"/>
      <c r="J15" s="336"/>
      <c r="K15" s="336"/>
      <c r="L15" s="336"/>
    </row>
    <row r="16" spans="3:12" ht="60" x14ac:dyDescent="0.25">
      <c r="C16" s="329" t="s">
        <v>79</v>
      </c>
      <c r="D16" s="330" t="s">
        <v>519</v>
      </c>
      <c r="E16" s="331" t="s">
        <v>233</v>
      </c>
      <c r="F16" s="331"/>
      <c r="G16" s="332">
        <v>0</v>
      </c>
      <c r="H16" s="332">
        <v>80000</v>
      </c>
      <c r="I16" s="331">
        <v>45</v>
      </c>
      <c r="J16" s="332">
        <f t="shared" si="0"/>
        <v>0</v>
      </c>
      <c r="K16" s="332">
        <f t="shared" si="1"/>
        <v>3600000</v>
      </c>
      <c r="L16" s="332">
        <f>(K16/409.82)+J16</f>
        <v>8784.3443462983741</v>
      </c>
    </row>
    <row r="17" spans="3:12" ht="45" x14ac:dyDescent="0.25">
      <c r="C17" s="329" t="s">
        <v>90</v>
      </c>
      <c r="D17" s="330" t="s">
        <v>520</v>
      </c>
      <c r="E17" s="331" t="s">
        <v>233</v>
      </c>
      <c r="F17" s="331"/>
      <c r="G17" s="332">
        <v>0</v>
      </c>
      <c r="H17" s="332">
        <v>10000</v>
      </c>
      <c r="I17" s="331">
        <v>72</v>
      </c>
      <c r="J17" s="332">
        <f t="shared" si="0"/>
        <v>0</v>
      </c>
      <c r="K17" s="332">
        <f t="shared" si="1"/>
        <v>720000</v>
      </c>
      <c r="L17" s="332">
        <f>(K17/409.82)+J17</f>
        <v>1756.868869259675</v>
      </c>
    </row>
    <row r="18" spans="3:12" x14ac:dyDescent="0.25">
      <c r="C18" s="329" t="s">
        <v>521</v>
      </c>
      <c r="D18" s="330" t="s">
        <v>522</v>
      </c>
      <c r="E18" s="331" t="s">
        <v>233</v>
      </c>
      <c r="F18" s="331"/>
      <c r="G18" s="332">
        <v>0</v>
      </c>
      <c r="H18" s="332">
        <v>10000</v>
      </c>
      <c r="I18" s="331">
        <v>18</v>
      </c>
      <c r="J18" s="332">
        <f t="shared" si="0"/>
        <v>0</v>
      </c>
      <c r="K18" s="332">
        <f t="shared" si="1"/>
        <v>180000</v>
      </c>
      <c r="L18" s="332">
        <f>(K18/409.82)+J18</f>
        <v>439.21721731491874</v>
      </c>
    </row>
    <row r="19" spans="3:12" x14ac:dyDescent="0.25">
      <c r="C19" s="329" t="s">
        <v>523</v>
      </c>
      <c r="D19" s="330" t="s">
        <v>524</v>
      </c>
      <c r="E19" s="331" t="s">
        <v>233</v>
      </c>
      <c r="F19" s="331"/>
      <c r="G19" s="332">
        <v>0</v>
      </c>
      <c r="H19" s="332">
        <v>23000</v>
      </c>
      <c r="I19" s="331">
        <v>18</v>
      </c>
      <c r="J19" s="332">
        <f t="shared" si="0"/>
        <v>0</v>
      </c>
      <c r="K19" s="332">
        <f t="shared" si="1"/>
        <v>414000</v>
      </c>
      <c r="L19" s="332">
        <f>(K19/409.82)+J19</f>
        <v>1010.1995998243132</v>
      </c>
    </row>
    <row r="20" spans="3:12" ht="45" x14ac:dyDescent="0.25">
      <c r="C20" s="329" t="s">
        <v>525</v>
      </c>
      <c r="D20" s="330" t="s">
        <v>526</v>
      </c>
      <c r="E20" s="331" t="s">
        <v>233</v>
      </c>
      <c r="F20" s="331"/>
      <c r="G20" s="332">
        <v>0</v>
      </c>
      <c r="H20" s="332">
        <v>10000</v>
      </c>
      <c r="I20" s="331">
        <v>99</v>
      </c>
      <c r="J20" s="332">
        <f t="shared" si="0"/>
        <v>0</v>
      </c>
      <c r="K20" s="332">
        <f t="shared" si="1"/>
        <v>990000</v>
      </c>
      <c r="L20" s="332">
        <f>(K20/409.82)+J20</f>
        <v>2415.6946952320532</v>
      </c>
    </row>
    <row r="21" spans="3:12" x14ac:dyDescent="0.25">
      <c r="C21" s="329"/>
      <c r="D21" s="330"/>
      <c r="E21" s="331"/>
      <c r="F21" s="331"/>
      <c r="G21" s="332"/>
      <c r="H21" s="332"/>
      <c r="I21" s="331"/>
      <c r="J21" s="332"/>
      <c r="K21" s="332"/>
      <c r="L21" s="332"/>
    </row>
    <row r="22" spans="3:12" s="337" customFormat="1" x14ac:dyDescent="0.25">
      <c r="C22" s="333" t="s">
        <v>527</v>
      </c>
      <c r="D22" s="334" t="s">
        <v>144</v>
      </c>
      <c r="E22" s="335"/>
      <c r="F22" s="335"/>
      <c r="G22" s="336"/>
      <c r="H22" s="336"/>
      <c r="I22" s="335"/>
      <c r="J22" s="336"/>
      <c r="K22" s="336"/>
      <c r="L22" s="336"/>
    </row>
    <row r="23" spans="3:12" x14ac:dyDescent="0.25">
      <c r="C23" s="329" t="s">
        <v>104</v>
      </c>
      <c r="D23" s="330" t="s">
        <v>146</v>
      </c>
      <c r="E23" s="331" t="s">
        <v>233</v>
      </c>
      <c r="F23" s="331"/>
      <c r="G23" s="332">
        <v>0</v>
      </c>
      <c r="H23" s="332">
        <v>2000</v>
      </c>
      <c r="I23" s="331">
        <v>36</v>
      </c>
      <c r="J23" s="332">
        <f t="shared" si="0"/>
        <v>0</v>
      </c>
      <c r="K23" s="332">
        <f t="shared" si="1"/>
        <v>72000</v>
      </c>
      <c r="L23" s="332">
        <f>(K23/409.82)+J23</f>
        <v>175.68688692596751</v>
      </c>
    </row>
    <row r="24" spans="3:12" x14ac:dyDescent="0.25">
      <c r="C24" s="329" t="s">
        <v>106</v>
      </c>
      <c r="D24" s="330" t="s">
        <v>148</v>
      </c>
      <c r="E24" s="331" t="s">
        <v>233</v>
      </c>
      <c r="F24" s="331"/>
      <c r="G24" s="332">
        <v>0</v>
      </c>
      <c r="H24" s="332">
        <v>3000</v>
      </c>
      <c r="I24" s="331">
        <v>36</v>
      </c>
      <c r="J24" s="332">
        <f t="shared" si="0"/>
        <v>0</v>
      </c>
      <c r="K24" s="332">
        <f t="shared" si="1"/>
        <v>108000</v>
      </c>
      <c r="L24" s="332">
        <f>(K24/409.82)+J24</f>
        <v>263.53033038895126</v>
      </c>
    </row>
    <row r="25" spans="3:12" x14ac:dyDescent="0.25">
      <c r="C25" s="329" t="s">
        <v>528</v>
      </c>
      <c r="D25" s="330" t="s">
        <v>150</v>
      </c>
      <c r="E25" s="331" t="s">
        <v>233</v>
      </c>
      <c r="F25" s="331"/>
      <c r="G25" s="332">
        <v>0</v>
      </c>
      <c r="H25" s="332">
        <v>3400</v>
      </c>
      <c r="I25" s="331">
        <v>36</v>
      </c>
      <c r="J25" s="332">
        <f t="shared" si="0"/>
        <v>0</v>
      </c>
      <c r="K25" s="332">
        <f t="shared" si="1"/>
        <v>122400</v>
      </c>
      <c r="L25" s="332">
        <f>(K25/409.82)+J25</f>
        <v>298.66770777414473</v>
      </c>
    </row>
    <row r="26" spans="3:12" ht="45" x14ac:dyDescent="0.25">
      <c r="C26" s="329" t="s">
        <v>529</v>
      </c>
      <c r="D26" s="330" t="s">
        <v>530</v>
      </c>
      <c r="E26" s="331" t="s">
        <v>233</v>
      </c>
      <c r="F26" s="331"/>
      <c r="G26" s="332">
        <v>0</v>
      </c>
      <c r="H26" s="332">
        <v>11000</v>
      </c>
      <c r="I26" s="331">
        <v>36</v>
      </c>
      <c r="J26" s="332">
        <f t="shared" si="0"/>
        <v>0</v>
      </c>
      <c r="K26" s="332">
        <f t="shared" si="1"/>
        <v>396000</v>
      </c>
      <c r="L26" s="332">
        <f>(K26/409.82)+J26</f>
        <v>966.27787809282131</v>
      </c>
    </row>
    <row r="27" spans="3:12" x14ac:dyDescent="0.25">
      <c r="C27" s="329"/>
      <c r="D27" s="330"/>
      <c r="E27" s="331"/>
      <c r="F27" s="331"/>
      <c r="G27" s="332"/>
      <c r="H27" s="332"/>
      <c r="I27" s="331"/>
      <c r="J27" s="332"/>
      <c r="K27" s="332"/>
      <c r="L27" s="332"/>
    </row>
    <row r="28" spans="3:12" s="337" customFormat="1" x14ac:dyDescent="0.25">
      <c r="C28" s="333" t="s">
        <v>109</v>
      </c>
      <c r="D28" s="334" t="s">
        <v>155</v>
      </c>
      <c r="E28" s="335"/>
      <c r="F28" s="335"/>
      <c r="G28" s="336"/>
      <c r="H28" s="336"/>
      <c r="I28" s="335"/>
      <c r="J28" s="336"/>
      <c r="K28" s="336"/>
      <c r="L28" s="336"/>
    </row>
    <row r="29" spans="3:12" ht="30" x14ac:dyDescent="0.25">
      <c r="C29" s="329" t="s">
        <v>111</v>
      </c>
      <c r="D29" s="330" t="s">
        <v>157</v>
      </c>
      <c r="E29" s="331" t="s">
        <v>233</v>
      </c>
      <c r="F29" s="331"/>
      <c r="G29" s="332">
        <v>0</v>
      </c>
      <c r="H29" s="332">
        <v>5000</v>
      </c>
      <c r="I29" s="331">
        <v>18</v>
      </c>
      <c r="J29" s="332">
        <f t="shared" si="0"/>
        <v>0</v>
      </c>
      <c r="K29" s="332">
        <f t="shared" si="1"/>
        <v>90000</v>
      </c>
      <c r="L29" s="332">
        <f>(K29/409.82)+J29</f>
        <v>219.60860865745937</v>
      </c>
    </row>
    <row r="30" spans="3:12" x14ac:dyDescent="0.25">
      <c r="C30" s="329" t="s">
        <v>113</v>
      </c>
      <c r="D30" s="330" t="s">
        <v>531</v>
      </c>
      <c r="E30" s="331" t="s">
        <v>233</v>
      </c>
      <c r="F30" s="331"/>
      <c r="G30" s="332">
        <v>0</v>
      </c>
      <c r="H30" s="332">
        <v>21000</v>
      </c>
      <c r="I30" s="331">
        <v>18</v>
      </c>
      <c r="J30" s="332">
        <f t="shared" si="0"/>
        <v>0</v>
      </c>
      <c r="K30" s="332">
        <f t="shared" si="1"/>
        <v>378000</v>
      </c>
      <c r="L30" s="332">
        <f>(K30/409.82)+J30</f>
        <v>922.35615636132934</v>
      </c>
    </row>
    <row r="31" spans="3:12" x14ac:dyDescent="0.25">
      <c r="C31" s="329"/>
      <c r="D31" s="330"/>
      <c r="E31" s="331"/>
      <c r="F31" s="331"/>
      <c r="G31" s="332"/>
      <c r="H31" s="332"/>
      <c r="I31" s="331"/>
      <c r="J31" s="332"/>
      <c r="K31" s="332"/>
      <c r="L31" s="332"/>
    </row>
    <row r="32" spans="3:12" s="337" customFormat="1" x14ac:dyDescent="0.25">
      <c r="C32" s="333" t="s">
        <v>532</v>
      </c>
      <c r="D32" s="334" t="s">
        <v>165</v>
      </c>
      <c r="E32" s="335"/>
      <c r="F32" s="335"/>
      <c r="G32" s="336"/>
      <c r="H32" s="336"/>
      <c r="I32" s="335"/>
      <c r="J32" s="336"/>
      <c r="K32" s="336"/>
      <c r="L32" s="336"/>
    </row>
    <row r="33" spans="3:12" ht="105" x14ac:dyDescent="0.25">
      <c r="C33" s="329" t="s">
        <v>132</v>
      </c>
      <c r="D33" s="330" t="s">
        <v>533</v>
      </c>
      <c r="E33" s="331" t="s">
        <v>233</v>
      </c>
      <c r="F33" s="331"/>
      <c r="G33" s="332">
        <v>0</v>
      </c>
      <c r="H33" s="332">
        <v>10000</v>
      </c>
      <c r="I33" s="331">
        <v>36</v>
      </c>
      <c r="J33" s="332">
        <f t="shared" si="0"/>
        <v>0</v>
      </c>
      <c r="K33" s="332">
        <f t="shared" si="1"/>
        <v>360000</v>
      </c>
      <c r="L33" s="332">
        <f>(K33/409.82)+J33</f>
        <v>878.43443462983748</v>
      </c>
    </row>
    <row r="34" spans="3:12" x14ac:dyDescent="0.25">
      <c r="C34" s="329" t="s">
        <v>134</v>
      </c>
      <c r="D34" s="330" t="s">
        <v>169</v>
      </c>
      <c r="E34" s="331" t="s">
        <v>233</v>
      </c>
      <c r="F34" s="331"/>
      <c r="G34" s="332">
        <v>0</v>
      </c>
      <c r="H34" s="332">
        <v>10000</v>
      </c>
      <c r="I34" s="331">
        <v>18</v>
      </c>
      <c r="J34" s="332">
        <f t="shared" si="0"/>
        <v>0</v>
      </c>
      <c r="K34" s="332">
        <f t="shared" si="1"/>
        <v>180000</v>
      </c>
      <c r="L34" s="332">
        <f>(K34/409.82)+J34</f>
        <v>439.21721731491874</v>
      </c>
    </row>
    <row r="35" spans="3:12" ht="45" x14ac:dyDescent="0.25">
      <c r="C35" s="329" t="s">
        <v>136</v>
      </c>
      <c r="D35" s="330" t="s">
        <v>534</v>
      </c>
      <c r="E35" s="331" t="s">
        <v>233</v>
      </c>
      <c r="F35" s="331"/>
      <c r="G35" s="332">
        <v>0</v>
      </c>
      <c r="H35" s="332">
        <v>8000</v>
      </c>
      <c r="I35" s="331">
        <v>27</v>
      </c>
      <c r="J35" s="332">
        <f t="shared" si="0"/>
        <v>0</v>
      </c>
      <c r="K35" s="332">
        <f t="shared" si="1"/>
        <v>216000</v>
      </c>
      <c r="L35" s="332">
        <f>(K35/409.82)+J35</f>
        <v>527.06066077790251</v>
      </c>
    </row>
    <row r="36" spans="3:12" ht="30" x14ac:dyDescent="0.25">
      <c r="C36" s="329" t="s">
        <v>138</v>
      </c>
      <c r="D36" s="330" t="s">
        <v>535</v>
      </c>
      <c r="E36" s="331" t="s">
        <v>233</v>
      </c>
      <c r="F36" s="331"/>
      <c r="G36" s="332">
        <v>0</v>
      </c>
      <c r="H36" s="332">
        <v>10000</v>
      </c>
      <c r="I36" s="331">
        <v>27</v>
      </c>
      <c r="J36" s="332">
        <f t="shared" si="0"/>
        <v>0</v>
      </c>
      <c r="K36" s="332">
        <f t="shared" si="1"/>
        <v>270000</v>
      </c>
      <c r="L36" s="332">
        <f>(K36/409.82)+J36</f>
        <v>658.82582597237808</v>
      </c>
    </row>
    <row r="37" spans="3:12" x14ac:dyDescent="0.25">
      <c r="C37" s="329"/>
      <c r="D37" s="330"/>
      <c r="E37" s="331"/>
      <c r="F37" s="331"/>
      <c r="G37" s="332"/>
      <c r="H37" s="332"/>
      <c r="I37" s="331"/>
      <c r="J37" s="332"/>
      <c r="K37" s="332"/>
      <c r="L37" s="332"/>
    </row>
    <row r="38" spans="3:12" s="337" customFormat="1" x14ac:dyDescent="0.25">
      <c r="C38" s="333" t="s">
        <v>143</v>
      </c>
      <c r="D38" s="334" t="s">
        <v>172</v>
      </c>
      <c r="E38" s="335"/>
      <c r="F38" s="335"/>
      <c r="G38" s="336"/>
      <c r="H38" s="336"/>
      <c r="I38" s="335"/>
      <c r="J38" s="336"/>
      <c r="K38" s="336"/>
      <c r="L38" s="336"/>
    </row>
    <row r="39" spans="3:12" x14ac:dyDescent="0.25">
      <c r="C39" s="329" t="s">
        <v>145</v>
      </c>
      <c r="D39" s="330" t="s">
        <v>536</v>
      </c>
      <c r="E39" s="331"/>
      <c r="F39" s="331"/>
      <c r="G39" s="332"/>
      <c r="H39" s="332"/>
      <c r="I39" s="331"/>
      <c r="J39" s="332"/>
      <c r="K39" s="332"/>
      <c r="L39" s="332"/>
    </row>
    <row r="40" spans="3:12" x14ac:dyDescent="0.25">
      <c r="C40" s="329" t="s">
        <v>537</v>
      </c>
      <c r="D40" s="330" t="s">
        <v>176</v>
      </c>
      <c r="E40" s="331" t="s">
        <v>233</v>
      </c>
      <c r="F40" s="331"/>
      <c r="G40" s="332">
        <v>0</v>
      </c>
      <c r="H40" s="332">
        <v>450</v>
      </c>
      <c r="I40" s="331">
        <v>162</v>
      </c>
      <c r="J40" s="332">
        <f t="shared" si="0"/>
        <v>0</v>
      </c>
      <c r="K40" s="332">
        <f t="shared" si="1"/>
        <v>72900</v>
      </c>
      <c r="L40" s="332">
        <f>(K40/409.82)+J40</f>
        <v>177.8829730125421</v>
      </c>
    </row>
    <row r="41" spans="3:12" x14ac:dyDescent="0.25">
      <c r="C41" s="329" t="s">
        <v>538</v>
      </c>
      <c r="D41" s="330" t="s">
        <v>179</v>
      </c>
      <c r="E41" s="331" t="s">
        <v>233</v>
      </c>
      <c r="F41" s="331"/>
      <c r="G41" s="332">
        <v>0</v>
      </c>
      <c r="H41" s="332">
        <v>450</v>
      </c>
      <c r="I41" s="331">
        <v>162</v>
      </c>
      <c r="J41" s="332">
        <f t="shared" si="0"/>
        <v>0</v>
      </c>
      <c r="K41" s="332">
        <f t="shared" si="1"/>
        <v>72900</v>
      </c>
      <c r="L41" s="332">
        <f>(K41/409.82)+J41</f>
        <v>177.8829730125421</v>
      </c>
    </row>
    <row r="42" spans="3:12" x14ac:dyDescent="0.25">
      <c r="C42" s="329" t="s">
        <v>539</v>
      </c>
      <c r="D42" s="330" t="s">
        <v>181</v>
      </c>
      <c r="E42" s="331" t="s">
        <v>233</v>
      </c>
      <c r="F42" s="331"/>
      <c r="G42" s="332">
        <v>0</v>
      </c>
      <c r="H42" s="332">
        <v>450</v>
      </c>
      <c r="I42" s="331">
        <v>162</v>
      </c>
      <c r="J42" s="332">
        <f t="shared" si="0"/>
        <v>0</v>
      </c>
      <c r="K42" s="332">
        <f t="shared" si="1"/>
        <v>72900</v>
      </c>
      <c r="L42" s="332">
        <f>(K42/409.82)+J42</f>
        <v>177.8829730125421</v>
      </c>
    </row>
    <row r="43" spans="3:12" x14ac:dyDescent="0.25">
      <c r="C43" s="329" t="s">
        <v>540</v>
      </c>
      <c r="D43" s="330" t="s">
        <v>183</v>
      </c>
      <c r="E43" s="331" t="s">
        <v>233</v>
      </c>
      <c r="F43" s="331"/>
      <c r="G43" s="332">
        <v>0</v>
      </c>
      <c r="H43" s="332">
        <v>720</v>
      </c>
      <c r="I43" s="331">
        <v>162</v>
      </c>
      <c r="J43" s="332">
        <f t="shared" si="0"/>
        <v>0</v>
      </c>
      <c r="K43" s="332">
        <f t="shared" si="1"/>
        <v>116640</v>
      </c>
      <c r="L43" s="332">
        <f>(K43/409.82)+J43</f>
        <v>284.61275682006737</v>
      </c>
    </row>
    <row r="44" spans="3:12" x14ac:dyDescent="0.25">
      <c r="C44" s="329" t="s">
        <v>147</v>
      </c>
      <c r="D44" s="330" t="s">
        <v>185</v>
      </c>
      <c r="E44" s="331"/>
      <c r="F44" s="331"/>
      <c r="G44" s="332"/>
      <c r="H44" s="332"/>
      <c r="I44" s="331"/>
      <c r="J44" s="332"/>
      <c r="K44" s="332"/>
      <c r="L44" s="332"/>
    </row>
    <row r="45" spans="3:12" x14ac:dyDescent="0.25">
      <c r="C45" s="329" t="s">
        <v>541</v>
      </c>
      <c r="D45" s="330" t="s">
        <v>187</v>
      </c>
      <c r="E45" s="331" t="s">
        <v>233</v>
      </c>
      <c r="F45" s="331"/>
      <c r="G45" s="332">
        <v>0</v>
      </c>
      <c r="H45" s="332">
        <v>450</v>
      </c>
      <c r="I45" s="331">
        <v>162</v>
      </c>
      <c r="J45" s="332">
        <f t="shared" si="0"/>
        <v>0</v>
      </c>
      <c r="K45" s="332">
        <f t="shared" si="1"/>
        <v>72900</v>
      </c>
      <c r="L45" s="332">
        <f>(K45/409.82)+J45</f>
        <v>177.8829730125421</v>
      </c>
    </row>
    <row r="46" spans="3:12" x14ac:dyDescent="0.25">
      <c r="C46" s="329" t="s">
        <v>542</v>
      </c>
      <c r="D46" s="330" t="s">
        <v>189</v>
      </c>
      <c r="E46" s="331" t="s">
        <v>233</v>
      </c>
      <c r="F46" s="331"/>
      <c r="G46" s="332">
        <v>0</v>
      </c>
      <c r="H46" s="332">
        <v>450</v>
      </c>
      <c r="I46" s="331">
        <v>162</v>
      </c>
      <c r="J46" s="332">
        <f t="shared" si="0"/>
        <v>0</v>
      </c>
      <c r="K46" s="332">
        <f t="shared" si="1"/>
        <v>72900</v>
      </c>
      <c r="L46" s="332">
        <f>(K46/409.82)+J46</f>
        <v>177.8829730125421</v>
      </c>
    </row>
    <row r="47" spans="3:12" x14ac:dyDescent="0.25">
      <c r="C47" s="329" t="s">
        <v>543</v>
      </c>
      <c r="D47" s="330" t="s">
        <v>191</v>
      </c>
      <c r="E47" s="331" t="s">
        <v>233</v>
      </c>
      <c r="F47" s="331"/>
      <c r="G47" s="332">
        <v>0</v>
      </c>
      <c r="H47" s="332">
        <v>450</v>
      </c>
      <c r="I47" s="331">
        <v>504</v>
      </c>
      <c r="J47" s="332">
        <f t="shared" si="0"/>
        <v>0</v>
      </c>
      <c r="K47" s="332">
        <f t="shared" si="1"/>
        <v>226800</v>
      </c>
      <c r="L47" s="332">
        <f>(K47/409.82)+J47</f>
        <v>553.4136938167976</v>
      </c>
    </row>
    <row r="48" spans="3:12" x14ac:dyDescent="0.25">
      <c r="C48" s="329" t="s">
        <v>149</v>
      </c>
      <c r="D48" s="330" t="s">
        <v>193</v>
      </c>
      <c r="E48" s="331"/>
      <c r="F48" s="331"/>
      <c r="G48" s="332"/>
      <c r="H48" s="332"/>
      <c r="I48" s="331"/>
      <c r="J48" s="332"/>
      <c r="K48" s="332"/>
      <c r="L48" s="332"/>
    </row>
    <row r="49" spans="3:13" x14ac:dyDescent="0.25">
      <c r="C49" s="329" t="s">
        <v>544</v>
      </c>
      <c r="D49" s="330" t="s">
        <v>195</v>
      </c>
      <c r="E49" s="331" t="s">
        <v>233</v>
      </c>
      <c r="F49" s="331"/>
      <c r="G49" s="332">
        <v>0</v>
      </c>
      <c r="H49" s="332">
        <v>450</v>
      </c>
      <c r="I49" s="331">
        <v>162</v>
      </c>
      <c r="J49" s="332">
        <f t="shared" si="0"/>
        <v>0</v>
      </c>
      <c r="K49" s="332">
        <f t="shared" si="1"/>
        <v>72900</v>
      </c>
      <c r="L49" s="332">
        <f>(K49/409.82)+J49</f>
        <v>177.8829730125421</v>
      </c>
    </row>
    <row r="50" spans="3:13" x14ac:dyDescent="0.25">
      <c r="C50" s="329" t="s">
        <v>545</v>
      </c>
      <c r="D50" s="330" t="s">
        <v>191</v>
      </c>
      <c r="E50" s="331" t="s">
        <v>233</v>
      </c>
      <c r="F50" s="331"/>
      <c r="G50" s="332">
        <v>0</v>
      </c>
      <c r="H50" s="332">
        <v>450</v>
      </c>
      <c r="I50" s="331">
        <v>505</v>
      </c>
      <c r="J50" s="332">
        <f t="shared" si="0"/>
        <v>0</v>
      </c>
      <c r="K50" s="332">
        <f t="shared" si="1"/>
        <v>227250</v>
      </c>
      <c r="L50" s="332">
        <f>(K50/409.82)+J50</f>
        <v>554.51173686008497</v>
      </c>
    </row>
    <row r="51" spans="3:13" x14ac:dyDescent="0.25">
      <c r="C51" s="329"/>
      <c r="D51" s="330"/>
      <c r="E51" s="331"/>
      <c r="F51" s="331"/>
      <c r="G51" s="332"/>
      <c r="H51" s="332"/>
      <c r="I51" s="331"/>
      <c r="J51" s="332"/>
      <c r="K51" s="332"/>
      <c r="L51" s="332"/>
    </row>
    <row r="52" spans="3:13" s="337" customFormat="1" x14ac:dyDescent="0.25">
      <c r="C52" s="333" t="s">
        <v>546</v>
      </c>
      <c r="D52" s="334" t="s">
        <v>547</v>
      </c>
      <c r="E52" s="335"/>
      <c r="F52" s="335"/>
      <c r="G52" s="336"/>
      <c r="H52" s="336"/>
      <c r="I52" s="335"/>
      <c r="J52" s="336"/>
      <c r="K52" s="336"/>
      <c r="L52" s="336"/>
    </row>
    <row r="53" spans="3:13" s="337" customFormat="1" x14ac:dyDescent="0.25">
      <c r="C53" s="333" t="s">
        <v>156</v>
      </c>
      <c r="D53" s="334" t="s">
        <v>201</v>
      </c>
      <c r="E53" s="335"/>
      <c r="F53" s="335"/>
      <c r="G53" s="336"/>
      <c r="H53" s="336"/>
      <c r="I53" s="335"/>
      <c r="J53" s="336"/>
      <c r="K53" s="336"/>
      <c r="L53" s="336"/>
    </row>
    <row r="54" spans="3:13" ht="30" x14ac:dyDescent="0.25">
      <c r="C54" s="329" t="s">
        <v>548</v>
      </c>
      <c r="D54" s="330" t="s">
        <v>549</v>
      </c>
      <c r="E54" s="331" t="s">
        <v>233</v>
      </c>
      <c r="F54" s="331"/>
      <c r="G54" s="332">
        <v>0</v>
      </c>
      <c r="H54" s="332">
        <v>8500</v>
      </c>
      <c r="I54" s="331">
        <v>4905</v>
      </c>
      <c r="J54" s="332">
        <f t="shared" si="0"/>
        <v>0</v>
      </c>
      <c r="K54" s="332">
        <f t="shared" si="1"/>
        <v>41692500</v>
      </c>
      <c r="L54" s="332">
        <f>(K54/409.82)+J54</f>
        <v>101733.68796056806</v>
      </c>
    </row>
    <row r="55" spans="3:13" s="337" customFormat="1" x14ac:dyDescent="0.25">
      <c r="C55" s="333" t="s">
        <v>159</v>
      </c>
      <c r="D55" s="334" t="s">
        <v>206</v>
      </c>
      <c r="E55" s="335"/>
      <c r="F55" s="335"/>
      <c r="G55" s="336"/>
      <c r="H55" s="336"/>
      <c r="I55" s="335"/>
      <c r="J55" s="336"/>
      <c r="K55" s="336"/>
      <c r="L55" s="336"/>
    </row>
    <row r="56" spans="3:13" ht="30" x14ac:dyDescent="0.25">
      <c r="C56" s="329" t="s">
        <v>550</v>
      </c>
      <c r="D56" s="330" t="s">
        <v>208</v>
      </c>
      <c r="E56" s="331" t="s">
        <v>233</v>
      </c>
      <c r="F56" s="331"/>
      <c r="G56" s="332">
        <v>0</v>
      </c>
      <c r="H56" s="332">
        <v>10000</v>
      </c>
      <c r="I56" s="331">
        <v>4905</v>
      </c>
      <c r="J56" s="332">
        <f t="shared" si="0"/>
        <v>0</v>
      </c>
      <c r="K56" s="332">
        <f t="shared" si="1"/>
        <v>49050000</v>
      </c>
      <c r="L56" s="332">
        <f>(K56/409.82)+J56</f>
        <v>119686.69171831536</v>
      </c>
      <c r="M56" s="337"/>
    </row>
    <row r="57" spans="3:13" s="337" customFormat="1" x14ac:dyDescent="0.25">
      <c r="C57" s="333" t="s">
        <v>161</v>
      </c>
      <c r="D57" s="334" t="s">
        <v>210</v>
      </c>
      <c r="E57" s="335"/>
      <c r="F57" s="335"/>
      <c r="G57" s="336"/>
      <c r="H57" s="336"/>
      <c r="I57" s="335"/>
      <c r="J57" s="336"/>
      <c r="K57" s="336"/>
      <c r="L57" s="336"/>
    </row>
    <row r="58" spans="3:13" ht="75" x14ac:dyDescent="0.25">
      <c r="C58" s="329" t="s">
        <v>551</v>
      </c>
      <c r="D58" s="330" t="s">
        <v>212</v>
      </c>
      <c r="E58" s="331" t="s">
        <v>233</v>
      </c>
      <c r="F58" s="331"/>
      <c r="G58" s="332">
        <v>0</v>
      </c>
      <c r="H58" s="332">
        <v>10000</v>
      </c>
      <c r="I58" s="331">
        <v>4905</v>
      </c>
      <c r="J58" s="332">
        <f t="shared" si="0"/>
        <v>0</v>
      </c>
      <c r="K58" s="332">
        <f t="shared" si="1"/>
        <v>49050000</v>
      </c>
      <c r="L58" s="332">
        <f>(K58/409.82)+J58</f>
        <v>119686.69171831536</v>
      </c>
    </row>
    <row r="59" spans="3:13" s="337" customFormat="1" x14ac:dyDescent="0.25">
      <c r="C59" s="333" t="s">
        <v>552</v>
      </c>
      <c r="D59" s="334" t="s">
        <v>214</v>
      </c>
      <c r="E59" s="335"/>
      <c r="F59" s="335"/>
      <c r="G59" s="336"/>
      <c r="H59" s="336"/>
      <c r="I59" s="335"/>
      <c r="J59" s="336"/>
      <c r="K59" s="336"/>
      <c r="L59" s="336"/>
    </row>
    <row r="60" spans="3:13" ht="30" x14ac:dyDescent="0.25">
      <c r="C60" s="329" t="s">
        <v>553</v>
      </c>
      <c r="D60" s="330" t="s">
        <v>216</v>
      </c>
      <c r="E60" s="331" t="s">
        <v>233</v>
      </c>
      <c r="F60" s="331"/>
      <c r="G60" s="332">
        <v>0</v>
      </c>
      <c r="H60" s="332">
        <v>25000</v>
      </c>
      <c r="I60" s="331">
        <v>3204</v>
      </c>
      <c r="J60" s="332">
        <f t="shared" si="0"/>
        <v>0</v>
      </c>
      <c r="K60" s="332">
        <f t="shared" si="1"/>
        <v>80100000</v>
      </c>
      <c r="L60" s="332">
        <f>(K60/409.82)+J60</f>
        <v>195451.66170513883</v>
      </c>
    </row>
    <row r="61" spans="3:13" x14ac:dyDescent="0.25">
      <c r="C61" s="329" t="s">
        <v>554</v>
      </c>
      <c r="D61" s="330" t="s">
        <v>218</v>
      </c>
      <c r="E61" s="331" t="s">
        <v>233</v>
      </c>
      <c r="F61" s="331"/>
      <c r="G61" s="332">
        <v>0</v>
      </c>
      <c r="H61" s="332">
        <v>7000</v>
      </c>
      <c r="I61" s="331">
        <v>9000</v>
      </c>
      <c r="J61" s="332">
        <f t="shared" si="0"/>
        <v>0</v>
      </c>
      <c r="K61" s="332">
        <f t="shared" si="1"/>
        <v>63000000</v>
      </c>
      <c r="L61" s="332">
        <f>(K61/409.82)+J61</f>
        <v>153726.02606022157</v>
      </c>
    </row>
    <row r="62" spans="3:13" s="337" customFormat="1" x14ac:dyDescent="0.25">
      <c r="C62" s="333" t="s">
        <v>555</v>
      </c>
      <c r="D62" s="334" t="s">
        <v>222</v>
      </c>
      <c r="E62" s="335"/>
      <c r="F62" s="335"/>
      <c r="G62" s="336"/>
      <c r="H62" s="336"/>
      <c r="I62" s="335"/>
      <c r="J62" s="336"/>
      <c r="K62" s="336"/>
      <c r="L62" s="336"/>
    </row>
    <row r="63" spans="3:13" x14ac:dyDescent="0.25">
      <c r="C63" s="329" t="s">
        <v>556</v>
      </c>
      <c r="D63" s="330" t="s">
        <v>224</v>
      </c>
      <c r="E63" s="331" t="s">
        <v>233</v>
      </c>
      <c r="F63" s="331"/>
      <c r="G63" s="332">
        <v>0</v>
      </c>
      <c r="H63" s="332">
        <v>900</v>
      </c>
      <c r="I63" s="331">
        <v>477</v>
      </c>
      <c r="J63" s="332">
        <f t="shared" si="0"/>
        <v>0</v>
      </c>
      <c r="K63" s="332">
        <f t="shared" si="1"/>
        <v>429300</v>
      </c>
      <c r="L63" s="332">
        <f>(K63/409.82)+J63</f>
        <v>1047.5330632960813</v>
      </c>
    </row>
    <row r="64" spans="3:13" x14ac:dyDescent="0.25">
      <c r="C64" s="329" t="s">
        <v>557</v>
      </c>
      <c r="D64" s="330" t="s">
        <v>226</v>
      </c>
      <c r="E64" s="331" t="s">
        <v>233</v>
      </c>
      <c r="F64" s="331"/>
      <c r="G64" s="332">
        <v>0</v>
      </c>
      <c r="H64" s="332">
        <v>900</v>
      </c>
      <c r="I64" s="331">
        <v>477</v>
      </c>
      <c r="J64" s="332">
        <f t="shared" si="0"/>
        <v>0</v>
      </c>
      <c r="K64" s="332">
        <f t="shared" si="1"/>
        <v>429300</v>
      </c>
      <c r="L64" s="332">
        <f>(K64/409.82)+J64</f>
        <v>1047.5330632960813</v>
      </c>
    </row>
    <row r="65" spans="3:12" x14ac:dyDescent="0.25">
      <c r="C65" s="329" t="s">
        <v>558</v>
      </c>
      <c r="D65" s="330" t="s">
        <v>228</v>
      </c>
      <c r="E65" s="331" t="s">
        <v>233</v>
      </c>
      <c r="F65" s="331"/>
      <c r="G65" s="332">
        <v>0</v>
      </c>
      <c r="H65" s="332">
        <v>900</v>
      </c>
      <c r="I65" s="331">
        <v>477</v>
      </c>
      <c r="J65" s="332">
        <f t="shared" si="0"/>
        <v>0</v>
      </c>
      <c r="K65" s="332">
        <f t="shared" si="1"/>
        <v>429300</v>
      </c>
      <c r="L65" s="332">
        <f>(K65/409.82)+J65</f>
        <v>1047.5330632960813</v>
      </c>
    </row>
    <row r="66" spans="3:12" x14ac:dyDescent="0.25">
      <c r="C66" s="329" t="s">
        <v>559</v>
      </c>
      <c r="D66" s="330" t="s">
        <v>230</v>
      </c>
      <c r="E66" s="331" t="s">
        <v>233</v>
      </c>
      <c r="F66" s="331"/>
      <c r="G66" s="332">
        <v>0</v>
      </c>
      <c r="H66" s="332">
        <v>900</v>
      </c>
      <c r="I66" s="331">
        <v>477</v>
      </c>
      <c r="J66" s="332">
        <f t="shared" si="0"/>
        <v>0</v>
      </c>
      <c r="K66" s="332">
        <f t="shared" si="1"/>
        <v>429300</v>
      </c>
      <c r="L66" s="332">
        <f>(K66/409.82)+J66</f>
        <v>1047.5330632960813</v>
      </c>
    </row>
    <row r="67" spans="3:12" s="337" customFormat="1" x14ac:dyDescent="0.25">
      <c r="C67" s="333" t="s">
        <v>560</v>
      </c>
      <c r="D67" s="334" t="s">
        <v>235</v>
      </c>
      <c r="E67" s="335"/>
      <c r="F67" s="335"/>
      <c r="G67" s="336"/>
      <c r="H67" s="336"/>
      <c r="I67" s="335"/>
      <c r="J67" s="336"/>
      <c r="K67" s="336"/>
      <c r="L67" s="336"/>
    </row>
    <row r="68" spans="3:12" x14ac:dyDescent="0.25">
      <c r="C68" s="329" t="s">
        <v>561</v>
      </c>
      <c r="D68" s="330" t="s">
        <v>203</v>
      </c>
      <c r="E68" s="331" t="s">
        <v>233</v>
      </c>
      <c r="F68" s="331"/>
      <c r="G68" s="332">
        <v>0</v>
      </c>
      <c r="H68" s="332">
        <v>10000</v>
      </c>
      <c r="I68" s="331">
        <v>1008</v>
      </c>
      <c r="J68" s="332">
        <f t="shared" si="0"/>
        <v>0</v>
      </c>
      <c r="K68" s="332">
        <f t="shared" si="1"/>
        <v>10080000</v>
      </c>
      <c r="L68" s="332">
        <f>(K68/409.82)+J68</f>
        <v>24596.164169635449</v>
      </c>
    </row>
    <row r="69" spans="3:12" x14ac:dyDescent="0.25">
      <c r="C69" s="329"/>
      <c r="D69" s="330" t="s">
        <v>204</v>
      </c>
      <c r="E69" s="331" t="s">
        <v>233</v>
      </c>
      <c r="F69" s="331"/>
      <c r="G69" s="332">
        <v>0</v>
      </c>
      <c r="H69" s="332">
        <v>10000</v>
      </c>
      <c r="I69" s="331">
        <v>1008</v>
      </c>
      <c r="J69" s="332">
        <f t="shared" ref="J69:J132" si="2">I69*G69</f>
        <v>0</v>
      </c>
      <c r="K69" s="332">
        <f t="shared" ref="K69:K132" si="3">I69*H69</f>
        <v>10080000</v>
      </c>
      <c r="L69" s="332">
        <f>(K69/409.82)+J69</f>
        <v>24596.164169635449</v>
      </c>
    </row>
    <row r="70" spans="3:12" s="337" customFormat="1" x14ac:dyDescent="0.25">
      <c r="C70" s="333" t="s">
        <v>562</v>
      </c>
      <c r="D70" s="334" t="s">
        <v>239</v>
      </c>
      <c r="E70" s="335"/>
      <c r="F70" s="335"/>
      <c r="G70" s="336"/>
      <c r="H70" s="336"/>
      <c r="I70" s="335"/>
      <c r="J70" s="336"/>
      <c r="K70" s="336"/>
      <c r="L70" s="336"/>
    </row>
    <row r="71" spans="3:12" ht="30" x14ac:dyDescent="0.25">
      <c r="C71" s="329" t="s">
        <v>563</v>
      </c>
      <c r="D71" s="330" t="s">
        <v>208</v>
      </c>
      <c r="E71" s="331" t="s">
        <v>233</v>
      </c>
      <c r="F71" s="331"/>
      <c r="G71" s="332">
        <v>0</v>
      </c>
      <c r="H71" s="332">
        <v>10000</v>
      </c>
      <c r="I71" s="331">
        <v>2016</v>
      </c>
      <c r="J71" s="332">
        <f t="shared" si="2"/>
        <v>0</v>
      </c>
      <c r="K71" s="332">
        <f t="shared" si="3"/>
        <v>20160000</v>
      </c>
      <c r="L71" s="332">
        <f>(K71/409.82)+J71</f>
        <v>49192.328339270898</v>
      </c>
    </row>
    <row r="72" spans="3:12" s="337" customFormat="1" x14ac:dyDescent="0.25">
      <c r="C72" s="333" t="s">
        <v>564</v>
      </c>
      <c r="D72" s="334" t="s">
        <v>242</v>
      </c>
      <c r="E72" s="335"/>
      <c r="F72" s="335"/>
      <c r="G72" s="336"/>
      <c r="H72" s="336"/>
      <c r="I72" s="335"/>
      <c r="J72" s="336"/>
      <c r="K72" s="336"/>
      <c r="L72" s="336"/>
    </row>
    <row r="73" spans="3:12" ht="75" x14ac:dyDescent="0.25">
      <c r="C73" s="329" t="s">
        <v>565</v>
      </c>
      <c r="D73" s="330" t="s">
        <v>212</v>
      </c>
      <c r="E73" s="331" t="s">
        <v>233</v>
      </c>
      <c r="F73" s="331"/>
      <c r="G73" s="332">
        <v>0</v>
      </c>
      <c r="H73" s="332">
        <v>11000</v>
      </c>
      <c r="I73" s="331">
        <v>2016</v>
      </c>
      <c r="J73" s="332">
        <f t="shared" si="2"/>
        <v>0</v>
      </c>
      <c r="K73" s="332">
        <f t="shared" si="3"/>
        <v>22176000</v>
      </c>
      <c r="L73" s="332">
        <f>(K73/409.82)+J73</f>
        <v>54111.561173197988</v>
      </c>
    </row>
    <row r="74" spans="3:12" s="337" customFormat="1" x14ac:dyDescent="0.25">
      <c r="C74" s="333" t="s">
        <v>566</v>
      </c>
      <c r="D74" s="334" t="s">
        <v>245</v>
      </c>
      <c r="E74" s="335"/>
      <c r="F74" s="335"/>
      <c r="G74" s="336"/>
      <c r="H74" s="336"/>
      <c r="I74" s="335"/>
      <c r="J74" s="336"/>
      <c r="K74" s="336"/>
      <c r="L74" s="336"/>
    </row>
    <row r="75" spans="3:12" ht="30" x14ac:dyDescent="0.25">
      <c r="C75" s="329" t="s">
        <v>567</v>
      </c>
      <c r="D75" s="330" t="s">
        <v>247</v>
      </c>
      <c r="E75" s="331" t="s">
        <v>233</v>
      </c>
      <c r="F75" s="331"/>
      <c r="G75" s="332">
        <v>0</v>
      </c>
      <c r="H75" s="332">
        <v>25000</v>
      </c>
      <c r="I75" s="331">
        <v>688</v>
      </c>
      <c r="J75" s="332">
        <f t="shared" si="2"/>
        <v>0</v>
      </c>
      <c r="K75" s="332">
        <f t="shared" si="3"/>
        <v>17200000</v>
      </c>
      <c r="L75" s="332">
        <f>(K75/409.82)+J75</f>
        <v>41969.64521009224</v>
      </c>
    </row>
    <row r="76" spans="3:12" x14ac:dyDescent="0.25">
      <c r="C76" s="329" t="s">
        <v>568</v>
      </c>
      <c r="D76" s="330" t="s">
        <v>218</v>
      </c>
      <c r="E76" s="331" t="s">
        <v>233</v>
      </c>
      <c r="F76" s="331"/>
      <c r="G76" s="332">
        <v>0</v>
      </c>
      <c r="H76" s="332">
        <v>9000</v>
      </c>
      <c r="I76" s="331">
        <v>2016</v>
      </c>
      <c r="J76" s="332">
        <f t="shared" si="2"/>
        <v>0</v>
      </c>
      <c r="K76" s="332">
        <f t="shared" si="3"/>
        <v>18144000</v>
      </c>
      <c r="L76" s="332">
        <f>(K76/409.82)+J76</f>
        <v>44273.095505343808</v>
      </c>
    </row>
    <row r="77" spans="3:12" s="337" customFormat="1" x14ac:dyDescent="0.25">
      <c r="C77" s="333" t="s">
        <v>569</v>
      </c>
      <c r="D77" s="334" t="s">
        <v>250</v>
      </c>
      <c r="E77" s="335"/>
      <c r="F77" s="335"/>
      <c r="G77" s="336"/>
      <c r="H77" s="336"/>
      <c r="I77" s="335"/>
      <c r="J77" s="336"/>
      <c r="K77" s="336"/>
      <c r="L77" s="336"/>
    </row>
    <row r="78" spans="3:12" x14ac:dyDescent="0.25">
      <c r="C78" s="329" t="s">
        <v>570</v>
      </c>
      <c r="D78" s="330" t="s">
        <v>252</v>
      </c>
      <c r="E78" s="331" t="s">
        <v>233</v>
      </c>
      <c r="F78" s="331"/>
      <c r="G78" s="332">
        <v>0</v>
      </c>
      <c r="H78" s="332">
        <v>550</v>
      </c>
      <c r="I78" s="331">
        <v>504</v>
      </c>
      <c r="J78" s="332">
        <f t="shared" si="2"/>
        <v>0</v>
      </c>
      <c r="K78" s="332">
        <f t="shared" si="3"/>
        <v>277200</v>
      </c>
      <c r="L78" s="332">
        <f>(K78/409.82)+J78</f>
        <v>676.39451466497485</v>
      </c>
    </row>
    <row r="79" spans="3:12" x14ac:dyDescent="0.25">
      <c r="C79" s="329" t="s">
        <v>571</v>
      </c>
      <c r="D79" s="330" t="s">
        <v>254</v>
      </c>
      <c r="E79" s="331" t="s">
        <v>233</v>
      </c>
      <c r="F79" s="331"/>
      <c r="G79" s="332">
        <v>0</v>
      </c>
      <c r="H79" s="332">
        <v>550</v>
      </c>
      <c r="I79" s="331">
        <v>504</v>
      </c>
      <c r="J79" s="332">
        <f t="shared" si="2"/>
        <v>0</v>
      </c>
      <c r="K79" s="332">
        <f t="shared" si="3"/>
        <v>277200</v>
      </c>
      <c r="L79" s="332">
        <f>(K79/409.82)+J79</f>
        <v>676.39451466497485</v>
      </c>
    </row>
    <row r="80" spans="3:12" x14ac:dyDescent="0.25">
      <c r="C80" s="329" t="s">
        <v>572</v>
      </c>
      <c r="D80" s="330" t="s">
        <v>256</v>
      </c>
      <c r="E80" s="331" t="s">
        <v>233</v>
      </c>
      <c r="F80" s="331"/>
      <c r="G80" s="332">
        <v>0</v>
      </c>
      <c r="H80" s="332">
        <v>550</v>
      </c>
      <c r="I80" s="331">
        <v>513</v>
      </c>
      <c r="J80" s="332">
        <f t="shared" si="2"/>
        <v>0</v>
      </c>
      <c r="K80" s="332">
        <f t="shared" si="3"/>
        <v>282150</v>
      </c>
      <c r="L80" s="332">
        <f>(K80/409.82)+J80</f>
        <v>688.47298814113515</v>
      </c>
    </row>
    <row r="81" spans="3:12" x14ac:dyDescent="0.25">
      <c r="C81" s="329" t="s">
        <v>573</v>
      </c>
      <c r="D81" s="330" t="s">
        <v>258</v>
      </c>
      <c r="E81" s="331" t="s">
        <v>233</v>
      </c>
      <c r="F81" s="331"/>
      <c r="G81" s="332">
        <v>0</v>
      </c>
      <c r="H81" s="332">
        <v>550</v>
      </c>
      <c r="I81" s="331">
        <v>513</v>
      </c>
      <c r="J81" s="332">
        <f t="shared" si="2"/>
        <v>0</v>
      </c>
      <c r="K81" s="332">
        <f t="shared" si="3"/>
        <v>282150</v>
      </c>
      <c r="L81" s="332">
        <f>(K81/409.82)+J81</f>
        <v>688.47298814113515</v>
      </c>
    </row>
    <row r="82" spans="3:12" x14ac:dyDescent="0.25">
      <c r="C82" s="329" t="s">
        <v>574</v>
      </c>
      <c r="D82" s="330" t="s">
        <v>260</v>
      </c>
      <c r="E82" s="331" t="s">
        <v>233</v>
      </c>
      <c r="F82" s="331"/>
      <c r="G82" s="332">
        <v>0</v>
      </c>
      <c r="H82" s="332">
        <v>550</v>
      </c>
      <c r="I82" s="331">
        <v>513</v>
      </c>
      <c r="J82" s="332">
        <f t="shared" si="2"/>
        <v>0</v>
      </c>
      <c r="K82" s="332">
        <f t="shared" si="3"/>
        <v>282150</v>
      </c>
      <c r="L82" s="332">
        <f>(K82/409.82)+J82</f>
        <v>688.47298814113515</v>
      </c>
    </row>
    <row r="83" spans="3:12" x14ac:dyDescent="0.25">
      <c r="C83" s="329"/>
      <c r="D83" s="330"/>
      <c r="E83" s="331"/>
      <c r="F83" s="331"/>
      <c r="G83" s="332"/>
      <c r="H83" s="332"/>
      <c r="I83" s="331"/>
      <c r="J83" s="332"/>
      <c r="K83" s="332"/>
      <c r="L83" s="332"/>
    </row>
    <row r="84" spans="3:12" s="337" customFormat="1" x14ac:dyDescent="0.25">
      <c r="C84" s="333" t="s">
        <v>575</v>
      </c>
      <c r="D84" s="334" t="s">
        <v>576</v>
      </c>
      <c r="E84" s="335"/>
      <c r="F84" s="335"/>
      <c r="G84" s="336"/>
      <c r="H84" s="336"/>
      <c r="I84" s="335"/>
      <c r="J84" s="336"/>
      <c r="K84" s="336"/>
      <c r="L84" s="336"/>
    </row>
    <row r="85" spans="3:12" ht="60" x14ac:dyDescent="0.25">
      <c r="C85" s="329" t="s">
        <v>577</v>
      </c>
      <c r="D85" s="330" t="s">
        <v>578</v>
      </c>
      <c r="E85" s="331" t="s">
        <v>233</v>
      </c>
      <c r="F85" s="331"/>
      <c r="G85" s="332">
        <v>65</v>
      </c>
      <c r="H85" s="332">
        <v>1900</v>
      </c>
      <c r="I85" s="331">
        <v>117</v>
      </c>
      <c r="J85" s="332">
        <f t="shared" si="2"/>
        <v>7605</v>
      </c>
      <c r="K85" s="332">
        <f t="shared" si="3"/>
        <v>222300</v>
      </c>
      <c r="L85" s="332">
        <f>(K85/409.82)+J85</f>
        <v>8147.4332633839249</v>
      </c>
    </row>
    <row r="86" spans="3:12" x14ac:dyDescent="0.25">
      <c r="C86" s="329"/>
      <c r="D86" s="330"/>
      <c r="E86" s="331"/>
      <c r="F86" s="331"/>
      <c r="G86" s="332"/>
      <c r="H86" s="332"/>
      <c r="I86" s="331"/>
      <c r="J86" s="332"/>
      <c r="K86" s="332"/>
      <c r="L86" s="332"/>
    </row>
    <row r="87" spans="3:12" s="337" customFormat="1" x14ac:dyDescent="0.25">
      <c r="C87" s="333" t="s">
        <v>164</v>
      </c>
      <c r="D87" s="334" t="s">
        <v>283</v>
      </c>
      <c r="E87" s="335"/>
      <c r="F87" s="335"/>
      <c r="G87" s="336"/>
      <c r="H87" s="336"/>
      <c r="I87" s="335"/>
      <c r="J87" s="336"/>
      <c r="K87" s="336"/>
      <c r="L87" s="336"/>
    </row>
    <row r="88" spans="3:12" s="337" customFormat="1" x14ac:dyDescent="0.25">
      <c r="C88" s="333" t="s">
        <v>166</v>
      </c>
      <c r="D88" s="334" t="s">
        <v>285</v>
      </c>
      <c r="E88" s="335"/>
      <c r="F88" s="335"/>
      <c r="G88" s="336"/>
      <c r="H88" s="336"/>
      <c r="I88" s="335"/>
      <c r="J88" s="336"/>
      <c r="K88" s="336"/>
      <c r="L88" s="336"/>
    </row>
    <row r="89" spans="3:12" ht="45" x14ac:dyDescent="0.25">
      <c r="C89" s="329" t="s">
        <v>579</v>
      </c>
      <c r="D89" s="330" t="s">
        <v>580</v>
      </c>
      <c r="E89" s="331" t="s">
        <v>233</v>
      </c>
      <c r="F89" s="331"/>
      <c r="G89" s="332">
        <v>200</v>
      </c>
      <c r="H89" s="332">
        <v>55000</v>
      </c>
      <c r="I89" s="331">
        <v>72</v>
      </c>
      <c r="J89" s="332">
        <f t="shared" si="2"/>
        <v>14400</v>
      </c>
      <c r="K89" s="332">
        <f t="shared" si="3"/>
        <v>3960000</v>
      </c>
      <c r="L89" s="332">
        <f t="shared" ref="L89:L94" si="4">(K89/409.82)+J89</f>
        <v>24062.778780928213</v>
      </c>
    </row>
    <row r="90" spans="3:12" ht="45" x14ac:dyDescent="0.25">
      <c r="C90" s="329" t="s">
        <v>581</v>
      </c>
      <c r="D90" s="330" t="s">
        <v>582</v>
      </c>
      <c r="E90" s="331" t="s">
        <v>583</v>
      </c>
      <c r="F90" s="331"/>
      <c r="G90" s="332">
        <v>3</v>
      </c>
      <c r="H90" s="332">
        <v>500</v>
      </c>
      <c r="I90" s="331">
        <v>27</v>
      </c>
      <c r="J90" s="332">
        <f t="shared" si="2"/>
        <v>81</v>
      </c>
      <c r="K90" s="332">
        <f t="shared" si="3"/>
        <v>13500</v>
      </c>
      <c r="L90" s="332">
        <f t="shared" si="4"/>
        <v>113.94129129861891</v>
      </c>
    </row>
    <row r="91" spans="3:12" ht="45" x14ac:dyDescent="0.25">
      <c r="C91" s="329" t="s">
        <v>584</v>
      </c>
      <c r="D91" s="330" t="s">
        <v>585</v>
      </c>
      <c r="E91" s="331" t="s">
        <v>583</v>
      </c>
      <c r="F91" s="331"/>
      <c r="G91" s="332">
        <v>3</v>
      </c>
      <c r="H91" s="332">
        <v>850</v>
      </c>
      <c r="I91" s="331">
        <v>18</v>
      </c>
      <c r="J91" s="332">
        <f t="shared" si="2"/>
        <v>54</v>
      </c>
      <c r="K91" s="332">
        <f t="shared" si="3"/>
        <v>15300</v>
      </c>
      <c r="L91" s="332">
        <f t="shared" si="4"/>
        <v>91.333463471768084</v>
      </c>
    </row>
    <row r="92" spans="3:12" ht="45" x14ac:dyDescent="0.25">
      <c r="C92" s="329" t="s">
        <v>586</v>
      </c>
      <c r="D92" s="330" t="s">
        <v>293</v>
      </c>
      <c r="E92" s="331" t="s">
        <v>583</v>
      </c>
      <c r="F92" s="331"/>
      <c r="G92" s="332">
        <v>13.5</v>
      </c>
      <c r="H92" s="332">
        <v>2500</v>
      </c>
      <c r="I92" s="331">
        <v>18</v>
      </c>
      <c r="J92" s="332">
        <f t="shared" si="2"/>
        <v>243</v>
      </c>
      <c r="K92" s="332">
        <f t="shared" si="3"/>
        <v>45000</v>
      </c>
      <c r="L92" s="332">
        <f t="shared" si="4"/>
        <v>352.8043043287297</v>
      </c>
    </row>
    <row r="93" spans="3:12" ht="45" x14ac:dyDescent="0.25">
      <c r="C93" s="329" t="s">
        <v>587</v>
      </c>
      <c r="D93" s="330" t="s">
        <v>295</v>
      </c>
      <c r="E93" s="331" t="s">
        <v>583</v>
      </c>
      <c r="F93" s="331"/>
      <c r="G93" s="332">
        <v>8.5</v>
      </c>
      <c r="H93" s="332">
        <v>2000</v>
      </c>
      <c r="I93" s="331">
        <v>27</v>
      </c>
      <c r="J93" s="332">
        <f t="shared" si="2"/>
        <v>229.5</v>
      </c>
      <c r="K93" s="332">
        <f t="shared" si="3"/>
        <v>54000</v>
      </c>
      <c r="L93" s="332">
        <f t="shared" si="4"/>
        <v>361.26516519447563</v>
      </c>
    </row>
    <row r="94" spans="3:12" ht="45" x14ac:dyDescent="0.25">
      <c r="C94" s="329" t="s">
        <v>588</v>
      </c>
      <c r="D94" s="330" t="s">
        <v>297</v>
      </c>
      <c r="E94" s="331" t="s">
        <v>583</v>
      </c>
      <c r="F94" s="331"/>
      <c r="G94" s="332">
        <v>8.5</v>
      </c>
      <c r="H94" s="332">
        <v>2000</v>
      </c>
      <c r="I94" s="331">
        <v>27</v>
      </c>
      <c r="J94" s="332">
        <f t="shared" si="2"/>
        <v>229.5</v>
      </c>
      <c r="K94" s="332">
        <f t="shared" si="3"/>
        <v>54000</v>
      </c>
      <c r="L94" s="332">
        <f t="shared" si="4"/>
        <v>361.26516519447563</v>
      </c>
    </row>
    <row r="95" spans="3:12" s="337" customFormat="1" x14ac:dyDescent="0.25">
      <c r="C95" s="333"/>
      <c r="D95" s="334" t="s">
        <v>299</v>
      </c>
      <c r="E95" s="335"/>
      <c r="F95" s="335"/>
      <c r="G95" s="336"/>
      <c r="H95" s="336"/>
      <c r="I95" s="335"/>
      <c r="J95" s="336"/>
      <c r="K95" s="336"/>
      <c r="L95" s="336"/>
    </row>
    <row r="96" spans="3:12" ht="30" x14ac:dyDescent="0.25">
      <c r="C96" s="329" t="s">
        <v>589</v>
      </c>
      <c r="D96" s="330" t="s">
        <v>301</v>
      </c>
      <c r="E96" s="331" t="s">
        <v>233</v>
      </c>
      <c r="F96" s="331"/>
      <c r="G96" s="332">
        <v>85</v>
      </c>
      <c r="H96" s="332">
        <v>25000</v>
      </c>
      <c r="I96" s="331">
        <v>18</v>
      </c>
      <c r="J96" s="332">
        <f t="shared" si="2"/>
        <v>1530</v>
      </c>
      <c r="K96" s="332">
        <f t="shared" si="3"/>
        <v>450000</v>
      </c>
      <c r="L96" s="332">
        <f>(K96/409.82)+J96</f>
        <v>2628.0430432872968</v>
      </c>
    </row>
    <row r="97" spans="3:12" ht="75" x14ac:dyDescent="0.25">
      <c r="C97" s="329" t="s">
        <v>590</v>
      </c>
      <c r="D97" s="330" t="s">
        <v>303</v>
      </c>
      <c r="E97" s="331" t="s">
        <v>233</v>
      </c>
      <c r="F97" s="331"/>
      <c r="G97" s="332">
        <v>155</v>
      </c>
      <c r="H97" s="332">
        <v>35000</v>
      </c>
      <c r="I97" s="331">
        <v>18</v>
      </c>
      <c r="J97" s="332">
        <f t="shared" si="2"/>
        <v>2790</v>
      </c>
      <c r="K97" s="332">
        <f t="shared" si="3"/>
        <v>630000</v>
      </c>
      <c r="L97" s="332">
        <f>(K97/409.82)+J97</f>
        <v>4327.2602606022156</v>
      </c>
    </row>
    <row r="98" spans="3:12" x14ac:dyDescent="0.25">
      <c r="C98" s="329"/>
      <c r="D98" s="330" t="s">
        <v>305</v>
      </c>
      <c r="E98" s="331"/>
      <c r="F98" s="331"/>
      <c r="G98" s="332"/>
      <c r="H98" s="332"/>
      <c r="I98" s="331"/>
      <c r="J98" s="332"/>
      <c r="K98" s="332"/>
      <c r="L98" s="332"/>
    </row>
    <row r="99" spans="3:12" ht="30" x14ac:dyDescent="0.25">
      <c r="C99" s="329" t="s">
        <v>591</v>
      </c>
      <c r="D99" s="330" t="s">
        <v>592</v>
      </c>
      <c r="E99" s="331" t="s">
        <v>233</v>
      </c>
      <c r="F99" s="331"/>
      <c r="G99" s="332">
        <v>354</v>
      </c>
      <c r="H99" s="332">
        <v>60000</v>
      </c>
      <c r="I99" s="331">
        <v>72</v>
      </c>
      <c r="J99" s="332">
        <f t="shared" si="2"/>
        <v>25488</v>
      </c>
      <c r="K99" s="332">
        <f t="shared" si="3"/>
        <v>4320000</v>
      </c>
      <c r="L99" s="332">
        <f>(K99/409.82)+J99</f>
        <v>36029.213215558048</v>
      </c>
    </row>
    <row r="100" spans="3:12" x14ac:dyDescent="0.25">
      <c r="C100" s="329"/>
      <c r="D100" s="330"/>
      <c r="E100" s="331"/>
      <c r="F100" s="331"/>
      <c r="G100" s="332"/>
      <c r="H100" s="332"/>
      <c r="I100" s="331"/>
      <c r="J100" s="332"/>
      <c r="K100" s="332"/>
      <c r="L100" s="332"/>
    </row>
    <row r="101" spans="3:12" s="337" customFormat="1" ht="30" x14ac:dyDescent="0.25">
      <c r="C101" s="333" t="s">
        <v>593</v>
      </c>
      <c r="D101" s="334" t="s">
        <v>594</v>
      </c>
      <c r="E101" s="335"/>
      <c r="F101" s="335"/>
      <c r="G101" s="336"/>
      <c r="H101" s="336"/>
      <c r="I101" s="335"/>
      <c r="J101" s="336"/>
      <c r="K101" s="336"/>
      <c r="L101" s="336"/>
    </row>
    <row r="102" spans="3:12" s="337" customFormat="1" x14ac:dyDescent="0.25">
      <c r="C102" s="333" t="s">
        <v>595</v>
      </c>
      <c r="D102" s="334" t="s">
        <v>312</v>
      </c>
      <c r="E102" s="335"/>
      <c r="F102" s="335"/>
      <c r="G102" s="336"/>
      <c r="H102" s="336"/>
      <c r="I102" s="335"/>
      <c r="J102" s="336"/>
      <c r="K102" s="336"/>
      <c r="L102" s="336"/>
    </row>
    <row r="103" spans="3:12" ht="75" x14ac:dyDescent="0.25">
      <c r="C103" s="329" t="s">
        <v>175</v>
      </c>
      <c r="D103" s="330" t="s">
        <v>596</v>
      </c>
      <c r="E103" s="331" t="s">
        <v>233</v>
      </c>
      <c r="F103" s="331"/>
      <c r="G103" s="332">
        <v>450</v>
      </c>
      <c r="H103" s="332">
        <v>240000</v>
      </c>
      <c r="I103" s="331">
        <v>18</v>
      </c>
      <c r="J103" s="332">
        <f t="shared" si="2"/>
        <v>8100</v>
      </c>
      <c r="K103" s="332">
        <f t="shared" si="3"/>
        <v>4320000</v>
      </c>
      <c r="L103" s="332">
        <f>(K103/409.82)+J103</f>
        <v>18641.213215558048</v>
      </c>
    </row>
    <row r="104" spans="3:12" x14ac:dyDescent="0.25">
      <c r="C104" s="329" t="s">
        <v>178</v>
      </c>
      <c r="D104" s="330" t="s">
        <v>597</v>
      </c>
      <c r="E104" s="331" t="s">
        <v>233</v>
      </c>
      <c r="F104" s="331"/>
      <c r="G104" s="332">
        <v>450</v>
      </c>
      <c r="H104" s="332">
        <v>280000</v>
      </c>
      <c r="I104" s="331">
        <v>9</v>
      </c>
      <c r="J104" s="332">
        <f t="shared" si="2"/>
        <v>4050</v>
      </c>
      <c r="K104" s="332">
        <f t="shared" si="3"/>
        <v>2520000</v>
      </c>
      <c r="L104" s="332">
        <f>(K104/409.82)+J104</f>
        <v>10199.041042408862</v>
      </c>
    </row>
    <row r="105" spans="3:12" x14ac:dyDescent="0.25">
      <c r="C105" s="329" t="s">
        <v>180</v>
      </c>
      <c r="D105" s="330" t="s">
        <v>598</v>
      </c>
      <c r="E105" s="331" t="s">
        <v>233</v>
      </c>
      <c r="F105" s="331"/>
      <c r="G105" s="332">
        <v>450</v>
      </c>
      <c r="H105" s="332">
        <v>400000</v>
      </c>
      <c r="I105" s="331">
        <v>9</v>
      </c>
      <c r="J105" s="332">
        <f t="shared" si="2"/>
        <v>4050</v>
      </c>
      <c r="K105" s="332">
        <f t="shared" si="3"/>
        <v>3600000</v>
      </c>
      <c r="L105" s="332">
        <f>(K105/409.82)+J105</f>
        <v>12834.344346298374</v>
      </c>
    </row>
    <row r="106" spans="3:12" s="337" customFormat="1" x14ac:dyDescent="0.25">
      <c r="C106" s="333" t="s">
        <v>184</v>
      </c>
      <c r="D106" s="334" t="s">
        <v>599</v>
      </c>
      <c r="E106" s="335"/>
      <c r="F106" s="335"/>
      <c r="G106" s="336"/>
      <c r="H106" s="336"/>
      <c r="I106" s="335"/>
      <c r="J106" s="336"/>
      <c r="K106" s="336"/>
      <c r="L106" s="336"/>
    </row>
    <row r="107" spans="3:12" ht="90" x14ac:dyDescent="0.25">
      <c r="C107" s="329" t="s">
        <v>186</v>
      </c>
      <c r="D107" s="330" t="s">
        <v>600</v>
      </c>
      <c r="E107" s="331" t="s">
        <v>233</v>
      </c>
      <c r="F107" s="331"/>
      <c r="G107" s="332">
        <v>450</v>
      </c>
      <c r="H107" s="332">
        <v>240000</v>
      </c>
      <c r="I107" s="331">
        <v>108</v>
      </c>
      <c r="J107" s="332">
        <f t="shared" si="2"/>
        <v>48600</v>
      </c>
      <c r="K107" s="332">
        <f t="shared" si="3"/>
        <v>25920000</v>
      </c>
      <c r="L107" s="332">
        <f>(K107/409.82)+J107</f>
        <v>111847.2792933483</v>
      </c>
    </row>
    <row r="108" spans="3:12" x14ac:dyDescent="0.25">
      <c r="C108" s="329" t="s">
        <v>188</v>
      </c>
      <c r="D108" s="330" t="s">
        <v>601</v>
      </c>
      <c r="E108" s="331" t="s">
        <v>233</v>
      </c>
      <c r="F108" s="331"/>
      <c r="G108" s="332">
        <v>450</v>
      </c>
      <c r="H108" s="332">
        <v>770000</v>
      </c>
      <c r="I108" s="331">
        <v>42</v>
      </c>
      <c r="J108" s="332">
        <f t="shared" si="2"/>
        <v>18900</v>
      </c>
      <c r="K108" s="332">
        <f t="shared" si="3"/>
        <v>32340000</v>
      </c>
      <c r="L108" s="332">
        <f>(K108/409.82)+J108</f>
        <v>97812.693377580406</v>
      </c>
    </row>
    <row r="109" spans="3:12" x14ac:dyDescent="0.25">
      <c r="C109" s="329" t="s">
        <v>190</v>
      </c>
      <c r="D109" s="330" t="s">
        <v>602</v>
      </c>
      <c r="E109" s="331" t="s">
        <v>233</v>
      </c>
      <c r="F109" s="331"/>
      <c r="G109" s="332">
        <v>450</v>
      </c>
      <c r="H109" s="332">
        <v>1350000</v>
      </c>
      <c r="I109" s="331">
        <v>30</v>
      </c>
      <c r="J109" s="332">
        <f t="shared" si="2"/>
        <v>13500</v>
      </c>
      <c r="K109" s="332">
        <f t="shared" si="3"/>
        <v>40500000</v>
      </c>
      <c r="L109" s="332">
        <f>(K109/409.82)+J109</f>
        <v>112323.87389585673</v>
      </c>
    </row>
    <row r="110" spans="3:12" s="337" customFormat="1" x14ac:dyDescent="0.25">
      <c r="C110" s="333" t="s">
        <v>192</v>
      </c>
      <c r="D110" s="334" t="s">
        <v>318</v>
      </c>
      <c r="E110" s="335"/>
      <c r="F110" s="335"/>
      <c r="G110" s="336"/>
      <c r="H110" s="336"/>
      <c r="I110" s="335"/>
      <c r="J110" s="336"/>
      <c r="K110" s="336"/>
      <c r="L110" s="336"/>
    </row>
    <row r="111" spans="3:12" ht="90" x14ac:dyDescent="0.25">
      <c r="C111" s="329" t="s">
        <v>194</v>
      </c>
      <c r="D111" s="330" t="s">
        <v>603</v>
      </c>
      <c r="E111" s="331" t="s">
        <v>233</v>
      </c>
      <c r="F111" s="331"/>
      <c r="G111" s="332">
        <v>50</v>
      </c>
      <c r="H111" s="332">
        <v>240000</v>
      </c>
      <c r="I111" s="331">
        <v>108</v>
      </c>
      <c r="J111" s="332">
        <f t="shared" si="2"/>
        <v>5400</v>
      </c>
      <c r="K111" s="332">
        <f t="shared" si="3"/>
        <v>25920000</v>
      </c>
      <c r="L111" s="332">
        <f>(K111/409.82)+J111</f>
        <v>68647.2792933483</v>
      </c>
    </row>
    <row r="112" spans="3:12" x14ac:dyDescent="0.25">
      <c r="C112" s="329" t="s">
        <v>196</v>
      </c>
      <c r="D112" s="330" t="s">
        <v>604</v>
      </c>
      <c r="E112" s="331" t="s">
        <v>233</v>
      </c>
      <c r="F112" s="331"/>
      <c r="G112" s="332">
        <v>50</v>
      </c>
      <c r="H112" s="332">
        <v>400000</v>
      </c>
      <c r="I112" s="331">
        <v>42</v>
      </c>
      <c r="J112" s="332">
        <f t="shared" si="2"/>
        <v>2100</v>
      </c>
      <c r="K112" s="332">
        <f t="shared" si="3"/>
        <v>16800000</v>
      </c>
      <c r="L112" s="332">
        <f>(K112/409.82)+J112</f>
        <v>43093.606949392415</v>
      </c>
    </row>
    <row r="113" spans="3:17" x14ac:dyDescent="0.25">
      <c r="C113" s="329" t="s">
        <v>605</v>
      </c>
      <c r="D113" s="330" t="s">
        <v>606</v>
      </c>
      <c r="E113" s="331" t="s">
        <v>233</v>
      </c>
      <c r="F113" s="331"/>
      <c r="G113" s="332">
        <v>50</v>
      </c>
      <c r="H113" s="332">
        <v>450000</v>
      </c>
      <c r="I113" s="331">
        <v>30</v>
      </c>
      <c r="J113" s="332">
        <f t="shared" si="2"/>
        <v>1500</v>
      </c>
      <c r="K113" s="332">
        <f t="shared" si="3"/>
        <v>13500000</v>
      </c>
      <c r="L113" s="332">
        <f>(K113/409.82)+J113</f>
        <v>34441.291298618904</v>
      </c>
    </row>
    <row r="114" spans="3:17" s="337" customFormat="1" x14ac:dyDescent="0.25">
      <c r="C114" s="333" t="s">
        <v>607</v>
      </c>
      <c r="D114" s="334" t="s">
        <v>608</v>
      </c>
      <c r="E114" s="335"/>
      <c r="F114" s="335"/>
      <c r="G114" s="336"/>
      <c r="H114" s="336"/>
      <c r="I114" s="335"/>
      <c r="J114" s="336"/>
      <c r="K114" s="336"/>
      <c r="L114" s="336"/>
    </row>
    <row r="115" spans="3:17" ht="120" x14ac:dyDescent="0.25">
      <c r="C115" s="329" t="s">
        <v>609</v>
      </c>
      <c r="D115" s="330" t="s">
        <v>610</v>
      </c>
      <c r="E115" s="331" t="s">
        <v>233</v>
      </c>
      <c r="F115" s="331"/>
      <c r="G115" s="332">
        <v>1000</v>
      </c>
      <c r="H115" s="332">
        <v>350000</v>
      </c>
      <c r="I115" s="331">
        <v>180</v>
      </c>
      <c r="J115" s="332">
        <f t="shared" si="2"/>
        <v>180000</v>
      </c>
      <c r="K115" s="332">
        <f>I115*H115</f>
        <v>63000000</v>
      </c>
      <c r="L115" s="332">
        <f>(K115/409.82)+J115</f>
        <v>333726.0260602216</v>
      </c>
    </row>
    <row r="116" spans="3:17" x14ac:dyDescent="0.25">
      <c r="C116" s="329"/>
      <c r="D116" s="330"/>
      <c r="E116" s="331"/>
      <c r="F116" s="331"/>
      <c r="G116" s="332"/>
      <c r="H116" s="332"/>
      <c r="I116" s="331"/>
      <c r="J116" s="332"/>
      <c r="K116" s="332"/>
      <c r="L116" s="332"/>
    </row>
    <row r="117" spans="3:17" s="337" customFormat="1" x14ac:dyDescent="0.25">
      <c r="C117" s="333" t="s">
        <v>611</v>
      </c>
      <c r="D117" s="334" t="s">
        <v>330</v>
      </c>
      <c r="E117" s="335"/>
      <c r="F117" s="335"/>
      <c r="G117" s="336"/>
      <c r="H117" s="336"/>
      <c r="I117" s="335"/>
      <c r="J117" s="336"/>
      <c r="K117" s="336"/>
      <c r="L117" s="336"/>
    </row>
    <row r="118" spans="3:17" s="337" customFormat="1" x14ac:dyDescent="0.25">
      <c r="C118" s="333" t="s">
        <v>200</v>
      </c>
      <c r="D118" s="334" t="s">
        <v>330</v>
      </c>
      <c r="E118" s="335"/>
      <c r="F118" s="335"/>
      <c r="G118" s="336"/>
      <c r="H118" s="336"/>
      <c r="I118" s="335"/>
      <c r="J118" s="336"/>
      <c r="K118" s="336"/>
      <c r="L118" s="336"/>
    </row>
    <row r="119" spans="3:17" ht="135" x14ac:dyDescent="0.25">
      <c r="C119" s="329" t="s">
        <v>202</v>
      </c>
      <c r="D119" s="330" t="s">
        <v>332</v>
      </c>
      <c r="E119" s="331" t="s">
        <v>233</v>
      </c>
      <c r="F119" s="331"/>
      <c r="G119" s="332">
        <v>450</v>
      </c>
      <c r="H119" s="332">
        <v>250000</v>
      </c>
      <c r="I119" s="331">
        <v>90</v>
      </c>
      <c r="J119" s="332">
        <f t="shared" si="2"/>
        <v>40500</v>
      </c>
      <c r="K119" s="332">
        <f t="shared" si="3"/>
        <v>22500000</v>
      </c>
      <c r="L119" s="332">
        <f>(K119/409.82)+J119</f>
        <v>95402.152164364845</v>
      </c>
    </row>
    <row r="120" spans="3:17" s="337" customFormat="1" x14ac:dyDescent="0.25">
      <c r="C120" s="333" t="s">
        <v>205</v>
      </c>
      <c r="D120" s="334" t="s">
        <v>612</v>
      </c>
      <c r="E120" s="335"/>
      <c r="F120" s="335"/>
      <c r="G120" s="336"/>
      <c r="H120" s="336"/>
      <c r="I120" s="335"/>
      <c r="J120" s="336"/>
      <c r="K120" s="336"/>
      <c r="L120" s="336"/>
    </row>
    <row r="121" spans="3:17" ht="60" x14ac:dyDescent="0.25">
      <c r="C121" s="329" t="s">
        <v>207</v>
      </c>
      <c r="D121" s="330" t="s">
        <v>613</v>
      </c>
      <c r="E121" s="331" t="s">
        <v>412</v>
      </c>
      <c r="F121" s="331"/>
      <c r="G121" s="332">
        <v>0</v>
      </c>
      <c r="H121" s="332">
        <v>110000</v>
      </c>
      <c r="I121" s="331">
        <v>1920</v>
      </c>
      <c r="J121" s="332">
        <f t="shared" si="2"/>
        <v>0</v>
      </c>
      <c r="K121" s="332">
        <f t="shared" si="3"/>
        <v>211200000</v>
      </c>
      <c r="L121" s="332">
        <f>(K121/409.82)+J121</f>
        <v>515348.20164950466</v>
      </c>
    </row>
    <row r="122" spans="3:17" ht="60" x14ac:dyDescent="0.25">
      <c r="C122" s="329" t="s">
        <v>614</v>
      </c>
      <c r="D122" s="330" t="s">
        <v>615</v>
      </c>
      <c r="E122" s="331" t="s">
        <v>412</v>
      </c>
      <c r="F122" s="331"/>
      <c r="G122" s="332">
        <v>0</v>
      </c>
      <c r="H122" s="332">
        <v>25000</v>
      </c>
      <c r="I122" s="331">
        <v>2700</v>
      </c>
      <c r="J122" s="332">
        <f t="shared" si="2"/>
        <v>0</v>
      </c>
      <c r="K122" s="332">
        <f t="shared" si="3"/>
        <v>67500000</v>
      </c>
      <c r="L122" s="332">
        <f>(K122/409.82)+J122</f>
        <v>164706.45649309453</v>
      </c>
      <c r="O122" s="338"/>
      <c r="Q122" s="338"/>
    </row>
    <row r="123" spans="3:17" ht="60" x14ac:dyDescent="0.25">
      <c r="C123" s="329" t="s">
        <v>616</v>
      </c>
      <c r="D123" s="330" t="s">
        <v>617</v>
      </c>
      <c r="E123" s="331" t="s">
        <v>412</v>
      </c>
      <c r="F123" s="331"/>
      <c r="G123" s="332">
        <v>0</v>
      </c>
      <c r="H123" s="332">
        <v>20000</v>
      </c>
      <c r="I123" s="331">
        <v>2340</v>
      </c>
      <c r="J123" s="332">
        <f t="shared" si="2"/>
        <v>0</v>
      </c>
      <c r="K123" s="332">
        <f t="shared" si="3"/>
        <v>46800000</v>
      </c>
      <c r="L123" s="332">
        <f>(K123/409.82)+J123</f>
        <v>114196.47650187887</v>
      </c>
      <c r="O123" s="338"/>
      <c r="Q123" s="338"/>
    </row>
    <row r="124" spans="3:17" ht="60" x14ac:dyDescent="0.25">
      <c r="C124" s="329" t="s">
        <v>618</v>
      </c>
      <c r="D124" s="330" t="s">
        <v>619</v>
      </c>
      <c r="E124" s="331" t="s">
        <v>412</v>
      </c>
      <c r="F124" s="331"/>
      <c r="G124" s="332">
        <v>0</v>
      </c>
      <c r="H124" s="332">
        <v>18000</v>
      </c>
      <c r="I124" s="331">
        <v>1440</v>
      </c>
      <c r="J124" s="332">
        <f t="shared" si="2"/>
        <v>0</v>
      </c>
      <c r="K124" s="332">
        <f t="shared" si="3"/>
        <v>25920000</v>
      </c>
      <c r="L124" s="332">
        <f>(K124/409.82)+J124</f>
        <v>63247.2792933483</v>
      </c>
      <c r="O124" s="338"/>
      <c r="Q124" s="338"/>
    </row>
    <row r="125" spans="3:17" ht="60" x14ac:dyDescent="0.25">
      <c r="C125" s="329" t="s">
        <v>620</v>
      </c>
      <c r="D125" s="330" t="s">
        <v>621</v>
      </c>
      <c r="E125" s="331" t="s">
        <v>412</v>
      </c>
      <c r="F125" s="331"/>
      <c r="G125" s="332">
        <v>0</v>
      </c>
      <c r="H125" s="332">
        <v>15000</v>
      </c>
      <c r="I125" s="331">
        <v>180</v>
      </c>
      <c r="J125" s="332">
        <f t="shared" si="2"/>
        <v>0</v>
      </c>
      <c r="K125" s="332">
        <f t="shared" si="3"/>
        <v>2700000</v>
      </c>
      <c r="L125" s="332">
        <f>(K125/409.82)+J125</f>
        <v>6588.2582597237815</v>
      </c>
      <c r="O125" s="338"/>
      <c r="Q125" s="338"/>
    </row>
    <row r="126" spans="3:17" x14ac:dyDescent="0.25">
      <c r="C126" s="329"/>
      <c r="D126" s="330"/>
      <c r="E126" s="331"/>
      <c r="F126" s="331"/>
      <c r="G126" s="332"/>
      <c r="H126" s="332"/>
      <c r="I126" s="331"/>
      <c r="J126" s="332"/>
      <c r="K126" s="332"/>
      <c r="L126" s="332"/>
    </row>
    <row r="127" spans="3:17" s="337" customFormat="1" x14ac:dyDescent="0.25">
      <c r="C127" s="333" t="s">
        <v>622</v>
      </c>
      <c r="D127" s="334" t="s">
        <v>623</v>
      </c>
      <c r="E127" s="335"/>
      <c r="F127" s="335"/>
      <c r="G127" s="336"/>
      <c r="H127" s="336"/>
      <c r="I127" s="335"/>
      <c r="J127" s="336"/>
      <c r="K127" s="336"/>
      <c r="L127" s="336"/>
    </row>
    <row r="128" spans="3:17" ht="120" x14ac:dyDescent="0.25">
      <c r="C128" s="329" t="s">
        <v>286</v>
      </c>
      <c r="D128" s="330" t="s">
        <v>624</v>
      </c>
      <c r="E128" s="331" t="s">
        <v>233</v>
      </c>
      <c r="F128" s="331"/>
      <c r="G128" s="332">
        <v>0</v>
      </c>
      <c r="H128" s="332">
        <v>550000</v>
      </c>
      <c r="I128" s="331">
        <v>27</v>
      </c>
      <c r="J128" s="332">
        <f t="shared" si="2"/>
        <v>0</v>
      </c>
      <c r="K128" s="332">
        <f t="shared" si="3"/>
        <v>14850000</v>
      </c>
      <c r="L128" s="332">
        <f t="shared" ref="L128:L133" si="5">(K128/409.82)+J128</f>
        <v>36235.4204284808</v>
      </c>
    </row>
    <row r="129" spans="3:12" x14ac:dyDescent="0.25">
      <c r="C129" s="329" t="s">
        <v>288</v>
      </c>
      <c r="D129" s="330" t="s">
        <v>625</v>
      </c>
      <c r="E129" s="331" t="s">
        <v>233</v>
      </c>
      <c r="F129" s="331"/>
      <c r="G129" s="332">
        <v>0</v>
      </c>
      <c r="H129" s="332">
        <v>800000</v>
      </c>
      <c r="I129" s="331">
        <v>9</v>
      </c>
      <c r="J129" s="332">
        <f t="shared" si="2"/>
        <v>0</v>
      </c>
      <c r="K129" s="332">
        <f t="shared" si="3"/>
        <v>7200000</v>
      </c>
      <c r="L129" s="332">
        <f t="shared" si="5"/>
        <v>17568.688692596748</v>
      </c>
    </row>
    <row r="130" spans="3:12" x14ac:dyDescent="0.25">
      <c r="C130" s="329" t="s">
        <v>290</v>
      </c>
      <c r="D130" s="330" t="s">
        <v>626</v>
      </c>
      <c r="E130" s="331" t="s">
        <v>233</v>
      </c>
      <c r="F130" s="331"/>
      <c r="G130" s="332">
        <v>0</v>
      </c>
      <c r="H130" s="332">
        <v>900000</v>
      </c>
      <c r="I130" s="331">
        <v>3</v>
      </c>
      <c r="J130" s="332">
        <f t="shared" si="2"/>
        <v>0</v>
      </c>
      <c r="K130" s="332">
        <f t="shared" si="3"/>
        <v>2700000</v>
      </c>
      <c r="L130" s="332">
        <f t="shared" si="5"/>
        <v>6588.2582597237815</v>
      </c>
    </row>
    <row r="131" spans="3:12" ht="45" x14ac:dyDescent="0.25">
      <c r="C131" s="329" t="s">
        <v>292</v>
      </c>
      <c r="D131" s="330" t="s">
        <v>627</v>
      </c>
      <c r="E131" s="331" t="s">
        <v>233</v>
      </c>
      <c r="F131" s="331"/>
      <c r="G131" s="332">
        <v>0</v>
      </c>
      <c r="H131" s="332">
        <v>200000</v>
      </c>
      <c r="I131" s="331">
        <v>27</v>
      </c>
      <c r="J131" s="332">
        <f t="shared" si="2"/>
        <v>0</v>
      </c>
      <c r="K131" s="332">
        <f t="shared" si="3"/>
        <v>5400000</v>
      </c>
      <c r="L131" s="332">
        <f t="shared" si="5"/>
        <v>13176.516519447563</v>
      </c>
    </row>
    <row r="132" spans="3:12" x14ac:dyDescent="0.25">
      <c r="C132" s="329" t="s">
        <v>294</v>
      </c>
      <c r="D132" s="330" t="s">
        <v>628</v>
      </c>
      <c r="E132" s="331" t="s">
        <v>233</v>
      </c>
      <c r="F132" s="331"/>
      <c r="G132" s="332">
        <v>0</v>
      </c>
      <c r="H132" s="332">
        <v>390000</v>
      </c>
      <c r="I132" s="331">
        <v>18</v>
      </c>
      <c r="J132" s="332">
        <f t="shared" si="2"/>
        <v>0</v>
      </c>
      <c r="K132" s="332">
        <f t="shared" si="3"/>
        <v>7020000</v>
      </c>
      <c r="L132" s="332">
        <f t="shared" si="5"/>
        <v>17129.471475281833</v>
      </c>
    </row>
    <row r="133" spans="3:12" x14ac:dyDescent="0.25">
      <c r="C133" s="329" t="s">
        <v>296</v>
      </c>
      <c r="D133" s="330" t="s">
        <v>629</v>
      </c>
      <c r="E133" s="331" t="s">
        <v>233</v>
      </c>
      <c r="F133" s="331"/>
      <c r="G133" s="332">
        <v>0</v>
      </c>
      <c r="H133" s="332">
        <v>800000</v>
      </c>
      <c r="I133" s="331">
        <v>9</v>
      </c>
      <c r="J133" s="332">
        <f t="shared" ref="J133:J154" si="6">I133*G133</f>
        <v>0</v>
      </c>
      <c r="K133" s="332">
        <f>I133*H133</f>
        <v>7200000</v>
      </c>
      <c r="L133" s="332">
        <f t="shared" si="5"/>
        <v>17568.688692596748</v>
      </c>
    </row>
    <row r="134" spans="3:12" x14ac:dyDescent="0.25">
      <c r="C134" s="329"/>
      <c r="D134" s="330"/>
      <c r="E134" s="331"/>
      <c r="F134" s="331"/>
      <c r="G134" s="332"/>
      <c r="H134" s="332"/>
      <c r="I134" s="331"/>
      <c r="J134" s="332"/>
      <c r="K134" s="332"/>
      <c r="L134" s="332"/>
    </row>
    <row r="135" spans="3:12" s="337" customFormat="1" x14ac:dyDescent="0.25">
      <c r="C135" s="333" t="s">
        <v>583</v>
      </c>
      <c r="D135" s="334" t="s">
        <v>630</v>
      </c>
      <c r="E135" s="335"/>
      <c r="F135" s="335"/>
      <c r="G135" s="336"/>
      <c r="H135" s="336"/>
      <c r="I135" s="335"/>
      <c r="J135" s="336"/>
      <c r="K135" s="336"/>
      <c r="L135" s="336"/>
    </row>
    <row r="136" spans="3:12" x14ac:dyDescent="0.25">
      <c r="C136" s="329" t="s">
        <v>311</v>
      </c>
      <c r="D136" s="330" t="s">
        <v>631</v>
      </c>
      <c r="E136" s="331" t="s">
        <v>632</v>
      </c>
      <c r="F136" s="331"/>
      <c r="G136" s="332">
        <v>70</v>
      </c>
      <c r="H136" s="332">
        <v>16000</v>
      </c>
      <c r="I136" s="331">
        <v>27</v>
      </c>
      <c r="J136" s="332">
        <f t="shared" si="6"/>
        <v>1890</v>
      </c>
      <c r="K136" s="332">
        <f>I136*H136</f>
        <v>432000</v>
      </c>
      <c r="L136" s="332">
        <f>(K136/409.82)+J136</f>
        <v>2944.121321555805</v>
      </c>
    </row>
    <row r="137" spans="3:12" x14ac:dyDescent="0.25">
      <c r="C137" s="329"/>
      <c r="D137" s="330"/>
      <c r="E137" s="331"/>
      <c r="F137" s="331"/>
      <c r="G137" s="332"/>
      <c r="H137" s="332"/>
      <c r="I137" s="331"/>
      <c r="J137" s="332"/>
      <c r="K137" s="332"/>
      <c r="L137" s="332"/>
    </row>
    <row r="138" spans="3:12" s="337" customFormat="1" x14ac:dyDescent="0.25">
      <c r="C138" s="333" t="s">
        <v>633</v>
      </c>
      <c r="D138" s="334" t="s">
        <v>634</v>
      </c>
      <c r="E138" s="335"/>
      <c r="F138" s="335"/>
      <c r="G138" s="336"/>
      <c r="H138" s="336"/>
      <c r="I138" s="335"/>
      <c r="J138" s="336"/>
      <c r="K138" s="336"/>
      <c r="L138" s="336"/>
    </row>
    <row r="139" spans="3:12" x14ac:dyDescent="0.25">
      <c r="C139" s="329" t="s">
        <v>331</v>
      </c>
      <c r="D139" s="330" t="s">
        <v>635</v>
      </c>
      <c r="E139" s="331" t="s">
        <v>632</v>
      </c>
      <c r="F139" s="331"/>
      <c r="G139" s="332">
        <v>70</v>
      </c>
      <c r="H139" s="332">
        <v>16000</v>
      </c>
      <c r="I139" s="331">
        <v>90</v>
      </c>
      <c r="J139" s="332">
        <f t="shared" si="6"/>
        <v>6300</v>
      </c>
      <c r="K139" s="332">
        <f>I139*H139</f>
        <v>1440000</v>
      </c>
      <c r="L139" s="332">
        <f>(K139/409.82)+J139</f>
        <v>9813.7377385193504</v>
      </c>
    </row>
    <row r="140" spans="3:12" x14ac:dyDescent="0.25">
      <c r="C140" s="329" t="s">
        <v>583</v>
      </c>
      <c r="D140" s="334" t="s">
        <v>636</v>
      </c>
      <c r="E140" s="331"/>
      <c r="F140" s="331"/>
      <c r="G140" s="332"/>
      <c r="H140" s="332"/>
      <c r="I140" s="331"/>
      <c r="J140" s="332"/>
      <c r="K140" s="332"/>
      <c r="L140" s="332"/>
    </row>
    <row r="141" spans="3:12" x14ac:dyDescent="0.25">
      <c r="C141" s="329" t="s">
        <v>311</v>
      </c>
      <c r="D141" s="339" t="s">
        <v>637</v>
      </c>
      <c r="E141" s="340" t="s">
        <v>381</v>
      </c>
      <c r="F141" s="340"/>
      <c r="G141" s="341"/>
      <c r="H141" s="332">
        <v>5220</v>
      </c>
      <c r="I141" s="342">
        <v>270</v>
      </c>
      <c r="J141" s="332">
        <f t="shared" si="6"/>
        <v>0</v>
      </c>
      <c r="K141" s="332">
        <f>H141*I141</f>
        <v>1409400</v>
      </c>
      <c r="L141" s="332">
        <f t="shared" ref="L141:L154" si="7">(K141/409.82)+J141</f>
        <v>3439.0708115758139</v>
      </c>
    </row>
    <row r="142" spans="3:12" ht="25.5" x14ac:dyDescent="0.25">
      <c r="C142" s="329" t="s">
        <v>317</v>
      </c>
      <c r="D142" s="339" t="s">
        <v>435</v>
      </c>
      <c r="E142" s="340" t="s">
        <v>412</v>
      </c>
      <c r="F142" s="340"/>
      <c r="G142" s="341"/>
      <c r="H142" s="332">
        <v>27000</v>
      </c>
      <c r="I142" s="342">
        <v>90</v>
      </c>
      <c r="J142" s="332">
        <f t="shared" si="6"/>
        <v>0</v>
      </c>
      <c r="K142" s="332">
        <f>I142*H142</f>
        <v>2430000</v>
      </c>
      <c r="L142" s="332">
        <f t="shared" si="7"/>
        <v>5929.4324337514036</v>
      </c>
    </row>
    <row r="143" spans="3:12" ht="25.5" x14ac:dyDescent="0.25">
      <c r="C143" s="329" t="s">
        <v>638</v>
      </c>
      <c r="D143" s="339" t="s">
        <v>639</v>
      </c>
      <c r="E143" s="340" t="s">
        <v>412</v>
      </c>
      <c r="F143" s="340"/>
      <c r="G143" s="341"/>
      <c r="H143" s="332">
        <v>31500</v>
      </c>
      <c r="I143" s="342">
        <v>90</v>
      </c>
      <c r="J143" s="332">
        <f t="shared" si="6"/>
        <v>0</v>
      </c>
      <c r="K143" s="332">
        <f>H143*I143</f>
        <v>2835000</v>
      </c>
      <c r="L143" s="332">
        <f t="shared" si="7"/>
        <v>6917.6711727099701</v>
      </c>
    </row>
    <row r="144" spans="3:12" ht="25.5" x14ac:dyDescent="0.25">
      <c r="C144" s="329" t="s">
        <v>640</v>
      </c>
      <c r="D144" s="339" t="s">
        <v>641</v>
      </c>
      <c r="E144" s="340" t="s">
        <v>412</v>
      </c>
      <c r="F144" s="340"/>
      <c r="G144" s="341"/>
      <c r="H144" s="332">
        <v>90000</v>
      </c>
      <c r="I144" s="342">
        <v>90</v>
      </c>
      <c r="J144" s="332">
        <f t="shared" si="6"/>
        <v>0</v>
      </c>
      <c r="K144" s="332">
        <f>I144*H144</f>
        <v>8100000</v>
      </c>
      <c r="L144" s="332">
        <f t="shared" si="7"/>
        <v>19764.774779171345</v>
      </c>
    </row>
    <row r="145" spans="2:13" ht="25.5" x14ac:dyDescent="0.25">
      <c r="C145" s="329" t="s">
        <v>642</v>
      </c>
      <c r="D145" s="339" t="s">
        <v>643</v>
      </c>
      <c r="E145" s="340" t="s">
        <v>644</v>
      </c>
      <c r="F145" s="340"/>
      <c r="G145" s="341"/>
      <c r="H145" s="332">
        <v>9000</v>
      </c>
      <c r="I145" s="331">
        <v>243</v>
      </c>
      <c r="J145" s="332">
        <f t="shared" si="6"/>
        <v>0</v>
      </c>
      <c r="K145" s="332">
        <f>H145*I145</f>
        <v>2187000</v>
      </c>
      <c r="L145" s="332">
        <f t="shared" si="7"/>
        <v>5336.4891903762627</v>
      </c>
    </row>
    <row r="146" spans="2:13" ht="25.5" x14ac:dyDescent="0.25">
      <c r="B146" s="362"/>
      <c r="C146" s="329" t="s">
        <v>645</v>
      </c>
      <c r="D146" s="339" t="s">
        <v>443</v>
      </c>
      <c r="E146" s="340" t="s">
        <v>444</v>
      </c>
      <c r="F146" s="340"/>
      <c r="G146" s="341"/>
      <c r="H146" s="332" t="s">
        <v>646</v>
      </c>
      <c r="I146" s="331"/>
      <c r="J146" s="332">
        <f t="shared" si="6"/>
        <v>0</v>
      </c>
      <c r="K146" s="341">
        <f>300000*81</f>
        <v>24300000</v>
      </c>
      <c r="L146" s="332">
        <f t="shared" si="7"/>
        <v>59294.32433751403</v>
      </c>
    </row>
    <row r="147" spans="2:13" ht="25.5" x14ac:dyDescent="0.25">
      <c r="B147" s="362"/>
      <c r="C147" s="329" t="s">
        <v>647</v>
      </c>
      <c r="D147" s="343" t="s">
        <v>446</v>
      </c>
      <c r="E147" s="344"/>
      <c r="F147" s="344"/>
      <c r="G147" s="341"/>
      <c r="H147" s="332">
        <v>0.15</v>
      </c>
      <c r="I147" s="331"/>
      <c r="J147" s="332">
        <f t="shared" si="6"/>
        <v>0</v>
      </c>
      <c r="K147" s="341">
        <f>K146*0.15</f>
        <v>3645000</v>
      </c>
      <c r="L147" s="332">
        <f t="shared" si="7"/>
        <v>8894.1486506271049</v>
      </c>
      <c r="M147" s="345"/>
    </row>
    <row r="148" spans="2:13" x14ac:dyDescent="0.25">
      <c r="C148" s="329" t="s">
        <v>648</v>
      </c>
      <c r="D148" s="339" t="s">
        <v>448</v>
      </c>
      <c r="E148" s="340" t="s">
        <v>412</v>
      </c>
      <c r="F148" s="340"/>
      <c r="G148" s="341"/>
      <c r="H148" s="332">
        <v>3132</v>
      </c>
      <c r="I148" s="331">
        <v>36</v>
      </c>
      <c r="J148" s="332">
        <f t="shared" si="6"/>
        <v>0</v>
      </c>
      <c r="K148" s="341">
        <f>I148*H148</f>
        <v>112752</v>
      </c>
      <c r="L148" s="332">
        <f t="shared" si="7"/>
        <v>275.1256649260651</v>
      </c>
    </row>
    <row r="149" spans="2:13" x14ac:dyDescent="0.25">
      <c r="C149" s="329" t="s">
        <v>649</v>
      </c>
      <c r="D149" s="339" t="s">
        <v>450</v>
      </c>
      <c r="E149" s="340" t="s">
        <v>412</v>
      </c>
      <c r="F149" s="340"/>
      <c r="G149" s="341"/>
      <c r="H149" s="332">
        <v>2088</v>
      </c>
      <c r="I149" s="331">
        <v>90</v>
      </c>
      <c r="J149" s="332">
        <f t="shared" si="6"/>
        <v>0</v>
      </c>
      <c r="K149" s="341">
        <f t="shared" ref="K149:K154" si="8">I149*H149</f>
        <v>187920</v>
      </c>
      <c r="L149" s="332">
        <f t="shared" si="7"/>
        <v>458.54277487677518</v>
      </c>
    </row>
    <row r="150" spans="2:13" x14ac:dyDescent="0.25">
      <c r="C150" s="329" t="s">
        <v>650</v>
      </c>
      <c r="D150" s="339" t="s">
        <v>651</v>
      </c>
      <c r="E150" s="340" t="s">
        <v>412</v>
      </c>
      <c r="F150" s="340"/>
      <c r="G150" s="341"/>
      <c r="H150" s="332">
        <v>1200.96</v>
      </c>
      <c r="I150" s="331">
        <v>180</v>
      </c>
      <c r="J150" s="332">
        <f t="shared" si="6"/>
        <v>0</v>
      </c>
      <c r="K150" s="341">
        <f t="shared" si="8"/>
        <v>216172.80000000002</v>
      </c>
      <c r="L150" s="332">
        <f t="shared" si="7"/>
        <v>527.48230930652483</v>
      </c>
    </row>
    <row r="151" spans="2:13" x14ac:dyDescent="0.25">
      <c r="C151" s="329" t="s">
        <v>652</v>
      </c>
      <c r="D151" s="339" t="s">
        <v>455</v>
      </c>
      <c r="E151" s="340" t="s">
        <v>412</v>
      </c>
      <c r="F151" s="340"/>
      <c r="G151" s="341"/>
      <c r="H151" s="332">
        <v>41760</v>
      </c>
      <c r="I151" s="331">
        <v>27</v>
      </c>
      <c r="J151" s="332">
        <f t="shared" si="6"/>
        <v>0</v>
      </c>
      <c r="K151" s="341">
        <f t="shared" si="8"/>
        <v>1127520</v>
      </c>
      <c r="L151" s="332">
        <f t="shared" si="7"/>
        <v>2751.2566492606511</v>
      </c>
    </row>
    <row r="152" spans="2:13" ht="25.5" x14ac:dyDescent="0.25">
      <c r="C152" s="329" t="s">
        <v>653</v>
      </c>
      <c r="D152" s="339" t="s">
        <v>457</v>
      </c>
      <c r="E152" s="340" t="s">
        <v>412</v>
      </c>
      <c r="F152" s="340"/>
      <c r="G152" s="341"/>
      <c r="H152" s="332">
        <v>19314</v>
      </c>
      <c r="I152" s="331">
        <v>27</v>
      </c>
      <c r="J152" s="332">
        <f t="shared" si="6"/>
        <v>0</v>
      </c>
      <c r="K152" s="341">
        <f t="shared" si="8"/>
        <v>521478</v>
      </c>
      <c r="L152" s="332">
        <f t="shared" si="7"/>
        <v>1272.4562002830512</v>
      </c>
    </row>
    <row r="153" spans="2:13" x14ac:dyDescent="0.25">
      <c r="C153" s="329" t="s">
        <v>654</v>
      </c>
      <c r="D153" s="339" t="s">
        <v>459</v>
      </c>
      <c r="E153" s="340" t="s">
        <v>412</v>
      </c>
      <c r="F153" s="340"/>
      <c r="G153" s="341"/>
      <c r="H153" s="332">
        <v>12528</v>
      </c>
      <c r="I153" s="331">
        <v>37</v>
      </c>
      <c r="J153" s="332">
        <f t="shared" si="6"/>
        <v>0</v>
      </c>
      <c r="K153" s="341">
        <f t="shared" si="8"/>
        <v>463536</v>
      </c>
      <c r="L153" s="332">
        <f t="shared" si="7"/>
        <v>1131.0721780293788</v>
      </c>
    </row>
    <row r="154" spans="2:13" x14ac:dyDescent="0.25">
      <c r="C154" s="329" t="s">
        <v>655</v>
      </c>
      <c r="D154" s="339" t="s">
        <v>461</v>
      </c>
      <c r="E154" s="340" t="s">
        <v>412</v>
      </c>
      <c r="F154" s="340"/>
      <c r="G154" s="341"/>
      <c r="H154" s="332">
        <v>313200</v>
      </c>
      <c r="I154" s="331">
        <v>36</v>
      </c>
      <c r="J154" s="332">
        <f t="shared" si="6"/>
        <v>0</v>
      </c>
      <c r="K154" s="341">
        <f t="shared" si="8"/>
        <v>11275200</v>
      </c>
      <c r="L154" s="332">
        <f t="shared" si="7"/>
        <v>27512.566492606511</v>
      </c>
    </row>
    <row r="155" spans="2:13" ht="25.5" x14ac:dyDescent="0.25">
      <c r="E155" s="347" t="s">
        <v>656</v>
      </c>
      <c r="F155" s="347"/>
      <c r="G155" s="348"/>
      <c r="H155" s="348"/>
      <c r="I155" s="349"/>
      <c r="J155" s="348">
        <f>SUM(J4:J154)</f>
        <v>752640</v>
      </c>
      <c r="K155" s="348">
        <f>SUM(K4:K154)</f>
        <v>1221162118.8</v>
      </c>
      <c r="L155" s="348">
        <f>SUM(L4:L154)</f>
        <v>3732392.376165146</v>
      </c>
    </row>
    <row r="157" spans="2:13" x14ac:dyDescent="0.25">
      <c r="J157" s="351"/>
    </row>
  </sheetData>
  <mergeCells count="1">
    <mergeCell ref="D1:L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Old vs New Rate</vt:lpstr>
      <vt:lpstr>Realigned Rate</vt:lpstr>
      <vt:lpstr>Realigned Summary</vt:lpstr>
      <vt:lpstr>Current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Iroro, Geraldine E SNBO-PTC/O/UG</dc:creator>
  <cp:lastModifiedBy>Iroro, Geraldine E SNBO-PTC/O/UG</cp:lastModifiedBy>
  <dcterms:created xsi:type="dcterms:W3CDTF">2022-02-09T12:06:16Z</dcterms:created>
  <dcterms:modified xsi:type="dcterms:W3CDTF">2022-05-27T15:42:21Z</dcterms:modified>
</cp:coreProperties>
</file>