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Obidike\Downloads\Desktop\Desktop\HR\GPA and IDP\2025\"/>
    </mc:Choice>
  </mc:AlternateContent>
  <xr:revisionPtr revIDLastSave="0" documentId="13_ncr:1_{897A9016-2828-4313-8B86-C8D8AAEFF1DB}" xr6:coauthVersionLast="47" xr6:coauthVersionMax="47" xr10:uidLastSave="{00000000-0000-0000-0000-000000000000}"/>
  <bookViews>
    <workbookView xWindow="-120" yWindow="-120" windowWidth="29040" windowHeight="15720" activeTab="1" xr2:uid="{A97538F0-B32E-47F4-B9C7-3E261EC04775}"/>
  </bookViews>
  <sheets>
    <sheet name="Production Promise" sheetId="1" r:id="rId1"/>
    <sheet name="2024 Cost Accrual" sheetId="2" r:id="rId2"/>
    <sheet name="2024 Actual Product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U18" i="2"/>
  <c r="U20" i="2"/>
  <c r="D20" i="2"/>
  <c r="E20" i="2"/>
  <c r="E14" i="2"/>
  <c r="D14" i="2" s="1"/>
  <c r="D10" i="2"/>
  <c r="D13" i="2"/>
  <c r="D11" i="2"/>
  <c r="D9" i="2"/>
  <c r="D8" i="2"/>
  <c r="D7" i="2"/>
  <c r="D6" i="2"/>
  <c r="T20" i="2"/>
  <c r="S20" i="2"/>
  <c r="R20" i="2"/>
  <c r="Q20" i="2"/>
  <c r="P20" i="2"/>
  <c r="O20" i="2"/>
  <c r="N20" i="2"/>
  <c r="M20" i="2"/>
  <c r="L20" i="2"/>
  <c r="K20" i="2"/>
  <c r="J20" i="2"/>
  <c r="I20" i="2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C46" i="1"/>
  <c r="D46" i="1"/>
  <c r="E46" i="1"/>
  <c r="F46" i="1"/>
  <c r="G46" i="1"/>
  <c r="H46" i="1"/>
  <c r="I46" i="1"/>
  <c r="J46" i="1"/>
  <c r="K46" i="1"/>
  <c r="L46" i="1"/>
  <c r="M46" i="1"/>
  <c r="N46" i="1"/>
  <c r="B46" i="1"/>
  <c r="M44" i="1"/>
  <c r="N44" i="1" s="1"/>
  <c r="M45" i="1"/>
  <c r="C45" i="1"/>
  <c r="D45" i="1"/>
  <c r="E45" i="1"/>
  <c r="F45" i="1"/>
  <c r="G45" i="1"/>
  <c r="H45" i="1"/>
  <c r="I45" i="1"/>
  <c r="J45" i="1"/>
  <c r="K45" i="1"/>
  <c r="L45" i="1"/>
  <c r="B45" i="1"/>
  <c r="C44" i="1"/>
  <c r="D44" i="1"/>
  <c r="E44" i="1"/>
  <c r="F44" i="1"/>
  <c r="G44" i="1"/>
  <c r="H44" i="1"/>
  <c r="I44" i="1"/>
  <c r="J44" i="1"/>
  <c r="K44" i="1"/>
  <c r="L44" i="1"/>
  <c r="B44" i="1"/>
  <c r="C43" i="1"/>
  <c r="D43" i="1"/>
  <c r="E43" i="1"/>
  <c r="F43" i="1"/>
  <c r="N43" i="1" s="1"/>
  <c r="G43" i="1"/>
  <c r="H43" i="1"/>
  <c r="I43" i="1"/>
  <c r="J43" i="1"/>
  <c r="K43" i="1"/>
  <c r="L43" i="1"/>
  <c r="M43" i="1"/>
  <c r="B43" i="1"/>
  <c r="C42" i="1"/>
  <c r="D42" i="1"/>
  <c r="E42" i="1"/>
  <c r="F42" i="1"/>
  <c r="G42" i="1"/>
  <c r="H42" i="1"/>
  <c r="I42" i="1"/>
  <c r="J42" i="1"/>
  <c r="N42" i="1" s="1"/>
  <c r="K42" i="1"/>
  <c r="L42" i="1"/>
  <c r="M42" i="1"/>
  <c r="B42" i="1"/>
  <c r="M41" i="1"/>
  <c r="C41" i="1"/>
  <c r="D41" i="1"/>
  <c r="E41" i="1"/>
  <c r="F41" i="1"/>
  <c r="G41" i="1"/>
  <c r="H41" i="1"/>
  <c r="I41" i="1"/>
  <c r="J41" i="1"/>
  <c r="K41" i="1"/>
  <c r="L41" i="1"/>
  <c r="B41" i="1"/>
  <c r="C61" i="1"/>
  <c r="D61" i="1"/>
  <c r="E61" i="1"/>
  <c r="F61" i="1"/>
  <c r="G61" i="1"/>
  <c r="H61" i="1"/>
  <c r="I61" i="1"/>
  <c r="J61" i="1"/>
  <c r="K61" i="1"/>
  <c r="L61" i="1"/>
  <c r="M61" i="1"/>
  <c r="N61" i="1"/>
  <c r="B61" i="1"/>
  <c r="N45" i="1"/>
  <c r="B17" i="1"/>
  <c r="N56" i="1"/>
  <c r="N58" i="1"/>
  <c r="N59" i="1"/>
  <c r="N60" i="1"/>
  <c r="N57" i="1"/>
  <c r="N51" i="1"/>
  <c r="N52" i="1"/>
  <c r="N53" i="1"/>
  <c r="N54" i="1"/>
  <c r="N50" i="1"/>
  <c r="C21" i="1"/>
  <c r="D21" i="1"/>
  <c r="E21" i="1"/>
  <c r="F21" i="1"/>
  <c r="G21" i="1"/>
  <c r="H21" i="1"/>
  <c r="I21" i="1"/>
  <c r="J21" i="1"/>
  <c r="K21" i="1"/>
  <c r="L21" i="1"/>
  <c r="M21" i="1"/>
  <c r="B21" i="1"/>
  <c r="C20" i="1"/>
  <c r="D20" i="1"/>
  <c r="E20" i="1"/>
  <c r="F20" i="1"/>
  <c r="G20" i="1"/>
  <c r="H20" i="1"/>
  <c r="I20" i="1"/>
  <c r="J20" i="1"/>
  <c r="K20" i="1"/>
  <c r="L20" i="1"/>
  <c r="M20" i="1"/>
  <c r="B20" i="1"/>
  <c r="C19" i="1"/>
  <c r="D19" i="1"/>
  <c r="E19" i="1"/>
  <c r="F19" i="1"/>
  <c r="G19" i="1"/>
  <c r="H19" i="1"/>
  <c r="I19" i="1"/>
  <c r="J19" i="1"/>
  <c r="K19" i="1"/>
  <c r="L19" i="1"/>
  <c r="M19" i="1"/>
  <c r="B19" i="1"/>
  <c r="C18" i="1"/>
  <c r="D18" i="1"/>
  <c r="E18" i="1"/>
  <c r="F18" i="1"/>
  <c r="G18" i="1"/>
  <c r="H18" i="1"/>
  <c r="I18" i="1"/>
  <c r="J18" i="1"/>
  <c r="K18" i="1"/>
  <c r="L18" i="1"/>
  <c r="M18" i="1"/>
  <c r="B18" i="1"/>
  <c r="C17" i="1"/>
  <c r="D17" i="1"/>
  <c r="E17" i="1"/>
  <c r="F17" i="1"/>
  <c r="G17" i="1"/>
  <c r="H17" i="1"/>
  <c r="I17" i="1"/>
  <c r="J17" i="1"/>
  <c r="K17" i="1"/>
  <c r="L17" i="1"/>
  <c r="M17" i="1"/>
  <c r="C24" i="1"/>
  <c r="D24" i="1"/>
  <c r="E24" i="1"/>
  <c r="F24" i="1"/>
  <c r="G24" i="1"/>
  <c r="H24" i="1"/>
  <c r="I24" i="1"/>
  <c r="J24" i="1"/>
  <c r="K24" i="1"/>
  <c r="L24" i="1"/>
  <c r="M24" i="1"/>
  <c r="B24" i="1"/>
  <c r="C13" i="1"/>
  <c r="D13" i="1"/>
  <c r="E13" i="1"/>
  <c r="F13" i="1"/>
  <c r="G13" i="1"/>
  <c r="H13" i="1"/>
  <c r="I13" i="1"/>
  <c r="J13" i="1"/>
  <c r="K13" i="1"/>
  <c r="L13" i="1"/>
  <c r="M13" i="1"/>
  <c r="N13" i="1"/>
  <c r="B13" i="1"/>
  <c r="N12" i="1"/>
  <c r="C12" i="1"/>
  <c r="D12" i="1"/>
  <c r="E12" i="1"/>
  <c r="F12" i="1"/>
  <c r="G12" i="1"/>
  <c r="H12" i="1"/>
  <c r="I12" i="1"/>
  <c r="J12" i="1"/>
  <c r="K12" i="1"/>
  <c r="L12" i="1"/>
  <c r="M12" i="1"/>
  <c r="B12" i="1"/>
  <c r="Z134" i="1"/>
  <c r="X134" i="1"/>
  <c r="W134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AG128" i="1"/>
  <c r="S127" i="1"/>
  <c r="AG127" i="1" s="1"/>
  <c r="S126" i="1"/>
  <c r="S125" i="1"/>
  <c r="S124" i="1"/>
  <c r="S123" i="1"/>
  <c r="S122" i="1"/>
  <c r="S121" i="1"/>
  <c r="T115" i="1"/>
  <c r="T110" i="1"/>
  <c r="X110" i="1" s="1"/>
  <c r="V107" i="1"/>
  <c r="U107" i="1"/>
  <c r="S107" i="1"/>
  <c r="R107" i="1"/>
  <c r="T96" i="1"/>
  <c r="T95" i="1"/>
  <c r="T89" i="1"/>
  <c r="T86" i="1"/>
  <c r="T87" i="1"/>
  <c r="T88" i="1"/>
  <c r="T85" i="1"/>
  <c r="V90" i="1"/>
  <c r="S90" i="1"/>
  <c r="N41" i="1" l="1"/>
  <c r="H14" i="1"/>
  <c r="B14" i="1"/>
  <c r="I14" i="1"/>
  <c r="L14" i="1"/>
  <c r="D14" i="1"/>
  <c r="K14" i="1"/>
  <c r="C14" i="1"/>
  <c r="F14" i="1"/>
  <c r="M14" i="1"/>
  <c r="E14" i="1"/>
  <c r="G14" i="1"/>
  <c r="J14" i="1"/>
  <c r="N14" i="1"/>
  <c r="J23" i="1"/>
  <c r="J26" i="1" s="1"/>
  <c r="J27" i="1" s="1"/>
  <c r="F23" i="1"/>
  <c r="F26" i="1" s="1"/>
  <c r="M23" i="1"/>
  <c r="M26" i="1" s="1"/>
  <c r="E23" i="1"/>
  <c r="E26" i="1" s="1"/>
  <c r="I23" i="1"/>
  <c r="I26" i="1" s="1"/>
  <c r="I27" i="1" s="1"/>
  <c r="K23" i="1"/>
  <c r="K26" i="1" s="1"/>
  <c r="G23" i="1"/>
  <c r="G26" i="1" s="1"/>
  <c r="G27" i="1" s="1"/>
  <c r="C23" i="1"/>
  <c r="C26" i="1" s="1"/>
  <c r="B23" i="1"/>
  <c r="B26" i="1" s="1"/>
  <c r="L23" i="1"/>
  <c r="L26" i="1" s="1"/>
  <c r="D23" i="1"/>
  <c r="D26" i="1" s="1"/>
  <c r="H23" i="1"/>
  <c r="H26" i="1" s="1"/>
  <c r="H27" i="1" s="1"/>
  <c r="N18" i="1"/>
  <c r="N21" i="1"/>
  <c r="N17" i="1"/>
  <c r="N19" i="1"/>
  <c r="N20" i="1"/>
  <c r="N24" i="1"/>
  <c r="S129" i="1"/>
  <c r="AG129" i="1" s="1"/>
  <c r="T97" i="1"/>
  <c r="AA134" i="1"/>
  <c r="AA136" i="1" s="1"/>
  <c r="S132" i="1"/>
  <c r="T90" i="1"/>
  <c r="L27" i="1" l="1"/>
  <c r="F27" i="1"/>
  <c r="E27" i="1"/>
  <c r="M27" i="1"/>
  <c r="K27" i="1"/>
  <c r="N26" i="1"/>
  <c r="N27" i="1" s="1"/>
  <c r="N23" i="1"/>
</calcChain>
</file>

<file path=xl/sharedStrings.xml><?xml version="1.0" encoding="utf-8"?>
<sst xmlns="http://schemas.openxmlformats.org/spreadsheetml/2006/main" count="258" uniqueCount="144">
  <si>
    <t>2025 Ave Oil Prod</t>
  </si>
  <si>
    <t>2026 Ave Gas Prod</t>
  </si>
  <si>
    <t>SPDC JV Oil Promise</t>
  </si>
  <si>
    <t>SPDC JV Equity in Oando Assets</t>
  </si>
  <si>
    <t>STOG</t>
  </si>
  <si>
    <t>Oshie-Ubie</t>
  </si>
  <si>
    <t>Tebidaba</t>
  </si>
  <si>
    <t>2023 ACTUAL</t>
  </si>
  <si>
    <t>2024 PLAN</t>
  </si>
  <si>
    <t>2024 ACTUAL JAN - JUNE</t>
  </si>
  <si>
    <t>2025 PLAN</t>
  </si>
  <si>
    <t>2026 FORECAST</t>
  </si>
  <si>
    <t>2027 FORECAST</t>
  </si>
  <si>
    <t>NEPL UZERE 2025 BGT 5YR MTP 2024</t>
  </si>
  <si>
    <t>SPDC JV Equity in NEPL Uzere Asset</t>
  </si>
  <si>
    <t xml:space="preserve">Premised on </t>
  </si>
  <si>
    <t>Ambition contribution</t>
  </si>
  <si>
    <t>SPDC 2025 Playbook</t>
  </si>
  <si>
    <t>New well promise Q4 2025</t>
  </si>
  <si>
    <t>NNPC /  JV</t>
  </si>
  <si>
    <t>WORK PROGRAMME_NEPL</t>
  </si>
  <si>
    <t>DESCRIPTION</t>
  </si>
  <si>
    <t>UNIT</t>
  </si>
  <si>
    <t xml:space="preserve">2025 PLAN </t>
  </si>
  <si>
    <t>JAN 2025
PLAN</t>
  </si>
  <si>
    <t>FEB 2025
PLAN</t>
  </si>
  <si>
    <t>MAR 2025
PLAN</t>
  </si>
  <si>
    <t>APR 2025
PLAN</t>
  </si>
  <si>
    <t>MAY 2025
PLAN</t>
  </si>
  <si>
    <t>JUN 2025
PLAN</t>
  </si>
  <si>
    <t>JUL 2025
PLAN</t>
  </si>
  <si>
    <t>AUG 2025
PLAN</t>
  </si>
  <si>
    <t>SEP 2025
PLAN</t>
  </si>
  <si>
    <t>OCT 2025
PLAN</t>
  </si>
  <si>
    <t>NOV 2025
PLAN</t>
  </si>
  <si>
    <t>DEC 2025
PLAN</t>
  </si>
  <si>
    <t>TECHNICAL JUSTIFICATION/ DETAILED WORKSCOPE</t>
  </si>
  <si>
    <t>Rig Count</t>
  </si>
  <si>
    <t>nos</t>
  </si>
  <si>
    <t xml:space="preserve">Development Wells Oil </t>
  </si>
  <si>
    <t>Completion Wells Oil</t>
  </si>
  <si>
    <t>Workover Wells Oil</t>
  </si>
  <si>
    <t>Rigless workovers</t>
  </si>
  <si>
    <t> 1 No. Zone Switch</t>
  </si>
  <si>
    <t>Other Interventions(GLVCO/Well Optimization)</t>
  </si>
  <si>
    <t>2 Nos. Well Stimulation, 6 Nos. GLVCO, 2 Re-perforation/WSO</t>
  </si>
  <si>
    <t xml:space="preserve">Crude Oil Production (Net Production)  </t>
  </si>
  <si>
    <t>kbopd</t>
  </si>
  <si>
    <t>Condensate Production  (Net Production)</t>
  </si>
  <si>
    <t xml:space="preserve">Crude Oil Production (Saleable Production)  </t>
  </si>
  <si>
    <t>89% fiscalization factor assumed</t>
  </si>
  <si>
    <t>Condensate Production  (Saleable Production)</t>
  </si>
  <si>
    <t xml:space="preserve">NGL Production </t>
  </si>
  <si>
    <t>Deferment Oil</t>
  </si>
  <si>
    <t>85% production efficiency assumed</t>
  </si>
  <si>
    <t>SPDC JV</t>
  </si>
  <si>
    <t>Idu (Samabri-Biseni)</t>
  </si>
  <si>
    <t>Akri (Akri-Oguta)</t>
  </si>
  <si>
    <t>Ogbainbiri (Afuo-Ogbainbiri)</t>
  </si>
  <si>
    <t>Uzere East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</si>
  <si>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</si>
  <si>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</si>
  <si>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</si>
  <si>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</si>
  <si>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</si>
  <si>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</si>
  <si>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</si>
  <si>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</si>
  <si>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</si>
  <si>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</si>
  <si>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</si>
  <si>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</si>
  <si>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Oshi (Usie-Oshi)</t>
  </si>
  <si>
    <t>Total</t>
  </si>
  <si>
    <t>Oando</t>
  </si>
  <si>
    <t>NEPL</t>
  </si>
  <si>
    <t>Oando Promise</t>
  </si>
  <si>
    <t>NEPL Promise</t>
  </si>
  <si>
    <t>SBAR</t>
  </si>
  <si>
    <t>SPDC JV Promise</t>
  </si>
  <si>
    <t>Tebidaba-Opugbene</t>
  </si>
  <si>
    <t>NOV Ambition Prodution Promise</t>
  </si>
  <si>
    <t>Oando Promise 100% bopd</t>
  </si>
  <si>
    <t>Oando Promise  SPDC JV  kbopd</t>
  </si>
  <si>
    <t xml:space="preserve">Oando </t>
  </si>
  <si>
    <t>1 RL, 1 ST</t>
  </si>
  <si>
    <t xml:space="preserve">Oshi (Usie-Oshi) </t>
  </si>
  <si>
    <t>1 RL</t>
  </si>
  <si>
    <t>1 WO</t>
  </si>
  <si>
    <t>1 RG, 2 GLVCO</t>
  </si>
  <si>
    <t>6 GL/WOPT</t>
  </si>
  <si>
    <t>2 GL/WOPT</t>
  </si>
  <si>
    <t>No production promise increase from planned workover</t>
  </si>
  <si>
    <t>Production promise increase from planned workovers in Jun and oct</t>
  </si>
  <si>
    <t>Production increase from planned rigless and ST activities</t>
  </si>
  <si>
    <t>Production increase from planned rigless activity in May</t>
  </si>
  <si>
    <t>NOV WRFM Plans</t>
  </si>
  <si>
    <t>Production increase from planned rigless activities in May , Jun, July</t>
  </si>
  <si>
    <t>Production increase from planned activities</t>
  </si>
  <si>
    <t>Comment</t>
  </si>
  <si>
    <t>No Opugbene and SBAR in SPDC JV Promise</t>
  </si>
  <si>
    <t>Upside</t>
  </si>
  <si>
    <t>Month</t>
  </si>
  <si>
    <t>Total NOV SPDC JV Promise</t>
  </si>
  <si>
    <t>New Well drills</t>
  </si>
  <si>
    <t>Yr Ave</t>
  </si>
  <si>
    <t>Gas (MMscf/d)</t>
  </si>
  <si>
    <t>Oando Gas Promise  SPDC JV (MMscf)</t>
  </si>
  <si>
    <t>Gains from WO/STOG</t>
  </si>
  <si>
    <t>Total Oando Gas Promise  SPDC JV (MMscf)</t>
  </si>
  <si>
    <t>Field</t>
  </si>
  <si>
    <t xml:space="preserve">FUSD </t>
  </si>
  <si>
    <t>Samabri Biseni</t>
  </si>
  <si>
    <t xml:space="preserve">             3,873,813 </t>
  </si>
  <si>
    <t xml:space="preserve">                485,574 </t>
  </si>
  <si>
    <t>Akri-Oguta</t>
  </si>
  <si>
    <t xml:space="preserve">             1,558,639 </t>
  </si>
  <si>
    <t>Ogbainbiri-Afuo</t>
  </si>
  <si>
    <t xml:space="preserve">                752,925 </t>
  </si>
  <si>
    <t xml:space="preserve">             6,557,846 </t>
  </si>
  <si>
    <t xml:space="preserve">             9,636,576 </t>
  </si>
  <si>
    <t>Egbema</t>
  </si>
  <si>
    <t xml:space="preserve">             7,871,077 </t>
  </si>
  <si>
    <t>Santa Babara</t>
  </si>
  <si>
    <t xml:space="preserve">             2,631,927 </t>
  </si>
  <si>
    <t>TOTAL</t>
  </si>
  <si>
    <t xml:space="preserve">           33,368,377 </t>
  </si>
  <si>
    <t>Oando Total</t>
  </si>
  <si>
    <t>Jan 2024- Dec 2024</t>
  </si>
  <si>
    <t>(barrels)</t>
  </si>
  <si>
    <t>Egbema West &amp; Ugada</t>
  </si>
  <si>
    <t>Santa Barbara</t>
  </si>
  <si>
    <t xml:space="preserve">Biseni/Samabri </t>
  </si>
  <si>
    <t>Afuo/Ogbainbiri</t>
  </si>
  <si>
    <t>(Including Past Oil Recovery)</t>
  </si>
  <si>
    <t>Tebidaba / Opugbene</t>
  </si>
  <si>
    <t>Oshi / Ubie (Including Past Oil Recovery)</t>
  </si>
  <si>
    <t xml:space="preserve">Akri / Oguta </t>
  </si>
  <si>
    <t xml:space="preserve">             2,797,838.17 </t>
  </si>
  <si>
    <t>Cost/barrel</t>
  </si>
  <si>
    <t>Including Past Oil Recovery</t>
  </si>
  <si>
    <t>Volume (bbls)</t>
  </si>
  <si>
    <t>bbl/d</t>
  </si>
  <si>
    <t>FUSD (Core NOV with no CHA)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</si>
</sst>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</numFmts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1"/>
      <name val="Futura Medium"/>
      <charset val="134"/>
    </font>
    <font>
      <sz val="10"/>
      <name val="Futura Medium"/>
      <charset val="134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theme="6" tint="-0.499984740745262"/>
      </right>
      <top style="medium">
        <color auto="1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medium">
        <color auto="1"/>
      </top>
      <bottom/>
      <diagonal/>
    </border>
    <border>
      <left style="hair">
        <color theme="6" tint="-0.499984740745262"/>
      </left>
      <right/>
      <top style="medium">
        <color auto="1"/>
      </top>
      <bottom/>
      <diagonal/>
    </border>
    <border>
      <left style="hair">
        <color theme="6" tint="-0.49998474074526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theme="6" tint="-0.499984740745262"/>
      </right>
      <top style="medium">
        <color auto="1"/>
      </top>
      <bottom style="hair">
        <color theme="6" tint="-0.499984740745262"/>
      </bottom>
      <diagonal/>
    </border>
    <border>
      <left style="hair">
        <color theme="6" tint="-0.499984740745262"/>
      </left>
      <right/>
      <top style="medium">
        <color auto="1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auto="1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auto="1"/>
      </right>
      <top style="medium">
        <color auto="1"/>
      </top>
      <bottom style="hair">
        <color theme="6" tint="-0.499984740745262"/>
      </bottom>
      <diagonal/>
    </border>
    <border>
      <left style="medium">
        <color auto="1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/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auto="1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auto="1"/>
      </left>
      <right style="hair">
        <color theme="6" tint="-0.499984740745262"/>
      </right>
      <top style="hair">
        <color theme="6" tint="-0.499984740745262"/>
      </top>
      <bottom style="medium">
        <color auto="1"/>
      </bottom>
      <diagonal/>
    </border>
    <border>
      <left style="hair">
        <color theme="6" tint="-0.499984740745262"/>
      </left>
      <right/>
      <top style="hair">
        <color theme="6" tint="-0.499984740745262"/>
      </top>
      <bottom style="medium">
        <color auto="1"/>
      </bottom>
      <diagonal/>
    </border>
    <border>
      <left style="hair">
        <color theme="6" tint="-0.499984740745262"/>
      </left>
      <right style="medium">
        <color auto="1"/>
      </right>
      <top style="hair">
        <color theme="6" tint="-0.499984740745262"/>
      </top>
      <bottom style="medium">
        <color auto="1"/>
      </bottom>
      <diagonal/>
    </border>
    <border>
      <left style="medium">
        <color auto="1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2" borderId="8" xfId="0" applyFill="1" applyBorder="1"/>
    <xf numFmtId="43" fontId="3" fillId="0" borderId="0" xfId="1" applyFont="1"/>
    <xf numFmtId="0" fontId="2" fillId="0" borderId="0" xfId="0" applyFont="1"/>
    <xf numFmtId="0" fontId="5" fillId="0" borderId="0" xfId="2" applyFont="1"/>
    <xf numFmtId="43" fontId="6" fillId="0" borderId="0" xfId="2" applyNumberFormat="1" applyFont="1"/>
    <xf numFmtId="43" fontId="0" fillId="0" borderId="0" xfId="0" applyNumberFormat="1"/>
    <xf numFmtId="43" fontId="7" fillId="0" borderId="0" xfId="2" applyNumberFormat="1" applyFont="1"/>
    <xf numFmtId="43" fontId="8" fillId="0" borderId="0" xfId="2" applyNumberFormat="1" applyFont="1"/>
    <xf numFmtId="0" fontId="8" fillId="0" borderId="0" xfId="2" applyFont="1"/>
    <xf numFmtId="43" fontId="7" fillId="3" borderId="0" xfId="2" applyNumberFormat="1" applyFont="1" applyFill="1"/>
    <xf numFmtId="43" fontId="8" fillId="3" borderId="0" xfId="2" applyNumberFormat="1" applyFont="1" applyFill="1"/>
    <xf numFmtId="43" fontId="7" fillId="0" borderId="9" xfId="3" applyNumberFormat="1" applyFont="1" applyBorder="1" applyAlignment="1">
      <alignment horizontal="center" vertical="center" wrapText="1"/>
    </xf>
    <xf numFmtId="43" fontId="7" fillId="0" borderId="10" xfId="3" applyNumberFormat="1" applyFont="1" applyBorder="1" applyAlignment="1">
      <alignment horizontal="center" vertical="center" wrapText="1"/>
    </xf>
    <xf numFmtId="43" fontId="7" fillId="0" borderId="10" xfId="2" applyNumberFormat="1" applyFont="1" applyBorder="1" applyAlignment="1">
      <alignment horizontal="center" vertical="center" wrapText="1"/>
    </xf>
    <xf numFmtId="43" fontId="7" fillId="0" borderId="11" xfId="2" applyNumberFormat="1" applyFont="1" applyBorder="1" applyAlignment="1">
      <alignment horizontal="center" vertical="center" wrapText="1"/>
    </xf>
    <xf numFmtId="43" fontId="7" fillId="0" borderId="12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43" fontId="8" fillId="0" borderId="13" xfId="2" applyNumberFormat="1" applyFont="1" applyBorder="1"/>
    <xf numFmtId="43" fontId="8" fillId="0" borderId="14" xfId="2" applyNumberFormat="1" applyFont="1" applyBorder="1" applyAlignment="1">
      <alignment horizontal="center"/>
    </xf>
    <xf numFmtId="43" fontId="8" fillId="0" borderId="13" xfId="4" applyNumberFormat="1" applyFont="1" applyBorder="1" applyAlignment="1" applyProtection="1">
      <alignment horizontal="center"/>
      <protection locked="0"/>
    </xf>
    <xf numFmtId="43" fontId="8" fillId="0" borderId="15" xfId="4" applyNumberFormat="1" applyFont="1" applyFill="1" applyBorder="1" applyAlignment="1" applyProtection="1">
      <alignment horizontal="center"/>
      <protection locked="0"/>
    </xf>
    <xf numFmtId="43" fontId="8" fillId="0" borderId="14" xfId="4" applyNumberFormat="1" applyFont="1" applyFill="1" applyBorder="1" applyAlignment="1" applyProtection="1">
      <alignment horizontal="center"/>
      <protection locked="0"/>
    </xf>
    <xf numFmtId="43" fontId="8" fillId="0" borderId="16" xfId="4" applyNumberFormat="1" applyFont="1" applyFill="1" applyBorder="1" applyAlignment="1" applyProtection="1">
      <alignment horizontal="center"/>
      <protection locked="0"/>
    </xf>
    <xf numFmtId="165" fontId="8" fillId="0" borderId="0" xfId="2" applyNumberFormat="1" applyFont="1" applyAlignment="1" applyProtection="1">
      <alignment horizontal="center"/>
      <protection locked="0"/>
    </xf>
    <xf numFmtId="43" fontId="8" fillId="0" borderId="17" xfId="2" applyNumberFormat="1" applyFont="1" applyBorder="1"/>
    <xf numFmtId="43" fontId="8" fillId="0" borderId="18" xfId="2" applyNumberFormat="1" applyFont="1" applyBorder="1" applyAlignment="1">
      <alignment horizontal="center"/>
    </xf>
    <xf numFmtId="43" fontId="8" fillId="0" borderId="17" xfId="4" applyNumberFormat="1" applyFont="1" applyBorder="1" applyAlignment="1" applyProtection="1">
      <alignment horizontal="center"/>
      <protection locked="0"/>
    </xf>
    <xf numFmtId="43" fontId="8" fillId="0" borderId="19" xfId="4" applyNumberFormat="1" applyFont="1" applyBorder="1" applyAlignment="1" applyProtection="1">
      <alignment horizontal="center"/>
      <protection locked="0"/>
    </xf>
    <xf numFmtId="43" fontId="8" fillId="0" borderId="18" xfId="4" applyNumberFormat="1" applyFont="1" applyBorder="1" applyAlignment="1" applyProtection="1">
      <alignment horizontal="center"/>
      <protection locked="0"/>
    </xf>
    <xf numFmtId="43" fontId="8" fillId="0" borderId="20" xfId="4" applyNumberFormat="1" applyFont="1" applyBorder="1" applyAlignment="1" applyProtection="1">
      <alignment horizontal="center"/>
      <protection locked="0"/>
    </xf>
    <xf numFmtId="43" fontId="8" fillId="0" borderId="20" xfId="4" applyNumberFormat="1" applyFont="1" applyBorder="1" applyAlignment="1" applyProtection="1">
      <alignment horizontal="left"/>
      <protection locked="0"/>
    </xf>
    <xf numFmtId="43" fontId="8" fillId="0" borderId="19" xfId="4" applyNumberFormat="1" applyFont="1" applyFill="1" applyBorder="1" applyAlignment="1" applyProtection="1">
      <alignment horizontal="center"/>
      <protection locked="0"/>
    </xf>
    <xf numFmtId="43" fontId="8" fillId="0" borderId="17" xfId="2" applyNumberFormat="1" applyFont="1" applyBorder="1" applyAlignment="1" applyProtection="1">
      <alignment vertical="center" wrapText="1"/>
      <protection locked="0"/>
    </xf>
    <xf numFmtId="43" fontId="8" fillId="0" borderId="17" xfId="4" applyNumberFormat="1" applyFont="1" applyBorder="1" applyProtection="1">
      <protection locked="0"/>
    </xf>
    <xf numFmtId="2" fontId="8" fillId="0" borderId="0" xfId="2" applyNumberFormat="1" applyFont="1" applyProtection="1">
      <protection locked="0"/>
    </xf>
    <xf numFmtId="43" fontId="8" fillId="0" borderId="20" xfId="4" applyNumberFormat="1" applyFont="1" applyBorder="1" applyProtection="1">
      <protection locked="0"/>
    </xf>
    <xf numFmtId="164" fontId="8" fillId="0" borderId="0" xfId="2" applyNumberFormat="1" applyFont="1" applyProtection="1">
      <protection locked="0"/>
    </xf>
    <xf numFmtId="43" fontId="8" fillId="0" borderId="19" xfId="4" applyNumberFormat="1" applyFont="1" applyBorder="1" applyProtection="1">
      <protection locked="0"/>
    </xf>
    <xf numFmtId="165" fontId="8" fillId="0" borderId="0" xfId="2" applyNumberFormat="1" applyFont="1" applyProtection="1">
      <protection locked="0"/>
    </xf>
    <xf numFmtId="43" fontId="8" fillId="0" borderId="17" xfId="2" applyNumberFormat="1" applyFont="1" applyBorder="1" applyAlignment="1">
      <alignment vertical="center" wrapText="1"/>
    </xf>
    <xf numFmtId="43" fontId="8" fillId="0" borderId="19" xfId="5" applyFont="1" applyBorder="1" applyProtection="1">
      <protection locked="0"/>
    </xf>
    <xf numFmtId="43" fontId="8" fillId="0" borderId="19" xfId="5" applyFont="1" applyFill="1" applyBorder="1" applyProtection="1">
      <protection locked="0"/>
    </xf>
    <xf numFmtId="43" fontId="8" fillId="0" borderId="18" xfId="5" applyFont="1" applyBorder="1" applyProtection="1">
      <protection locked="0"/>
    </xf>
    <xf numFmtId="43" fontId="8" fillId="0" borderId="20" xfId="5" applyFont="1" applyBorder="1" applyProtection="1">
      <protection locked="0"/>
    </xf>
    <xf numFmtId="43" fontId="8" fillId="0" borderId="21" xfId="2" applyNumberFormat="1" applyFont="1" applyBorder="1" applyAlignment="1">
      <alignment vertical="center" wrapText="1"/>
    </xf>
    <xf numFmtId="43" fontId="8" fillId="0" borderId="22" xfId="2" applyNumberFormat="1" applyFont="1" applyBorder="1" applyAlignment="1">
      <alignment horizontal="center"/>
    </xf>
    <xf numFmtId="43" fontId="8" fillId="0" borderId="21" xfId="4" applyNumberFormat="1" applyFont="1" applyBorder="1" applyProtection="1">
      <protection locked="0"/>
    </xf>
    <xf numFmtId="43" fontId="8" fillId="0" borderId="7" xfId="2" applyNumberFormat="1" applyFont="1" applyBorder="1" applyProtection="1">
      <protection locked="0"/>
    </xf>
    <xf numFmtId="43" fontId="8" fillId="0" borderId="23" xfId="4" applyNumberFormat="1" applyFont="1" applyBorder="1" applyProtection="1">
      <protection locked="0"/>
    </xf>
    <xf numFmtId="0" fontId="8" fillId="0" borderId="0" xfId="2" applyFont="1" applyProtection="1">
      <protection locked="0"/>
    </xf>
    <xf numFmtId="2" fontId="0" fillId="0" borderId="0" xfId="0" applyNumberFormat="1"/>
    <xf numFmtId="9" fontId="0" fillId="0" borderId="0" xfId="0" applyNumberFormat="1" applyAlignment="1">
      <alignment horizontal="center"/>
    </xf>
    <xf numFmtId="0" fontId="9" fillId="5" borderId="1" xfId="0" applyFont="1" applyFill="1" applyBorder="1"/>
    <xf numFmtId="2" fontId="0" fillId="5" borderId="2" xfId="0" applyNumberFormat="1" applyFont="1" applyFill="1" applyBorder="1"/>
    <xf numFmtId="0" fontId="9" fillId="5" borderId="4" xfId="0" applyFont="1" applyFill="1" applyBorder="1"/>
    <xf numFmtId="2" fontId="0" fillId="5" borderId="0" xfId="0" applyNumberFormat="1" applyFont="1" applyFill="1" applyBorder="1"/>
    <xf numFmtId="0" fontId="9" fillId="5" borderId="6" xfId="0" applyFont="1" applyFill="1" applyBorder="1"/>
    <xf numFmtId="0" fontId="9" fillId="5" borderId="2" xfId="0" applyFont="1" applyFill="1" applyBorder="1"/>
    <xf numFmtId="0" fontId="9" fillId="5" borderId="3" xfId="0" applyFont="1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9" fillId="5" borderId="7" xfId="0" applyFont="1" applyFill="1" applyBorder="1"/>
    <xf numFmtId="0" fontId="9" fillId="5" borderId="8" xfId="0" applyFont="1" applyFill="1" applyBorder="1"/>
    <xf numFmtId="0" fontId="9" fillId="5" borderId="0" xfId="0" applyFont="1" applyFill="1" applyBorder="1"/>
    <xf numFmtId="0" fontId="9" fillId="5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0" borderId="1" xfId="0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4" borderId="0" xfId="0" applyFont="1" applyFill="1" applyBorder="1"/>
    <xf numFmtId="2" fontId="0" fillId="4" borderId="0" xfId="0" applyNumberFormat="1" applyFont="1" applyFill="1" applyBorder="1"/>
    <xf numFmtId="0" fontId="0" fillId="0" borderId="3" xfId="0" applyBorder="1"/>
    <xf numFmtId="0" fontId="0" fillId="0" borderId="8" xfId="0" applyBorder="1"/>
    <xf numFmtId="43" fontId="8" fillId="0" borderId="24" xfId="2" applyNumberFormat="1" applyFont="1" applyBorder="1"/>
    <xf numFmtId="43" fontId="8" fillId="0" borderId="25" xfId="4" applyNumberFormat="1" applyFont="1" applyBorder="1" applyAlignment="1" applyProtection="1">
      <alignment horizontal="center"/>
      <protection locked="0"/>
    </xf>
    <xf numFmtId="43" fontId="8" fillId="0" borderId="25" xfId="4" applyNumberFormat="1" applyFont="1" applyFill="1" applyBorder="1" applyAlignment="1" applyProtection="1">
      <alignment horizontal="center"/>
      <protection locked="0"/>
    </xf>
    <xf numFmtId="43" fontId="8" fillId="0" borderId="21" xfId="2" applyNumberFormat="1" applyFont="1" applyBorder="1"/>
    <xf numFmtId="2" fontId="0" fillId="4" borderId="7" xfId="0" applyNumberFormat="1" applyFill="1" applyBorder="1"/>
    <xf numFmtId="0" fontId="0" fillId="4" borderId="7" xfId="0" applyFill="1" applyBorder="1"/>
    <xf numFmtId="2" fontId="0" fillId="4" borderId="0" xfId="0" applyNumberFormat="1" applyFill="1" applyBorder="1"/>
    <xf numFmtId="2" fontId="0" fillId="6" borderId="2" xfId="0" applyNumberFormat="1" applyFill="1" applyBorder="1"/>
    <xf numFmtId="0" fontId="9" fillId="7" borderId="0" xfId="0" applyFont="1" applyFill="1"/>
    <xf numFmtId="2" fontId="9" fillId="5" borderId="27" xfId="0" applyNumberFormat="1" applyFont="1" applyFill="1" applyBorder="1"/>
    <xf numFmtId="0" fontId="9" fillId="5" borderId="26" xfId="0" applyFont="1" applyFill="1" applyBorder="1"/>
    <xf numFmtId="0" fontId="9" fillId="5" borderId="27" xfId="0" applyFont="1" applyFill="1" applyBorder="1"/>
    <xf numFmtId="0" fontId="9" fillId="5" borderId="28" xfId="0" applyFont="1" applyFill="1" applyBorder="1"/>
    <xf numFmtId="2" fontId="0" fillId="4" borderId="2" xfId="0" applyNumberFormat="1" applyFont="1" applyFill="1" applyBorder="1"/>
    <xf numFmtId="0" fontId="9" fillId="0" borderId="0" xfId="0" applyFont="1" applyAlignment="1">
      <alignment horizontal="left"/>
    </xf>
    <xf numFmtId="0" fontId="0" fillId="0" borderId="29" xfId="0" applyBorder="1" applyAlignment="1">
      <alignment horizontal="center"/>
    </xf>
    <xf numFmtId="166" fontId="0" fillId="0" borderId="30" xfId="0" applyNumberFormat="1" applyBorder="1"/>
    <xf numFmtId="0" fontId="0" fillId="0" borderId="29" xfId="0" applyBorder="1"/>
    <xf numFmtId="0" fontId="0" fillId="0" borderId="30" xfId="0" applyBorder="1"/>
    <xf numFmtId="2" fontId="0" fillId="0" borderId="30" xfId="0" applyNumberFormat="1" applyBorder="1"/>
    <xf numFmtId="0" fontId="0" fillId="0" borderId="31" xfId="0" applyBorder="1"/>
    <xf numFmtId="2" fontId="9" fillId="4" borderId="27" xfId="0" applyNumberFormat="1" applyFont="1" applyFill="1" applyBorder="1"/>
    <xf numFmtId="2" fontId="0" fillId="5" borderId="3" xfId="0" applyNumberFormat="1" applyFont="1" applyFill="1" applyBorder="1"/>
    <xf numFmtId="43" fontId="0" fillId="5" borderId="5" xfId="0" applyNumberFormat="1" applyFont="1" applyFill="1" applyBorder="1"/>
    <xf numFmtId="0" fontId="0" fillId="4" borderId="5" xfId="0" applyFont="1" applyFill="1" applyBorder="1"/>
    <xf numFmtId="2" fontId="9" fillId="5" borderId="28" xfId="0" applyNumberFormat="1" applyFont="1" applyFill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4" borderId="6" xfId="0" applyNumberFormat="1" applyFill="1" applyBorder="1"/>
    <xf numFmtId="2" fontId="0" fillId="0" borderId="8" xfId="0" applyNumberFormat="1" applyBorder="1"/>
    <xf numFmtId="2" fontId="0" fillId="4" borderId="1" xfId="0" applyNumberFormat="1" applyFont="1" applyFill="1" applyBorder="1"/>
    <xf numFmtId="2" fontId="0" fillId="5" borderId="4" xfId="0" applyNumberFormat="1" applyFont="1" applyFill="1" applyBorder="1"/>
    <xf numFmtId="2" fontId="9" fillId="5" borderId="26" xfId="0" applyNumberFormat="1" applyFont="1" applyFill="1" applyBorder="1"/>
    <xf numFmtId="0" fontId="9" fillId="0" borderId="26" xfId="0" applyFont="1" applyBorder="1"/>
    <xf numFmtId="2" fontId="9" fillId="0" borderId="27" xfId="0" applyNumberFormat="1" applyFont="1" applyBorder="1"/>
    <xf numFmtId="2" fontId="9" fillId="0" borderId="28" xfId="0" applyNumberFormat="1" applyFont="1" applyBorder="1"/>
    <xf numFmtId="0" fontId="0" fillId="0" borderId="1" xfId="0" applyFill="1" applyBorder="1"/>
    <xf numFmtId="2" fontId="0" fillId="5" borderId="8" xfId="0" applyNumberFormat="1" applyFill="1" applyBorder="1"/>
    <xf numFmtId="0" fontId="0" fillId="0" borderId="0" xfId="0" applyFill="1" applyBorder="1"/>
    <xf numFmtId="2" fontId="0" fillId="5" borderId="5" xfId="0" applyNumberFormat="1" applyFill="1" applyBorder="1"/>
    <xf numFmtId="0" fontId="9" fillId="0" borderId="27" xfId="0" applyFont="1" applyBorder="1"/>
    <xf numFmtId="0" fontId="0" fillId="0" borderId="6" xfId="0" applyFill="1" applyBorder="1"/>
    <xf numFmtId="0" fontId="10" fillId="0" borderId="32" xfId="0" applyFont="1" applyBorder="1" applyAlignment="1">
      <alignment horizontal="center" vertical="center"/>
    </xf>
    <xf numFmtId="0" fontId="11" fillId="0" borderId="31" xfId="0" applyFont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12" fillId="9" borderId="3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vertical="center"/>
    </xf>
    <xf numFmtId="0" fontId="13" fillId="0" borderId="8" xfId="0" applyFont="1" applyBorder="1" applyAlignment="1">
      <alignment horizontal="right" vertical="center"/>
    </xf>
    <xf numFmtId="4" fontId="13" fillId="10" borderId="8" xfId="0" applyNumberFormat="1" applyFont="1" applyFill="1" applyBorder="1" applyAlignment="1">
      <alignment horizontal="right" vertical="center"/>
    </xf>
    <xf numFmtId="0" fontId="12" fillId="11" borderId="31" xfId="0" applyFont="1" applyFill="1" applyBorder="1" applyAlignment="1">
      <alignment vertical="center"/>
    </xf>
    <xf numFmtId="3" fontId="13" fillId="0" borderId="8" xfId="0" applyNumberFormat="1" applyFont="1" applyBorder="1" applyAlignment="1">
      <alignment horizontal="right" vertical="center"/>
    </xf>
    <xf numFmtId="3" fontId="13" fillId="3" borderId="8" xfId="0" applyNumberFormat="1" applyFont="1" applyFill="1" applyBorder="1" applyAlignment="1">
      <alignment horizontal="right" vertical="center"/>
    </xf>
    <xf numFmtId="0" fontId="12" fillId="11" borderId="30" xfId="0" applyFont="1" applyFill="1" applyBorder="1" applyAlignment="1">
      <alignment vertical="center" wrapText="1"/>
    </xf>
    <xf numFmtId="0" fontId="12" fillId="11" borderId="31" xfId="0" applyFont="1" applyFill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0" fillId="0" borderId="33" xfId="0" applyBorder="1"/>
    <xf numFmtId="3" fontId="0" fillId="0" borderId="34" xfId="0" applyNumberFormat="1" applyBorder="1"/>
    <xf numFmtId="3" fontId="0" fillId="0" borderId="35" xfId="0" applyNumberFormat="1" applyBorder="1"/>
    <xf numFmtId="0" fontId="10" fillId="0" borderId="27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0" fillId="0" borderId="34" xfId="0" applyBorder="1"/>
    <xf numFmtId="0" fontId="9" fillId="0" borderId="36" xfId="0" applyFont="1" applyBorder="1"/>
    <xf numFmtId="2" fontId="0" fillId="0" borderId="31" xfId="0" applyNumberFormat="1" applyBorder="1" applyAlignment="1">
      <alignment horizontal="center"/>
    </xf>
    <xf numFmtId="16" fontId="12" fillId="8" borderId="29" xfId="0" applyNumberFormat="1" applyFont="1" applyFill="1" applyBorder="1" applyAlignment="1">
      <alignment horizontal="center" vertical="center"/>
    </xf>
    <xf numFmtId="16" fontId="12" fillId="8" borderId="31" xfId="0" applyNumberFormat="1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3" fontId="13" fillId="0" borderId="29" xfId="0" applyNumberFormat="1" applyFont="1" applyBorder="1" applyAlignment="1">
      <alignment horizontal="right" vertical="center"/>
    </xf>
    <xf numFmtId="3" fontId="13" fillId="0" borderId="31" xfId="0" applyNumberFormat="1" applyFont="1" applyBorder="1" applyAlignment="1">
      <alignment horizontal="right" vertical="center"/>
    </xf>
    <xf numFmtId="0" fontId="13" fillId="0" borderId="29" xfId="0" applyFont="1" applyBorder="1" applyAlignment="1">
      <alignment horizontal="right" vertical="center"/>
    </xf>
    <xf numFmtId="0" fontId="13" fillId="0" borderId="31" xfId="0" applyFont="1" applyBorder="1" applyAlignment="1">
      <alignment horizontal="right" vertical="center"/>
    </xf>
    <xf numFmtId="3" fontId="13" fillId="3" borderId="29" xfId="0" applyNumberFormat="1" applyFont="1" applyFill="1" applyBorder="1" applyAlignment="1">
      <alignment horizontal="right" vertical="center"/>
    </xf>
    <xf numFmtId="3" fontId="13" fillId="3" borderId="31" xfId="0" applyNumberFormat="1" applyFont="1" applyFill="1" applyBorder="1" applyAlignment="1">
      <alignment horizontal="right" vertical="center"/>
    </xf>
    <xf numFmtId="4" fontId="13" fillId="10" borderId="29" xfId="0" applyNumberFormat="1" applyFont="1" applyFill="1" applyBorder="1" applyAlignment="1">
      <alignment horizontal="right" vertical="center"/>
    </xf>
    <xf numFmtId="4" fontId="13" fillId="10" borderId="31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9" xfId="0" applyFont="1" applyBorder="1"/>
    <xf numFmtId="0" fontId="9" fillId="0" borderId="40" xfId="0" applyFont="1" applyBorder="1" applyAlignment="1">
      <alignment horizontal="center"/>
    </xf>
    <xf numFmtId="0" fontId="0" fillId="12" borderId="4" xfId="0" applyFont="1" applyFill="1" applyBorder="1"/>
    <xf numFmtId="0" fontId="0" fillId="12" borderId="0" xfId="0" applyFont="1" applyFill="1" applyBorder="1"/>
    <xf numFmtId="2" fontId="9" fillId="0" borderId="37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4" fontId="9" fillId="0" borderId="37" xfId="0" applyNumberFormat="1" applyFont="1" applyBorder="1"/>
    <xf numFmtId="0" fontId="9" fillId="0" borderId="37" xfId="0" applyFont="1" applyBorder="1"/>
    <xf numFmtId="2" fontId="9" fillId="0" borderId="42" xfId="0" applyNumberFormat="1" applyFont="1" applyBorder="1" applyAlignment="1">
      <alignment horizontal="center"/>
    </xf>
    <xf numFmtId="2" fontId="9" fillId="0" borderId="43" xfId="0" applyNumberFormat="1" applyFont="1" applyBorder="1" applyAlignment="1">
      <alignment horizontal="center"/>
    </xf>
    <xf numFmtId="2" fontId="9" fillId="0" borderId="44" xfId="0" applyNumberFormat="1" applyFont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4" fontId="9" fillId="2" borderId="38" xfId="0" applyNumberFormat="1" applyFont="1" applyFill="1" applyBorder="1"/>
    <xf numFmtId="0" fontId="0" fillId="0" borderId="8" xfId="0" applyBorder="1" applyAlignment="1">
      <alignment horizontal="center"/>
    </xf>
    <xf numFmtId="2" fontId="9" fillId="2" borderId="7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12" borderId="36" xfId="0" applyFont="1" applyFill="1" applyBorder="1" applyAlignment="1">
      <alignment wrapText="1"/>
    </xf>
    <xf numFmtId="2" fontId="9" fillId="12" borderId="32" xfId="0" applyNumberFormat="1" applyFont="1" applyFill="1" applyBorder="1" applyAlignment="1">
      <alignment horizontal="center"/>
    </xf>
  </cellXfs>
  <cellStyles count="6">
    <cellStyle name="Comma" xfId="1" builtinId="3"/>
    <cellStyle name="Comma 11" xfId="5" xr:uid="{EE14C24B-7109-4D5A-ADED-5DB5484DEC8D}"/>
    <cellStyle name="Comma 8" xfId="4" xr:uid="{802BBB6F-AE62-4C40-9103-91B71597201B}"/>
    <cellStyle name="Normal" xfId="0" builtinId="0"/>
    <cellStyle name="Normal 10 2 2" xfId="2" xr:uid="{56793997-6979-4FF9-BF41-2BB0EA7EF3E6}"/>
    <cellStyle name="Normal 9 8 8 2" xfId="3" xr:uid="{A6623439-F5F7-4D0C-86B1-821611DF2D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2025 SPDC</a:t>
            </a:r>
            <a:r>
              <a:rPr lang="en-US" b="1" baseline="0"/>
              <a:t> JV PROMISE - NOV and Ambition promise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53793921244136E-2"/>
          <c:y val="9.1835318237843064E-2"/>
          <c:w val="0.87497645568990456"/>
          <c:h val="0.82352637265670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'Production Promise'!$A$14</c:f>
              <c:strCache>
                <c:ptCount val="1"/>
                <c:pt idx="0">
                  <c:v>Total NOV SPDC JV Promise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'Production Promise'!$B$4:$N$4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Yr Ave</c:v>
                </c:pt>
              </c:strCache>
            </c:strRef>
          </c:cat>
          <c:val>
            <c:numRef>
              <c:f>'Production Promise'!$B$14:$N$14</c:f>
              <c:numCache>
                <c:formatCode>General</c:formatCode>
                <c:ptCount val="13"/>
                <c:pt idx="0">
                  <c:v>7.5</c:v>
                </c:pt>
                <c:pt idx="1">
                  <c:v>7.5</c:v>
                </c:pt>
                <c:pt idx="2">
                  <c:v>7.6000000000000005</c:v>
                </c:pt>
                <c:pt idx="3">
                  <c:v>7.8000000000000007</c:v>
                </c:pt>
                <c:pt idx="4">
                  <c:v>7.7</c:v>
                </c:pt>
                <c:pt idx="5">
                  <c:v>7.7</c:v>
                </c:pt>
                <c:pt idx="6">
                  <c:v>7.8000000000000007</c:v>
                </c:pt>
                <c:pt idx="7">
                  <c:v>7.8000000000000007</c:v>
                </c:pt>
                <c:pt idx="8">
                  <c:v>7.9</c:v>
                </c:pt>
                <c:pt idx="9">
                  <c:v>7.9</c:v>
                </c:pt>
                <c:pt idx="10">
                  <c:v>7.8000000000000007</c:v>
                </c:pt>
                <c:pt idx="11">
                  <c:v>7.6999999999999993</c:v>
                </c:pt>
                <c:pt idx="12">
                  <c:v>7.7000000000000011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E-436F-A242-443631927964}"/>
            </c:ext>
          </c:extLst>
        </c:ser>
        <c:ser>
          <c:idx val="1"/>
          <c:order val="1"/>
          <c:tx>
            <c:strRef>
              <c:f>'Production Promise'!$A$27</c:f>
              <c:strCache>
                <c:ptCount val="1"/>
                <c:pt idx="0">
                  <c:v>Upside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'Production Promise'!$B$27:$N$27</c:f>
              <c:numCache>
                <c:formatCode>0.00</c:formatCode>
                <c:ptCount val="13"/>
                <c:pt idx="3">
                  <c:v>1.9641718728366442</c:v>
                </c:pt>
                <c:pt idx="4">
                  <c:v>2.5987041851421386</c:v>
                </c:pt>
                <c:pt idx="5">
                  <c:v>3.0030971529171842</c:v>
                </c:pt>
                <c:pt idx="6">
                  <c:v>3.7219249505636398</c:v>
                </c:pt>
                <c:pt idx="7">
                  <c:v>4.3214649417923603</c:v>
                </c:pt>
                <c:pt idx="8">
                  <c:v>4.240770525403855</c:v>
                </c:pt>
                <c:pt idx="9">
                  <c:v>4.6394725313376473</c:v>
                </c:pt>
                <c:pt idx="10">
                  <c:v>4.6945128750526841</c:v>
                </c:pt>
                <c:pt idx="11">
                  <c:v>5.885756982456833</c:v>
                </c:pt>
                <c:pt idx="12">
                  <c:v>2.7597231797652491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E-436F-A242-443631927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32430944"/>
        <c:axId val="1832431424"/>
      </c:barChart>
      <c:catAx>
        <c:axId val="18324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1424"/>
        <c:crosses val="autoZero"/>
        <c:auto val="1"/>
        <c:lblAlgn val="ctr"/>
        <c:lblOffset val="100"/>
        <c:noMultiLvlLbl val="0"/>
      </c:catAx>
      <c:valAx>
        <c:axId val="183243142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Oil rate kbopd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035327719027235"/>
          <c:y val="0.13397062395914855"/>
          <c:w val="0.2187251600124622"/>
          <c:h val="8.3566020056874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</a:t>
            </a:r>
            <a:r>
              <a:rPr lang="en-US" b="1" baseline="0"/>
              <a:t> Gas Promise 2025 SPDC JV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Promise'!$A$41</c:f>
              <c:strCache>
                <c:ptCount val="1"/>
                <c:pt idx="0">
                  <c:v>Akri (Akri-Oguta)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'Production Promise'!$B$40:$N$40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Yr Ave</c:v>
                </c:pt>
              </c:strCache>
            </c:strRef>
          </c:cat>
          <c:val>
            <c:numRef>
              <c:f>'Production Promise'!$B$41:$N$41</c:f>
              <c:numCache>
                <c:formatCode>0.00</c:formatCode>
                <c:ptCount val="13"/>
                <c:pt idx="0">
                  <c:v>3.4485100000000002</c:v>
                </c:pt>
                <c:pt idx="1">
                  <c:v>3.4325200000000002</c:v>
                </c:pt>
                <c:pt idx="2">
                  <c:v>3.4218600000000001</c:v>
                </c:pt>
                <c:pt idx="3">
                  <c:v>3.4058700000000002</c:v>
                </c:pt>
                <c:pt idx="4">
                  <c:v>3.3952100000000001</c:v>
                </c:pt>
                <c:pt idx="5">
                  <c:v>3.3792200000000001</c:v>
                </c:pt>
                <c:pt idx="6">
                  <c:v>3.3685600000000004</c:v>
                </c:pt>
                <c:pt idx="7">
                  <c:v>3.3525700000000001</c:v>
                </c:pt>
                <c:pt idx="8">
                  <c:v>3.3419099999999999</c:v>
                </c:pt>
                <c:pt idx="9">
                  <c:v>3.3259200000000004</c:v>
                </c:pt>
                <c:pt idx="10">
                  <c:v>3.3152599999999999</c:v>
                </c:pt>
                <c:pt idx="11">
                  <c:v>3.2992700000000004</c:v>
                </c:pt>
                <c:pt idx="12">
                  <c:v>3.3738900000000007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D-480A-887C-36BA94A363E6}"/>
            </c:ext>
          </c:extLst>
        </c:ser>
        <c:ser>
          <c:idx val="1"/>
          <c:order val="1"/>
          <c:tx>
            <c:strRef>
              <c:f>'Production Promise'!$A$42</c:f>
              <c:strCache>
                <c:ptCount val="1"/>
                <c:pt idx="0">
                  <c:v>Idu (Samabri-Biseni)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Promise'!$B$40:$N$40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Yr Ave</c:v>
                </c:pt>
              </c:strCache>
            </c:strRef>
          </c:cat>
          <c:val>
            <c:numRef>
              <c:f>'Production Promise'!$B$42:$N$42</c:f>
              <c:numCache>
                <c:formatCode>0.00</c:formatCode>
                <c:ptCount val="13"/>
                <c:pt idx="0">
                  <c:v>3.3484050000000001</c:v>
                </c:pt>
                <c:pt idx="1">
                  <c:v>3.3265199999999999</c:v>
                </c:pt>
                <c:pt idx="2">
                  <c:v>3.3046350000000002</c:v>
                </c:pt>
                <c:pt idx="3">
                  <c:v>3.2827500000000001</c:v>
                </c:pt>
                <c:pt idx="4">
                  <c:v>3.2535700000000003</c:v>
                </c:pt>
                <c:pt idx="5">
                  <c:v>4.1873300000000002</c:v>
                </c:pt>
                <c:pt idx="6">
                  <c:v>4.1654450000000001</c:v>
                </c:pt>
                <c:pt idx="7">
                  <c:v>4.1362649999999999</c:v>
                </c:pt>
                <c:pt idx="8">
                  <c:v>4.1143799999999997</c:v>
                </c:pt>
                <c:pt idx="9">
                  <c:v>4.6833900000000002</c:v>
                </c:pt>
                <c:pt idx="10">
                  <c:v>4.65421</c:v>
                </c:pt>
                <c:pt idx="11">
                  <c:v>4.6250299999999998</c:v>
                </c:pt>
                <c:pt idx="12">
                  <c:v>3.9234941666666665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D-480A-887C-36BA94A363E6}"/>
            </c:ext>
          </c:extLst>
        </c:ser>
        <c:ser>
          <c:idx val="2"/>
          <c:order val="2"/>
          <c:tx>
            <c:strRef>
              <c:f>'Production Promise'!$A$43</c:f>
              <c:strCache>
                <c:ptCount val="1"/>
                <c:pt idx="0">
                  <c:v>Ogbainbiri (Afuo-Ogbainbiri)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'Production Promise'!$B$40:$N$40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Yr Ave</c:v>
                </c:pt>
              </c:strCache>
            </c:strRef>
          </c:cat>
          <c:val>
            <c:numRef>
              <c:f>'Production Promise'!$B$43:$N$43</c:f>
              <c:numCache>
                <c:formatCode>0.00</c:formatCode>
                <c:ptCount val="13"/>
                <c:pt idx="0">
                  <c:v>0.22500000000000001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0.57499999999999996</c:v>
                </c:pt>
                <c:pt idx="8">
                  <c:v>0.57499999999999996</c:v>
                </c:pt>
                <c:pt idx="9">
                  <c:v>0.57499999999999996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0.56041666666666667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D-480A-887C-36BA94A363E6}"/>
            </c:ext>
          </c:extLst>
        </c:ser>
        <c:ser>
          <c:idx val="3"/>
          <c:order val="3"/>
          <c:tx>
            <c:strRef>
              <c:f>'Production Promise'!$A$44</c:f>
              <c:strCache>
                <c:ptCount val="1"/>
                <c:pt idx="0">
                  <c:v>Oshi (Usie-Oshi)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'Production Promise'!$B$40:$N$40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Yr Ave</c:v>
                </c:pt>
              </c:strCache>
            </c:strRef>
          </c:cat>
          <c:val>
            <c:numRef>
              <c:f>'Production Promise'!$B$44:$N$44</c:f>
              <c:numCache>
                <c:formatCode>0.00</c:formatCode>
                <c:ptCount val="13"/>
                <c:pt idx="0">
                  <c:v>0.81900000000000006</c:v>
                </c:pt>
                <c:pt idx="1">
                  <c:v>0.77349999999999997</c:v>
                </c:pt>
                <c:pt idx="2">
                  <c:v>0.77349999999999997</c:v>
                </c:pt>
                <c:pt idx="3">
                  <c:v>1.5015000000000001</c:v>
                </c:pt>
                <c:pt idx="4">
                  <c:v>2.1840000000000002</c:v>
                </c:pt>
                <c:pt idx="5">
                  <c:v>3.0485000000000002</c:v>
                </c:pt>
                <c:pt idx="6">
                  <c:v>3.2760000000000002</c:v>
                </c:pt>
                <c:pt idx="7">
                  <c:v>22.204000000000001</c:v>
                </c:pt>
                <c:pt idx="8">
                  <c:v>23.296000000000003</c:v>
                </c:pt>
                <c:pt idx="9">
                  <c:v>24.661000000000001</c:v>
                </c:pt>
                <c:pt idx="10">
                  <c:v>24.5245</c:v>
                </c:pt>
                <c:pt idx="11">
                  <c:v>24.388000000000002</c:v>
                </c:pt>
                <c:pt idx="12">
                  <c:v>10.954124999999999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D-480A-887C-36BA94A363E6}"/>
            </c:ext>
          </c:extLst>
        </c:ser>
        <c:ser>
          <c:idx val="4"/>
          <c:order val="4"/>
          <c:tx>
            <c:strRef>
              <c:f>'Production Promise'!$A$45</c:f>
              <c:strCache>
                <c:ptCount val="1"/>
                <c:pt idx="0">
                  <c:v>Tebidaba-Opugbene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Promise'!$B$40:$N$40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Yr Ave</c:v>
                </c:pt>
              </c:strCache>
            </c:strRef>
          </c:cat>
          <c:val>
            <c:numRef>
              <c:f>'Production Promise'!$B$45:$N$45</c:f>
              <c:numCache>
                <c:formatCode>0.00</c:formatCode>
                <c:ptCount val="13"/>
                <c:pt idx="0">
                  <c:v>0.11778</c:v>
                </c:pt>
                <c:pt idx="1">
                  <c:v>0.11627</c:v>
                </c:pt>
                <c:pt idx="2">
                  <c:v>0.11476</c:v>
                </c:pt>
                <c:pt idx="3">
                  <c:v>0.11324999999999999</c:v>
                </c:pt>
                <c:pt idx="4">
                  <c:v>0.21139999999999998</c:v>
                </c:pt>
                <c:pt idx="5">
                  <c:v>0.20837999999999998</c:v>
                </c:pt>
                <c:pt idx="6">
                  <c:v>0.20536000000000001</c:v>
                </c:pt>
                <c:pt idx="7">
                  <c:v>0.20385</c:v>
                </c:pt>
                <c:pt idx="8">
                  <c:v>0.20083000000000001</c:v>
                </c:pt>
                <c:pt idx="9">
                  <c:v>0.19781000000000001</c:v>
                </c:pt>
                <c:pt idx="10">
                  <c:v>0.1963</c:v>
                </c:pt>
                <c:pt idx="11">
                  <c:v>0.19328000000000001</c:v>
                </c:pt>
                <c:pt idx="12">
                  <c:v>0.17327250000000002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D-480A-887C-36BA94A3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6695136"/>
        <c:axId val="1206843120"/>
      </c:barChart>
      <c:scatterChart>
        <c:scatterStyle val="lineMarker"/>
        <c:varyColors val="0"/>
        <c:ser>
          <c:idx val="5"/>
          <c:order val="5"/>
          <c:tx>
            <c:strRef>
              <c:f>'Production Promise'!$A$46</c:f>
              <c:strCache>
                <c:ptCount val="1"/>
                <c:pt idx="0">
                  <c:v>Total Oando Gas Promise  SPDC JV (MMscf)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'Production Promise'!$B$40:$N$40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Yr Ave</c:v>
                </c:pt>
              </c:strCache>
            </c:strRef>
          </c:xVal>
          <c:yVal>
            <c:numRef>
              <c:f>'Production Promise'!$B$46:$N$46</c:f>
              <c:numCache>
                <c:formatCode>0.00</c:formatCode>
                <c:ptCount val="13"/>
                <c:pt idx="0">
                  <c:v>7.9586949999999996</c:v>
                </c:pt>
                <c:pt idx="1">
                  <c:v>8.273810000000001</c:v>
                </c:pt>
                <c:pt idx="2">
                  <c:v>8.2397550000000006</c:v>
                </c:pt>
                <c:pt idx="3">
                  <c:v>8.928370000000001</c:v>
                </c:pt>
                <c:pt idx="4">
                  <c:v>9.6441800000000004</c:v>
                </c:pt>
                <c:pt idx="5">
                  <c:v>11.423430000000002</c:v>
                </c:pt>
                <c:pt idx="6">
                  <c:v>11.615365000000001</c:v>
                </c:pt>
                <c:pt idx="7">
                  <c:v>30.471684999999997</c:v>
                </c:pt>
                <c:pt idx="8">
                  <c:v>31.528120000000001</c:v>
                </c:pt>
                <c:pt idx="9">
                  <c:v>33.44312</c:v>
                </c:pt>
                <c:pt idx="10">
                  <c:v>33.240270000000002</c:v>
                </c:pt>
                <c:pt idx="11">
                  <c:v>33.055580000000006</c:v>
                </c:pt>
                <c:pt idx="12">
                  <c:v>18.985198333333333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D-480A-887C-36BA94A3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51520"/>
        <c:axId val="1521051040"/>
      </c:scatterChart>
      <c:catAx>
        <c:axId val="12066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43120"/>
        <c:crosses val="autoZero"/>
        <c:auto val="1"/>
        <c:lblAlgn val="ctr"/>
        <c:lblOffset val="100"/>
        <c:noMultiLvlLbl val="0"/>
      </c:catAx>
      <c:valAx>
        <c:axId val="12068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Gas Rate (MMscf/d)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95136"/>
        <c:crosses val="autoZero"/>
        <c:crossBetween val="between"/>
      </c:valAx>
      <c:valAx>
        <c:axId val="1521051040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1521051520"/>
        <c:crosses val="max"/>
        <c:crossBetween val="midCat"/>
      </c:valAx>
      <c:valAx>
        <c:axId val="1521051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2105104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NOV Assets Cost/barrel - 2024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Cost Accrual'!$D$5</c:f>
              <c:strCache>
                <c:ptCount val="1"/>
                <c:pt idx="0">
                  <c:v>Cost/barrel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 Cost Accrual'!$C$6:$C$13</c:f>
              <c:strCache>
                <c:ptCount val="8"/>
                <c:pt idx="0">
                  <c:v>Samabri Biseni</c:v>
                </c:pt>
                <c:pt idx="1">
                  <c:v>Tebidaba-Opugbene</c:v>
                </c:pt>
                <c:pt idx="2">
                  <c:v>Akri-Oguta</c:v>
                </c:pt>
                <c:pt idx="3">
                  <c:v>Ogbainbiri-Afuo</c:v>
                </c:pt>
                <c:pt idx="4">
                  <c:v>Oshie-Ubie</c:v>
                </c:pt>
                <c:pt idx="5">
                  <c:v>Uzere East</c:v>
                </c:pt>
                <c:pt idx="6">
                  <c:v>Egbema</c:v>
                </c:pt>
                <c:pt idx="7">
                  <c:v>Santa Babara</c:v>
                </c:pt>
              </c:strCache>
            </c:strRef>
          </c:cat>
          <c:val>
            <c:numRef>
              <c:f>'2024 Cost Accrual'!$D$6:$D$13</c:f>
              <c:numCache>
                <c:formatCode>0.00</c:formatCode>
                <c:ptCount val="8"/>
                <c:pt idx="0">
                  <c:v>3.4808963785787839</c:v>
                </c:pt>
                <c:pt idx="1">
                  <c:v>23.232094158174249</c:v>
                </c:pt>
                <c:pt idx="2">
                  <c:v>14.70761028544468</c:v>
                </c:pt>
                <c:pt idx="3">
                  <c:v>3.5771297444449197</c:v>
                </c:pt>
                <c:pt idx="4">
                  <c:v>112.9591938678839</c:v>
                </c:pt>
                <c:pt idx="5">
                  <c:v>9.9559314164524029</c:v>
                </c:pt>
                <c:pt idx="7">
                  <c:v>8.1832655084419272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CAB-8CC2-763103AA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69839"/>
        <c:axId val="103774159"/>
      </c:barChart>
      <c:catAx>
        <c:axId val="1037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4159"/>
        <c:crosses val="autoZero"/>
        <c:auto val="1"/>
        <c:lblAlgn val="ctr"/>
        <c:lblOffset val="100"/>
        <c:noMultiLvlLbl val="0"/>
      </c:catAx>
      <c:valAx>
        <c:axId val="1037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Cost/bbl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9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NOV2024  Production and OPEX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Cost Accrual'!$E$5</c:f>
              <c:strCache>
                <c:ptCount val="1"/>
                <c:pt idx="0">
                  <c:v>FUSD (Core NOV with no CHA)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Cost Accrual'!$C$6:$C$13</c:f>
              <c:strCache>
                <c:ptCount val="8"/>
                <c:pt idx="0">
                  <c:v>Samabri Biseni</c:v>
                </c:pt>
                <c:pt idx="1">
                  <c:v>Tebidaba-Opugbene</c:v>
                </c:pt>
                <c:pt idx="2">
                  <c:v>Akri-Oguta</c:v>
                </c:pt>
                <c:pt idx="3">
                  <c:v>Ogbainbiri-Afuo</c:v>
                </c:pt>
                <c:pt idx="4">
                  <c:v>Oshie-Ubie</c:v>
                </c:pt>
                <c:pt idx="5">
                  <c:v>Uzere East</c:v>
                </c:pt>
                <c:pt idx="6">
                  <c:v>Egbema</c:v>
                </c:pt>
                <c:pt idx="7">
                  <c:v>Santa Babara</c:v>
                </c:pt>
              </c:strCache>
            </c:strRef>
          </c:cat>
          <c:val>
            <c:numRef>
              <c:f>'2024 Cost Accrual'!$E$6:$E$13</c:f>
              <c:numCache>
                <c:formatCode>General</c:formatCode>
                <c:ptCount val="8"/>
                <c:pt idx="0">
                  <c:v>3873813</c:v>
                </c:pt>
                <c:pt idx="1">
                  <c:v>485574</c:v>
                </c:pt>
                <c:pt idx="2">
                  <c:v>1558639</c:v>
                </c:pt>
                <c:pt idx="3">
                  <c:v>752925</c:v>
                </c:pt>
                <c:pt idx="4">
                  <c:v>6557846</c:v>
                </c:pt>
                <c:pt idx="5">
                  <c:v>9636576</c:v>
                </c:pt>
                <c:pt idx="6">
                  <c:v>7871077</c:v>
                </c:pt>
                <c:pt idx="7">
                  <c:v>2631927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D-4961-8811-B84B5B9F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9664559"/>
        <c:axId val="579650159"/>
      </c:barChart>
      <c:lineChart>
        <c:grouping val="standard"/>
        <c:varyColors val="0"/>
        <c:ser>
          <c:idx val="1"/>
          <c:order val="1"/>
          <c:tx>
            <c:strRef>
              <c:f>'2024 Cost Accrual'!$F$5</c:f>
              <c:strCache>
                <c:ptCount val="1"/>
                <c:pt idx="0">
                  <c:v>Volume (bbls)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Cost Accrual'!$C$6:$C$13</c:f>
              <c:strCache>
                <c:ptCount val="8"/>
                <c:pt idx="0">
                  <c:v>Samabri Biseni</c:v>
                </c:pt>
                <c:pt idx="1">
                  <c:v>Tebidaba-Opugbene</c:v>
                </c:pt>
                <c:pt idx="2">
                  <c:v>Akri-Oguta</c:v>
                </c:pt>
                <c:pt idx="3">
                  <c:v>Ogbainbiri-Afuo</c:v>
                </c:pt>
                <c:pt idx="4">
                  <c:v>Oshie-Ubie</c:v>
                </c:pt>
                <c:pt idx="5">
                  <c:v>Uzere East</c:v>
                </c:pt>
                <c:pt idx="6">
                  <c:v>Egbema</c:v>
                </c:pt>
                <c:pt idx="7">
                  <c:v>Santa Babara</c:v>
                </c:pt>
              </c:strCache>
            </c:strRef>
          </c:cat>
          <c:val>
            <c:numRef>
              <c:f>'2024 Cost Accrual'!$F$6:$F$13</c:f>
              <c:numCache>
                <c:formatCode>#,##0.00</c:formatCode>
                <c:ptCount val="8"/>
                <c:pt idx="0">
                  <c:v>1112878</c:v>
                </c:pt>
                <c:pt idx="1">
                  <c:v>20901</c:v>
                </c:pt>
                <c:pt idx="2">
                  <c:v>105975</c:v>
                </c:pt>
                <c:pt idx="3">
                  <c:v>210483</c:v>
                </c:pt>
                <c:pt idx="4">
                  <c:v>58055</c:v>
                </c:pt>
                <c:pt idx="5">
                  <c:v>967923.1</c:v>
                </c:pt>
                <c:pt idx="6" formatCode="General">
                  <c:v>0</c:v>
                </c:pt>
                <c:pt idx="7">
                  <c:v>321623.07299999997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D-4961-8811-B84B5B9F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654479"/>
        <c:axId val="579648239"/>
      </c:lineChart>
      <c:catAx>
        <c:axId val="57965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48239"/>
        <c:crosses val="autoZero"/>
        <c:auto val="1"/>
        <c:lblAlgn val="ctr"/>
        <c:lblOffset val="100"/>
        <c:noMultiLvlLbl val="0"/>
      </c:catAx>
      <c:valAx>
        <c:axId val="5796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bbls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4479"/>
        <c:crosses val="autoZero"/>
        <c:crossBetween val="between"/>
      </c:valAx>
      <c:valAx>
        <c:axId val="579650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OPEX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64559"/>
        <c:crosses val="max"/>
        <c:crossBetween val="between"/>
      </c:valAx>
      <c:catAx>
        <c:axId val="5796645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796501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4203849518808"/>
          <c:y val="0.19486111111111112"/>
          <c:w val="0.8585579615048119"/>
          <c:h val="0.49166739574219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'2024 Cost Accrual'!$D$5</c:f>
              <c:strCache>
                <c:ptCount val="1"/>
                <c:pt idx="0">
                  <c:v>Cost/barrel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Cost Accrual'!$C$6:$C$13</c:f>
              <c:strCache>
                <c:ptCount val="8"/>
                <c:pt idx="0">
                  <c:v>Samabri Biseni</c:v>
                </c:pt>
                <c:pt idx="1">
                  <c:v>Tebidaba-Opugbene</c:v>
                </c:pt>
                <c:pt idx="2">
                  <c:v>Akri-Oguta</c:v>
                </c:pt>
                <c:pt idx="3">
                  <c:v>Ogbainbiri-Afuo</c:v>
                </c:pt>
                <c:pt idx="4">
                  <c:v>Oshie-Ubie</c:v>
                </c:pt>
                <c:pt idx="5">
                  <c:v>Uzere East</c:v>
                </c:pt>
                <c:pt idx="6">
                  <c:v>Egbema</c:v>
                </c:pt>
                <c:pt idx="7">
                  <c:v>Santa Babara</c:v>
                </c:pt>
              </c:strCache>
            </c:strRef>
          </c:cat>
          <c:val>
            <c:numRef>
              <c:f>'2024 Cost Accrual'!$D$6:$D$13</c:f>
              <c:numCache>
                <c:formatCode>0.00</c:formatCode>
                <c:ptCount val="8"/>
                <c:pt idx="0">
                  <c:v>3.4808963785787839</c:v>
                </c:pt>
                <c:pt idx="1">
                  <c:v>23.232094158174249</c:v>
                </c:pt>
                <c:pt idx="2">
                  <c:v>14.70761028544468</c:v>
                </c:pt>
                <c:pt idx="3">
                  <c:v>3.5771297444449197</c:v>
                </c:pt>
                <c:pt idx="4">
                  <c:v>112.9591938678839</c:v>
                </c:pt>
                <c:pt idx="5">
                  <c:v>9.9559314164524029</c:v>
                </c:pt>
                <c:pt idx="7">
                  <c:v>8.1832655084419272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6-4A05-BF76-4A0C5560F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908623"/>
        <c:axId val="615931183"/>
      </c:barChart>
      <c:catAx>
        <c:axId val="6159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31183"/>
        <c:crosses val="autoZero"/>
        <c:auto val="1"/>
        <c:lblAlgn val="ctr"/>
        <c:lblOffset val="100"/>
        <c:noMultiLvlLbl val="0"/>
      </c:catAx>
      <c:valAx>
        <c:axId val="6159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0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182472</xdr:colOff>
      <xdr:row>1</xdr:row>
      <xdr:rowOff>52420</xdr:rowOff>
    </xdr:from>
    <xdr:to>
      <xdr:col>34</xdr:col>
      <xdr:colOff>428625</xdr:colOff>
      <xdr:row>22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A45169-8119-9DF0-655A-21E924DCA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9197" y="242920"/>
          <a:ext cx="8170953" cy="4195729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57</xdr:row>
      <xdr:rowOff>180357</xdr:rowOff>
    </xdr:from>
    <xdr:to>
      <xdr:col>33</xdr:col>
      <xdr:colOff>490905</xdr:colOff>
      <xdr:row>84</xdr:row>
      <xdr:rowOff>143076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592FF-FAD7-82FA-4930-303B73C14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1425" y="8124207"/>
          <a:ext cx="8301405" cy="5715819"/>
        </a:xfrm>
        <a:prstGeom prst="rect">
          <a:avLst/>
        </a:prstGeom>
      </xdr:spPr>
    </xdr:pic>
    <xdr:clientData/>
  </xdr:twoCellAnchor>
  <xdr:twoCellAnchor editAs="oneCell">
    <xdr:from>
      <xdr:col>21</xdr:col>
      <xdr:colOff>509796</xdr:colOff>
      <xdr:row>31</xdr:row>
      <xdr:rowOff>152399</xdr:rowOff>
    </xdr:from>
    <xdr:to>
      <xdr:col>29</xdr:col>
      <xdr:colOff>493850</xdr:colOff>
      <xdr:row>51</xdr:row>
      <xdr:rowOff>65536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B4A7FB-B8A7-0F17-CFB4-CDCBEC29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16521" y="4800599"/>
          <a:ext cx="4860854" cy="3818387"/>
        </a:xfrm>
        <a:prstGeom prst="rect">
          <a:avLst/>
        </a:prstGeom>
      </xdr:spPr>
    </xdr:pic>
    <xdr:clientData/>
  </xdr:twoCellAnchor>
  <xdr:twoCellAnchor>
    <xdr:from>
      <xdr:col>15</xdr:col>
      <xdr:colOff>19050</xdr:colOff>
      <xdr:row>3</xdr:row>
      <xdr:rowOff>0</xdr:rowOff>
    </xdr:from>
    <xdr:to>
      <xdr:col>24</xdr:col>
      <xdr:colOff>9524</xdr:colOff>
      <xdr:row>26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A9AEF1-BA63-4835-850C-CE120B331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2867025</xdr:colOff>
      <xdr:row>27</xdr:row>
      <xdr:rowOff>66674</xdr:rowOff>
    </xdr:from>
    <xdr:to>
      <xdr:col>23</xdr:col>
      <xdr:colOff>571500</xdr:colOff>
      <xdr:row>46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69C9B7-92A1-205E-B807-B5B0B143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546099</xdr:colOff>
      <xdr:row>20</xdr:row>
      <xdr:rowOff>84137</xdr:rowOff>
    </xdr:from>
    <xdr:to>
      <xdr:col>11</xdr:col>
      <xdr:colOff>185736</xdr:colOff>
      <xdr:row>41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D33B-359C-E269-D8D6-15B59E0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749011</xdr:colOff>
      <xdr:row>1</xdr:row>
      <xdr:rowOff>135082</xdr:rowOff>
    </xdr:from>
    <xdr:to>
      <xdr:col>18</xdr:col>
      <xdr:colOff>77932</xdr:colOff>
      <xdr:row>16</xdr:row>
      <xdr:rowOff>181842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43487-9A05-A760-9092-FF24058F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17</xdr:row>
      <xdr:rowOff>22513</xdr:rowOff>
    </xdr:from>
    <xdr:to>
      <xdr:col>4</xdr:col>
      <xdr:colOff>740352</xdr:colOff>
      <xdr:row>31</xdr:row>
      <xdr:rowOff>81395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4A76A-DEB1-ADE8-43A7-258CCEA4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ter.Obidike\Downloads\Desktop\BOM%20NOV%20East%20Asset\Work%20program\NEPL\2025%20budget\NEPL%20UZERE%202025%20BGT%205YR%20MTP%202024.xlsx" TargetMode="External"/><Relationship Id="rId1" Type="http://schemas.openxmlformats.org/officeDocument/2006/relationships/externalLinkPath" Target="/Users/Peter.Obidike/Downloads/Desktop/BOM%20NOV%20East%20Asset/Work%20program/NEPL/2025%20budget/NEPL%20UZERE%202025%20BGT%205YR%20MTP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ew_Growth (2)"/>
      <sheetName val="CONTENT "/>
      <sheetName val="SWOT"/>
      <sheetName val="BUDGET ASSUMPTIONS Low Case"/>
      <sheetName val="BUDGET ASSUMPTIONS Moderate Cas"/>
      <sheetName val="BUDGET ASSUMPTIONS High Case"/>
      <sheetName val="MISCELLANEOUS INCOME  "/>
      <sheetName val="AFFILIATE COST "/>
      <sheetName val="Review_Do Nothing"/>
      <sheetName val="Review_Containment"/>
      <sheetName val="Review_Growth"/>
      <sheetName val="2020BGT &amp; 5YR MTP_MCA "/>
      <sheetName val="2020BGT &amp; 5YR MTP_EF NLNG"/>
      <sheetName val="2020BGT &amp; 5YR MTP_EF AF "/>
      <sheetName val="QC and reports"/>
      <sheetName val="working sheeting"/>
      <sheetName val="MAJOR PROJECTS TEMPLATE "/>
      <sheetName val="PROJECTS SUMMARY"/>
      <sheetName val="2025BGT &amp; 5YR MTP_LOW GROWTH"/>
      <sheetName val="2025BGT&amp;5YRMTP_MODERATE GROWTH"/>
      <sheetName val="2025BGT&amp;5YRMTPAGGRESSIVE GROWTH"/>
      <sheetName val="2025 EXPLORATION WORK PLAN"/>
      <sheetName val="OIL &amp; GAS WELLS SCHEDULE"/>
      <sheetName val="EXPLORATION WELLS SCHEDULE"/>
      <sheetName val="EXPLO WELL DRILLING COST TEMP."/>
      <sheetName val="2025 PED WORK PLAN "/>
      <sheetName val="PED WELL DRILLING COST TEMPLATE"/>
      <sheetName val="WELL COMPLETION  COST TEMPLATE"/>
      <sheetName val="2025 GAS WORK PLAN"/>
      <sheetName val="GAS DRILLING WELL COST TEMPLATE"/>
      <sheetName val="GAS WELL COMPLETION COST TEMP."/>
      <sheetName val="2025 BUDGET BREAKDOWN"/>
      <sheetName val="CASH FLOW PLAN"/>
      <sheetName val="2025 PROCUREMENT PLAN"/>
      <sheetName val="SEISMIC ACTIVITIES LIST"/>
      <sheetName val="RESERVES TREND"/>
      <sheetName val="PRODUCTION TREND"/>
      <sheetName val=" RIG SCHEDULE"/>
      <sheetName val="EXPLORATION WELL SCHEDULE"/>
      <sheetName val="EXPLORATION WELLS SUMMARY "/>
      <sheetName val="OIL &amp; GAS WELLS SCHEDULE "/>
      <sheetName val="OIL WELLS SUMMARY"/>
      <sheetName val="GAS WELLS SUMMARY "/>
      <sheetName val="RIGLESS ACTIVITIES "/>
      <sheetName val="RIGLESS ACTIVITIES  - OIL_BASE"/>
      <sheetName val="RIGLESS ACTIVITIES- GAS"/>
      <sheetName val="GAS UTILIZATION "/>
      <sheetName val="HR COUNT &amp; COST "/>
      <sheetName val="FACILITIES MAINT SCHEDULE OIL"/>
      <sheetName val="FACILITIES MAINT SCHEDULE GAS"/>
      <sheetName val="MIDSTREAM FACILITIES COST"/>
      <sheetName val="VESSEL REQUEST"/>
      <sheetName val="VESSEL SUMMARY"/>
      <sheetName val="INTRA COMPANY JV UAP DETAILS"/>
      <sheetName val="PAD WORKPLAN"/>
      <sheetName val="INTER COMPANY REPORT "/>
      <sheetName val="INTRA COMPANY JV REPORT"/>
      <sheetName val="PRE ALLOCATION UAP SUMMARY VIEW"/>
      <sheetName val="2025 CAPEX WORK PROGRAMME "/>
      <sheetName val="2025 OPEX WORK PROGRAMME"/>
      <sheetName val="STUDIES TEMPLATE"/>
      <sheetName val="DECARBONIZATION_MONETIZATION PL"/>
      <sheetName val="SUSTAINABILITY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71">
          <cell r="AA71"/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064A-E261-493B-B03C-FD2A56FFFE15}">
  <dimension ref="A3:AG136"/>
  <sheetViews>
    <sheetView topLeftCell="A3" workbookViewId="0">
      <selection activeCell="O33" sqref="O33"/>
    </sheetView>
  </sheetViews>
  <sheetFormatPr defaultRowHeight="15"/>
  <cols>
    <col min="1" max="1" width="33.5703125" customWidth="1"/>
    <col min="15" max="15" width="43.42578125" customWidth="1"/>
    <col min="17" max="17" width="23.85546875" customWidth="1"/>
    <col min="20" max="20" width="13.5703125" customWidth="1"/>
  </cols>
  <sheetData>
    <row r="3" spans="1:15" ht="15.75" thickBot="1">
      <c r="A3" s="109" t="s">
        <v>79</v>
      </c>
    </row>
    <row r="4" spans="1:15">
      <c r="A4" s="67" t="s">
        <v>102</v>
      </c>
      <c r="B4" s="67" t="s">
        <v>60</v>
      </c>
      <c r="C4" s="72" t="s">
        <v>61</v>
      </c>
      <c r="D4" s="72" t="s">
        <v>62</v>
      </c>
      <c r="E4" s="72" t="s">
        <v>63</v>
      </c>
      <c r="F4" s="72" t="s">
        <v>64</v>
      </c>
      <c r="G4" s="72" t="s">
        <v>65</v>
      </c>
      <c r="H4" s="72" t="s">
        <v>66</v>
      </c>
      <c r="I4" s="72" t="s">
        <v>67</v>
      </c>
      <c r="J4" s="72" t="s">
        <v>68</v>
      </c>
      <c r="K4" s="72" t="s">
        <v>69</v>
      </c>
      <c r="L4" s="72" t="s">
        <v>70</v>
      </c>
      <c r="M4" s="72" t="s">
        <v>71</v>
      </c>
      <c r="N4" s="73" t="s">
        <v>105</v>
      </c>
      <c r="O4" s="110" t="s">
        <v>99</v>
      </c>
    </row>
    <row r="5" spans="1:15">
      <c r="A5" s="74" t="s">
        <v>57</v>
      </c>
      <c r="B5" s="74">
        <v>0.2</v>
      </c>
      <c r="C5" s="75">
        <v>0.2</v>
      </c>
      <c r="D5" s="75">
        <v>0.2</v>
      </c>
      <c r="E5" s="75">
        <v>0.2</v>
      </c>
      <c r="F5" s="75">
        <v>0.2</v>
      </c>
      <c r="G5" s="75">
        <v>0.2</v>
      </c>
      <c r="H5" s="75">
        <v>0.2</v>
      </c>
      <c r="I5" s="75">
        <v>0.2</v>
      </c>
      <c r="J5" s="75">
        <v>0.2</v>
      </c>
      <c r="K5" s="75">
        <v>0.2</v>
      </c>
      <c r="L5" s="75">
        <v>0.2</v>
      </c>
      <c r="M5" s="75">
        <v>0.2</v>
      </c>
      <c r="N5" s="76">
        <v>0.2</v>
      </c>
      <c r="O5" s="111"/>
    </row>
    <row r="6" spans="1:15">
      <c r="A6" s="74" t="s">
        <v>56</v>
      </c>
      <c r="B6" s="74">
        <v>2.1</v>
      </c>
      <c r="C6" s="75">
        <v>2</v>
      </c>
      <c r="D6" s="75">
        <v>2</v>
      </c>
      <c r="E6" s="75">
        <v>2.2000000000000002</v>
      </c>
      <c r="F6" s="75">
        <v>2.2000000000000002</v>
      </c>
      <c r="G6" s="75">
        <v>2.1</v>
      </c>
      <c r="H6" s="75">
        <v>2.1</v>
      </c>
      <c r="I6" s="75">
        <v>2</v>
      </c>
      <c r="J6" s="75">
        <v>2</v>
      </c>
      <c r="K6" s="75">
        <v>2</v>
      </c>
      <c r="L6" s="75">
        <v>1.9</v>
      </c>
      <c r="M6" s="75">
        <v>1.9</v>
      </c>
      <c r="N6" s="76">
        <v>2</v>
      </c>
      <c r="O6" s="111"/>
    </row>
    <row r="7" spans="1:15">
      <c r="A7" s="74" t="s">
        <v>58</v>
      </c>
      <c r="B7" s="74">
        <v>2.2000000000000002</v>
      </c>
      <c r="C7" s="75">
        <v>2.2000000000000002</v>
      </c>
      <c r="D7" s="75">
        <v>2.2000000000000002</v>
      </c>
      <c r="E7" s="75">
        <v>2.2000000000000002</v>
      </c>
      <c r="F7" s="75">
        <v>2.1</v>
      </c>
      <c r="G7" s="75">
        <v>2.2000000000000002</v>
      </c>
      <c r="H7" s="75">
        <v>2.2000000000000002</v>
      </c>
      <c r="I7" s="75">
        <v>2.1</v>
      </c>
      <c r="J7" s="75">
        <v>2.1</v>
      </c>
      <c r="K7" s="75">
        <v>2.1</v>
      </c>
      <c r="L7" s="75">
        <v>2.1</v>
      </c>
      <c r="M7" s="75">
        <v>2</v>
      </c>
      <c r="N7" s="76">
        <v>2.1</v>
      </c>
      <c r="O7" s="111"/>
    </row>
    <row r="8" spans="1:15">
      <c r="A8" s="74" t="s">
        <v>72</v>
      </c>
      <c r="B8" s="74">
        <v>0.7</v>
      </c>
      <c r="C8" s="75">
        <v>0.7</v>
      </c>
      <c r="D8" s="75">
        <v>0.7</v>
      </c>
      <c r="E8" s="75">
        <v>0.7</v>
      </c>
      <c r="F8" s="75">
        <v>0.7</v>
      </c>
      <c r="G8" s="75">
        <v>0.7</v>
      </c>
      <c r="H8" s="75">
        <v>0.7</v>
      </c>
      <c r="I8" s="75">
        <v>0.7</v>
      </c>
      <c r="J8" s="75">
        <v>0.7</v>
      </c>
      <c r="K8" s="75">
        <v>0.7</v>
      </c>
      <c r="L8" s="75">
        <v>0.7</v>
      </c>
      <c r="M8" s="75">
        <v>0.7</v>
      </c>
      <c r="N8" s="76">
        <v>0.7</v>
      </c>
      <c r="O8" s="111"/>
    </row>
    <row r="9" spans="1:15">
      <c r="A9" s="74" t="s">
        <v>59</v>
      </c>
      <c r="B9" s="74">
        <v>2.2999999999999998</v>
      </c>
      <c r="C9" s="75">
        <v>2.4</v>
      </c>
      <c r="D9" s="75">
        <v>2.5</v>
      </c>
      <c r="E9" s="75">
        <v>2.5</v>
      </c>
      <c r="F9" s="75">
        <v>2.5</v>
      </c>
      <c r="G9" s="75">
        <v>2.5</v>
      </c>
      <c r="H9" s="75">
        <v>2.6</v>
      </c>
      <c r="I9" s="75">
        <v>2.8</v>
      </c>
      <c r="J9" s="75">
        <v>2.9</v>
      </c>
      <c r="K9" s="75">
        <v>2.9</v>
      </c>
      <c r="L9" s="75">
        <v>2.9</v>
      </c>
      <c r="M9" s="75">
        <v>2.9</v>
      </c>
      <c r="N9" s="76">
        <v>2.7</v>
      </c>
      <c r="O9" s="111"/>
    </row>
    <row r="10" spans="1:15" ht="15.75" thickBot="1">
      <c r="A10" s="71" t="s">
        <v>73</v>
      </c>
      <c r="B10" s="71">
        <v>7.6</v>
      </c>
      <c r="C10" s="77">
        <v>7.6</v>
      </c>
      <c r="D10" s="77">
        <v>7.6</v>
      </c>
      <c r="E10" s="77">
        <v>7.8</v>
      </c>
      <c r="F10" s="77">
        <v>7.7</v>
      </c>
      <c r="G10" s="77">
        <v>7.7</v>
      </c>
      <c r="H10" s="77">
        <v>7.7</v>
      </c>
      <c r="I10" s="77">
        <v>7.8</v>
      </c>
      <c r="J10" s="77">
        <v>7.8</v>
      </c>
      <c r="K10" s="77">
        <v>7.8</v>
      </c>
      <c r="L10" s="77">
        <v>7.8</v>
      </c>
      <c r="M10" s="77">
        <v>7.7</v>
      </c>
      <c r="N10" s="78">
        <v>7.7</v>
      </c>
      <c r="O10" s="113"/>
    </row>
    <row r="11" spans="1:15" ht="15.75" thickBot="1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O11" s="113"/>
    </row>
    <row r="12" spans="1:15">
      <c r="A12" s="67" t="s">
        <v>74</v>
      </c>
      <c r="B12" s="67">
        <f>SUM(B5:B8)</f>
        <v>5.2</v>
      </c>
      <c r="C12" s="72">
        <f t="shared" ref="C12:M12" si="0">SUM(C5:C8)</f>
        <v>5.1000000000000005</v>
      </c>
      <c r="D12" s="72">
        <f t="shared" si="0"/>
        <v>5.1000000000000005</v>
      </c>
      <c r="E12" s="72">
        <f t="shared" si="0"/>
        <v>5.3000000000000007</v>
      </c>
      <c r="F12" s="72">
        <f t="shared" si="0"/>
        <v>5.2</v>
      </c>
      <c r="G12" s="72">
        <f t="shared" si="0"/>
        <v>5.2</v>
      </c>
      <c r="H12" s="72">
        <f t="shared" si="0"/>
        <v>5.2</v>
      </c>
      <c r="I12" s="72">
        <f t="shared" si="0"/>
        <v>5.0000000000000009</v>
      </c>
      <c r="J12" s="72">
        <f t="shared" si="0"/>
        <v>5.0000000000000009</v>
      </c>
      <c r="K12" s="72">
        <f t="shared" si="0"/>
        <v>5.0000000000000009</v>
      </c>
      <c r="L12" s="72">
        <f t="shared" si="0"/>
        <v>4.9000000000000004</v>
      </c>
      <c r="M12" s="72">
        <f t="shared" si="0"/>
        <v>4.8</v>
      </c>
      <c r="N12" s="73">
        <f>SUM(N5:N8)</f>
        <v>5.0000000000000009</v>
      </c>
      <c r="O12" s="113"/>
    </row>
    <row r="13" spans="1:15" ht="15.75" thickBot="1">
      <c r="A13" s="69" t="s">
        <v>75</v>
      </c>
      <c r="B13" s="69">
        <f>SUM(B9)</f>
        <v>2.2999999999999998</v>
      </c>
      <c r="C13" s="79">
        <f t="shared" ref="C13:N13" si="1">SUM(C9)</f>
        <v>2.4</v>
      </c>
      <c r="D13" s="79">
        <f t="shared" si="1"/>
        <v>2.5</v>
      </c>
      <c r="E13" s="79">
        <f t="shared" si="1"/>
        <v>2.5</v>
      </c>
      <c r="F13" s="79">
        <f t="shared" si="1"/>
        <v>2.5</v>
      </c>
      <c r="G13" s="79">
        <f t="shared" si="1"/>
        <v>2.5</v>
      </c>
      <c r="H13" s="79">
        <f t="shared" si="1"/>
        <v>2.6</v>
      </c>
      <c r="I13" s="79">
        <f t="shared" si="1"/>
        <v>2.8</v>
      </c>
      <c r="J13" s="79">
        <f t="shared" si="1"/>
        <v>2.9</v>
      </c>
      <c r="K13" s="79">
        <f t="shared" si="1"/>
        <v>2.9</v>
      </c>
      <c r="L13" s="79">
        <f t="shared" si="1"/>
        <v>2.9</v>
      </c>
      <c r="M13" s="79">
        <f t="shared" si="1"/>
        <v>2.9</v>
      </c>
      <c r="N13" s="80">
        <f t="shared" si="1"/>
        <v>2.7</v>
      </c>
      <c r="O13" s="113"/>
    </row>
    <row r="14" spans="1:15" ht="15.75" thickBot="1">
      <c r="A14" s="105" t="s">
        <v>103</v>
      </c>
      <c r="B14" s="105">
        <f>SUM(B12:B13)</f>
        <v>7.5</v>
      </c>
      <c r="C14" s="106">
        <f t="shared" ref="C14:N14" si="2">SUM(C12:C13)</f>
        <v>7.5</v>
      </c>
      <c r="D14" s="106">
        <f t="shared" si="2"/>
        <v>7.6000000000000005</v>
      </c>
      <c r="E14" s="106">
        <f t="shared" si="2"/>
        <v>7.8000000000000007</v>
      </c>
      <c r="F14" s="106">
        <f t="shared" si="2"/>
        <v>7.7</v>
      </c>
      <c r="G14" s="106">
        <f t="shared" si="2"/>
        <v>7.7</v>
      </c>
      <c r="H14" s="106">
        <f t="shared" si="2"/>
        <v>7.8000000000000007</v>
      </c>
      <c r="I14" s="106">
        <f t="shared" si="2"/>
        <v>7.8000000000000007</v>
      </c>
      <c r="J14" s="106">
        <f t="shared" si="2"/>
        <v>7.9</v>
      </c>
      <c r="K14" s="106">
        <f t="shared" si="2"/>
        <v>7.9</v>
      </c>
      <c r="L14" s="106">
        <f t="shared" si="2"/>
        <v>7.8000000000000007</v>
      </c>
      <c r="M14" s="106">
        <f t="shared" si="2"/>
        <v>7.6999999999999993</v>
      </c>
      <c r="N14" s="107">
        <f t="shared" si="2"/>
        <v>7.7000000000000011</v>
      </c>
      <c r="O14" s="115" t="s">
        <v>100</v>
      </c>
    </row>
    <row r="15" spans="1:15" ht="15.75" thickBot="1"/>
    <row r="16" spans="1:15" ht="15.75" thickBot="1">
      <c r="A16" s="109" t="s">
        <v>83</v>
      </c>
      <c r="B16" s="67" t="s">
        <v>60</v>
      </c>
      <c r="C16" s="72" t="s">
        <v>61</v>
      </c>
      <c r="D16" s="72" t="s">
        <v>62</v>
      </c>
      <c r="E16" s="72" t="s">
        <v>63</v>
      </c>
      <c r="F16" s="72" t="s">
        <v>64</v>
      </c>
      <c r="G16" s="72" t="s">
        <v>65</v>
      </c>
      <c r="H16" s="72" t="s">
        <v>66</v>
      </c>
      <c r="I16" s="72" t="s">
        <v>67</v>
      </c>
      <c r="J16" s="72" t="s">
        <v>68</v>
      </c>
      <c r="K16" s="72" t="s">
        <v>69</v>
      </c>
      <c r="L16" s="72" t="s">
        <v>70</v>
      </c>
      <c r="M16" s="72" t="s">
        <v>71</v>
      </c>
      <c r="N16" s="73" t="s">
        <v>105</v>
      </c>
    </row>
    <row r="17" spans="1:16">
      <c r="A17" s="87" t="s">
        <v>57</v>
      </c>
      <c r="B17" s="121">
        <f t="shared" ref="B17:M17" si="3">(B50/1000)*0.533</f>
        <v>0.39669058000000001</v>
      </c>
      <c r="C17" s="88">
        <f t="shared" si="3"/>
        <v>0.39448928999999999</v>
      </c>
      <c r="D17" s="88">
        <f t="shared" si="3"/>
        <v>0.39230931999999996</v>
      </c>
      <c r="E17" s="88">
        <f t="shared" si="3"/>
        <v>0.390156</v>
      </c>
      <c r="F17" s="88">
        <f t="shared" si="3"/>
        <v>0.38802400000000004</v>
      </c>
      <c r="G17" s="88">
        <f t="shared" si="3"/>
        <v>0.38592398</v>
      </c>
      <c r="H17" s="88">
        <f t="shared" si="3"/>
        <v>0.38384528000000001</v>
      </c>
      <c r="I17" s="88">
        <f t="shared" si="3"/>
        <v>0.38178790000000001</v>
      </c>
      <c r="J17" s="88">
        <f t="shared" si="3"/>
        <v>0.37975716999999998</v>
      </c>
      <c r="K17" s="88">
        <f t="shared" si="3"/>
        <v>0.37775309000000001</v>
      </c>
      <c r="L17" s="88">
        <f t="shared" si="3"/>
        <v>0.37577033000000004</v>
      </c>
      <c r="M17" s="102">
        <f t="shared" si="3"/>
        <v>0.37380889</v>
      </c>
      <c r="N17" s="122">
        <f>AVERAGE(B17:M17)</f>
        <v>0.38502631916666669</v>
      </c>
      <c r="O17" s="112" t="s">
        <v>92</v>
      </c>
    </row>
    <row r="18" spans="1:16">
      <c r="A18" s="7" t="s">
        <v>56</v>
      </c>
      <c r="B18" s="123">
        <f t="shared" ref="B18:M18" si="4">(B51/1000)*0.7295</f>
        <v>2.3562777050000001</v>
      </c>
      <c r="C18" s="89">
        <f t="shared" si="4"/>
        <v>2.3391782249999999</v>
      </c>
      <c r="D18" s="89">
        <f t="shared" si="4"/>
        <v>2.3222100550000002</v>
      </c>
      <c r="E18" s="89">
        <f t="shared" si="4"/>
        <v>2.3053586050000003</v>
      </c>
      <c r="F18" s="89">
        <f t="shared" si="4"/>
        <v>2.288638465</v>
      </c>
      <c r="G18" s="101">
        <f t="shared" si="4"/>
        <v>2.65370215</v>
      </c>
      <c r="H18" s="89">
        <f t="shared" si="4"/>
        <v>2.6344506450000003</v>
      </c>
      <c r="I18" s="89">
        <f t="shared" si="4"/>
        <v>2.6153377450000002</v>
      </c>
      <c r="J18" s="89">
        <f t="shared" si="4"/>
        <v>2.5963634500000001</v>
      </c>
      <c r="K18" s="101">
        <f t="shared" si="4"/>
        <v>2.9592021599999998</v>
      </c>
      <c r="L18" s="89">
        <f t="shared" si="4"/>
        <v>2.9377256800000002</v>
      </c>
      <c r="M18" s="89">
        <f t="shared" si="4"/>
        <v>2.9164169850000001</v>
      </c>
      <c r="N18" s="124">
        <f t="shared" ref="N18:N21" si="5">AVERAGE(B18:M18)</f>
        <v>2.5770718225000002</v>
      </c>
      <c r="O18" s="113" t="s">
        <v>93</v>
      </c>
    </row>
    <row r="19" spans="1:16">
      <c r="A19" s="7" t="s">
        <v>58</v>
      </c>
      <c r="B19" s="123">
        <f t="shared" ref="B19:M19" si="6">(B52/1000)*0.25</f>
        <v>0.22</v>
      </c>
      <c r="C19" s="101">
        <f t="shared" si="6"/>
        <v>0.65300000000000002</v>
      </c>
      <c r="D19" s="89">
        <f t="shared" si="6"/>
        <v>0.63924999999999998</v>
      </c>
      <c r="E19" s="89">
        <f t="shared" si="6"/>
        <v>0.63249999999999995</v>
      </c>
      <c r="F19" s="89">
        <f t="shared" si="6"/>
        <v>0.63249999999999995</v>
      </c>
      <c r="G19" s="89">
        <f t="shared" si="6"/>
        <v>0.61924999999999997</v>
      </c>
      <c r="H19" s="89">
        <f t="shared" si="6"/>
        <v>0.61250000000000004</v>
      </c>
      <c r="I19" s="89">
        <f t="shared" si="6"/>
        <v>0.60599999999999998</v>
      </c>
      <c r="J19" s="89">
        <f t="shared" si="6"/>
        <v>0.59975000000000001</v>
      </c>
      <c r="K19" s="89">
        <f t="shared" si="6"/>
        <v>0.59325000000000006</v>
      </c>
      <c r="L19" s="89">
        <f t="shared" si="6"/>
        <v>0.61799999999999999</v>
      </c>
      <c r="M19" s="89">
        <f t="shared" si="6"/>
        <v>0.61799999999999999</v>
      </c>
      <c r="N19" s="124">
        <f t="shared" si="5"/>
        <v>0.58700000000000008</v>
      </c>
      <c r="O19" s="113"/>
    </row>
    <row r="20" spans="1:16">
      <c r="A20" s="7" t="s">
        <v>72</v>
      </c>
      <c r="B20" s="123">
        <f t="shared" ref="B20:M20" si="7">(B53/1000)*0.455</f>
        <v>4.5500000000000006E-2</v>
      </c>
      <c r="C20" s="89">
        <f t="shared" si="7"/>
        <v>4.5045000000000002E-2</v>
      </c>
      <c r="D20" s="89">
        <f t="shared" si="7"/>
        <v>4.4590000000000005E-2</v>
      </c>
      <c r="E20" s="101">
        <f t="shared" si="7"/>
        <v>8.8725000000000012E-2</v>
      </c>
      <c r="F20" s="101">
        <f t="shared" si="7"/>
        <v>0.13194999999999998</v>
      </c>
      <c r="G20" s="101">
        <f t="shared" si="7"/>
        <v>0.21840000000000001</v>
      </c>
      <c r="H20" s="101">
        <f t="shared" si="7"/>
        <v>0.24388000000000001</v>
      </c>
      <c r="I20" s="101">
        <f t="shared" si="7"/>
        <v>0.90817999999999999</v>
      </c>
      <c r="J20" s="101">
        <f t="shared" si="7"/>
        <v>0.99144499999999991</v>
      </c>
      <c r="K20" s="101">
        <f t="shared" si="7"/>
        <v>1.072435</v>
      </c>
      <c r="L20" s="101">
        <f t="shared" si="7"/>
        <v>1.062425</v>
      </c>
      <c r="M20" s="89">
        <f t="shared" si="7"/>
        <v>1.05287</v>
      </c>
      <c r="N20" s="124">
        <f t="shared" si="5"/>
        <v>0.49212041666666667</v>
      </c>
      <c r="O20" s="113" t="s">
        <v>94</v>
      </c>
    </row>
    <row r="21" spans="1:16" ht="15.75" thickBot="1">
      <c r="A21" s="12" t="s">
        <v>80</v>
      </c>
      <c r="B21" s="125">
        <f t="shared" ref="B21:M21" si="8">(B54/1000)*0.151</f>
        <v>0.112193</v>
      </c>
      <c r="C21" s="90">
        <f t="shared" si="8"/>
        <v>0.11022999999999999</v>
      </c>
      <c r="D21" s="90">
        <f t="shared" si="8"/>
        <v>0.10826699999999999</v>
      </c>
      <c r="E21" s="90">
        <f t="shared" si="8"/>
        <v>0.10645499999999999</v>
      </c>
      <c r="F21" s="99">
        <f t="shared" si="8"/>
        <v>0.131219</v>
      </c>
      <c r="G21" s="90">
        <f t="shared" si="8"/>
        <v>0.129105</v>
      </c>
      <c r="H21" s="90">
        <f t="shared" si="8"/>
        <v>0.12699099999999999</v>
      </c>
      <c r="I21" s="90">
        <f t="shared" si="8"/>
        <v>0.12487699999999999</v>
      </c>
      <c r="J21" s="90">
        <f t="shared" si="8"/>
        <v>0.12291399999999998</v>
      </c>
      <c r="K21" s="90">
        <f t="shared" si="8"/>
        <v>0.1208</v>
      </c>
      <c r="L21" s="90">
        <f t="shared" si="8"/>
        <v>0.118837</v>
      </c>
      <c r="M21" s="90">
        <f t="shared" si="8"/>
        <v>0.11687400000000001</v>
      </c>
      <c r="N21" s="126">
        <f t="shared" si="5"/>
        <v>0.1190635</v>
      </c>
      <c r="O21" s="113" t="s">
        <v>95</v>
      </c>
    </row>
    <row r="22" spans="1:16" ht="15.75" thickBot="1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0"/>
      <c r="O22" s="113"/>
    </row>
    <row r="23" spans="1:16">
      <c r="A23" s="67" t="s">
        <v>76</v>
      </c>
      <c r="B23" s="127">
        <f t="shared" ref="B23:N23" si="9">SUM(B17:B21)</f>
        <v>3.1306612850000004</v>
      </c>
      <c r="C23" s="68">
        <f t="shared" si="9"/>
        <v>3.5419425150000001</v>
      </c>
      <c r="D23" s="68">
        <f t="shared" si="9"/>
        <v>3.5066263750000002</v>
      </c>
      <c r="E23" s="68">
        <f t="shared" si="9"/>
        <v>3.5231946050000005</v>
      </c>
      <c r="F23" s="108">
        <f t="shared" si="9"/>
        <v>3.572331465</v>
      </c>
      <c r="G23" s="108">
        <f t="shared" si="9"/>
        <v>4.0063811299999994</v>
      </c>
      <c r="H23" s="68">
        <f t="shared" si="9"/>
        <v>4.0016669250000003</v>
      </c>
      <c r="I23" s="108">
        <f t="shared" si="9"/>
        <v>4.6361826449999999</v>
      </c>
      <c r="J23" s="68">
        <f t="shared" si="9"/>
        <v>4.6902296199999993</v>
      </c>
      <c r="K23" s="108">
        <f t="shared" si="9"/>
        <v>5.1234402500000007</v>
      </c>
      <c r="L23" s="68">
        <f t="shared" si="9"/>
        <v>5.1127580100000003</v>
      </c>
      <c r="M23" s="68">
        <f t="shared" si="9"/>
        <v>5.077969875</v>
      </c>
      <c r="N23" s="117">
        <f t="shared" si="9"/>
        <v>4.1602820583333342</v>
      </c>
      <c r="O23" s="114" t="s">
        <v>98</v>
      </c>
    </row>
    <row r="24" spans="1:16">
      <c r="A24" s="69" t="s">
        <v>77</v>
      </c>
      <c r="B24" s="128">
        <f t="shared" ref="B24:M24" si="10">T127*0.853</f>
        <v>3.4119999999999999</v>
      </c>
      <c r="C24" s="70">
        <f t="shared" si="10"/>
        <v>3.3891395999999996</v>
      </c>
      <c r="D24" s="70">
        <f t="shared" si="10"/>
        <v>3.3664323646799996</v>
      </c>
      <c r="E24" s="92">
        <f t="shared" si="10"/>
        <v>3.9409772678366433</v>
      </c>
      <c r="F24" s="92">
        <f t="shared" si="10"/>
        <v>4.4263727201421377</v>
      </c>
      <c r="G24" s="70">
        <f t="shared" si="10"/>
        <v>4.3967160229171851</v>
      </c>
      <c r="H24" s="92">
        <f t="shared" si="10"/>
        <v>5.2202580255636395</v>
      </c>
      <c r="I24" s="70">
        <f t="shared" si="10"/>
        <v>5.1852822967923622</v>
      </c>
      <c r="J24" s="70">
        <f t="shared" si="10"/>
        <v>5.1505409054038545</v>
      </c>
      <c r="K24" s="70">
        <f t="shared" si="10"/>
        <v>5.116032281337648</v>
      </c>
      <c r="L24" s="70">
        <f t="shared" si="10"/>
        <v>5.0817548650526847</v>
      </c>
      <c r="M24" s="70">
        <f t="shared" si="10"/>
        <v>6.2077871074568325</v>
      </c>
      <c r="N24" s="118">
        <f>T110</f>
        <v>4.5720800000000006</v>
      </c>
      <c r="O24" s="114" t="s">
        <v>97</v>
      </c>
      <c r="P24" s="20"/>
    </row>
    <row r="25" spans="1:16" ht="15.75" thickBot="1">
      <c r="A25" s="69" t="s">
        <v>78</v>
      </c>
      <c r="B25" s="178"/>
      <c r="C25" s="179"/>
      <c r="D25" s="179"/>
      <c r="E25" s="91">
        <v>2.2999999999999998</v>
      </c>
      <c r="F25" s="91">
        <v>2.2999999999999998</v>
      </c>
      <c r="G25" s="91">
        <v>2.2999999999999998</v>
      </c>
      <c r="H25" s="91">
        <v>2.2999999999999998</v>
      </c>
      <c r="I25" s="91">
        <v>2.2999999999999998</v>
      </c>
      <c r="J25" s="91">
        <v>2.2999999999999998</v>
      </c>
      <c r="K25" s="91">
        <v>2.2999999999999998</v>
      </c>
      <c r="L25" s="91">
        <v>2.2999999999999998</v>
      </c>
      <c r="M25" s="91">
        <v>2.2999999999999998</v>
      </c>
      <c r="N25" s="119">
        <v>2.2999999999999998</v>
      </c>
      <c r="O25" s="113"/>
    </row>
    <row r="26" spans="1:16" ht="15.75" thickBot="1">
      <c r="A26" s="71" t="s">
        <v>81</v>
      </c>
      <c r="B26" s="129">
        <f>SUM(B23:B25)</f>
        <v>6.5426612850000003</v>
      </c>
      <c r="C26" s="104">
        <f t="shared" ref="C26:M26" si="11">SUM(C23:C25)</f>
        <v>6.9310821149999997</v>
      </c>
      <c r="D26" s="104">
        <f t="shared" si="11"/>
        <v>6.8730587396799994</v>
      </c>
      <c r="E26" s="116">
        <f t="shared" si="11"/>
        <v>9.7641718728366449</v>
      </c>
      <c r="F26" s="116">
        <f t="shared" si="11"/>
        <v>10.298704185142139</v>
      </c>
      <c r="G26" s="116">
        <f t="shared" si="11"/>
        <v>10.703097152917184</v>
      </c>
      <c r="H26" s="116">
        <f t="shared" si="11"/>
        <v>11.521924950563641</v>
      </c>
      <c r="I26" s="116">
        <f t="shared" si="11"/>
        <v>12.121464941792361</v>
      </c>
      <c r="J26" s="104">
        <f t="shared" si="11"/>
        <v>12.140770525403855</v>
      </c>
      <c r="K26" s="116">
        <f t="shared" si="11"/>
        <v>12.539472531337648</v>
      </c>
      <c r="L26" s="104">
        <f t="shared" si="11"/>
        <v>12.494512875052685</v>
      </c>
      <c r="M26" s="104">
        <f t="shared" si="11"/>
        <v>13.585756982456832</v>
      </c>
      <c r="N26" s="120">
        <f>AVERAGE(B26:M26)</f>
        <v>10.45972317976525</v>
      </c>
      <c r="O26" s="115" t="s">
        <v>98</v>
      </c>
    </row>
    <row r="27" spans="1:16" ht="15.75" thickBot="1">
      <c r="A27" s="130" t="s">
        <v>101</v>
      </c>
      <c r="B27" s="131"/>
      <c r="C27" s="131"/>
      <c r="D27" s="131"/>
      <c r="E27" s="131">
        <f t="shared" ref="C27:N27" si="12">E26-E14</f>
        <v>1.9641718728366442</v>
      </c>
      <c r="F27" s="131">
        <f t="shared" si="12"/>
        <v>2.5987041851421386</v>
      </c>
      <c r="G27" s="131">
        <f t="shared" si="12"/>
        <v>3.0030971529171842</v>
      </c>
      <c r="H27" s="131">
        <f t="shared" si="12"/>
        <v>3.7219249505636398</v>
      </c>
      <c r="I27" s="131">
        <f t="shared" si="12"/>
        <v>4.3214649417923603</v>
      </c>
      <c r="J27" s="131">
        <f t="shared" si="12"/>
        <v>4.240770525403855</v>
      </c>
      <c r="K27" s="131">
        <f t="shared" si="12"/>
        <v>4.6394725313376473</v>
      </c>
      <c r="L27" s="131">
        <f t="shared" si="12"/>
        <v>4.6945128750526841</v>
      </c>
      <c r="M27" s="131">
        <f t="shared" si="12"/>
        <v>5.885756982456833</v>
      </c>
      <c r="N27" s="132">
        <f t="shared" si="12"/>
        <v>2.7597231797652491</v>
      </c>
    </row>
    <row r="28" spans="1:16" ht="15.75" thickBot="1">
      <c r="A28" s="103" t="s">
        <v>96</v>
      </c>
    </row>
    <row r="29" spans="1:16" ht="15.75" thickBot="1">
      <c r="A29" s="67" t="s">
        <v>84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93"/>
    </row>
    <row r="30" spans="1:16">
      <c r="A30" s="87" t="s">
        <v>57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 t="s">
        <v>88</v>
      </c>
      <c r="N30" s="10"/>
    </row>
    <row r="31" spans="1:16">
      <c r="A31" s="7" t="s">
        <v>56</v>
      </c>
      <c r="B31" s="8"/>
      <c r="C31" s="8"/>
      <c r="D31" s="8"/>
      <c r="E31" s="8"/>
      <c r="F31" s="8"/>
      <c r="G31" s="8" t="s">
        <v>88</v>
      </c>
      <c r="H31" s="8"/>
      <c r="I31" s="8"/>
      <c r="J31" s="8"/>
      <c r="K31" s="8" t="s">
        <v>88</v>
      </c>
      <c r="L31" s="8"/>
      <c r="M31" s="8"/>
      <c r="N31" s="10"/>
    </row>
    <row r="32" spans="1:16">
      <c r="A32" s="7" t="s">
        <v>58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0"/>
    </row>
    <row r="33" spans="1:15">
      <c r="A33" s="7" t="s">
        <v>86</v>
      </c>
      <c r="B33" s="8"/>
      <c r="C33" s="8"/>
      <c r="D33" s="8"/>
      <c r="E33" s="8" t="s">
        <v>87</v>
      </c>
      <c r="F33" s="8" t="s">
        <v>87</v>
      </c>
      <c r="G33" s="8" t="s">
        <v>87</v>
      </c>
      <c r="H33" s="8" t="s">
        <v>87</v>
      </c>
      <c r="I33" s="11" t="s">
        <v>85</v>
      </c>
      <c r="J33" s="8" t="s">
        <v>87</v>
      </c>
      <c r="K33" s="8" t="s">
        <v>87</v>
      </c>
      <c r="L33" s="8" t="s">
        <v>87</v>
      </c>
      <c r="M33" s="8"/>
      <c r="N33" s="10"/>
    </row>
    <row r="34" spans="1:15" ht="15.75" thickBot="1">
      <c r="A34" s="12" t="s">
        <v>80</v>
      </c>
      <c r="B34" s="13" t="s">
        <v>87</v>
      </c>
      <c r="C34" s="13"/>
      <c r="D34" s="13"/>
      <c r="E34" s="13"/>
      <c r="F34" s="13" t="s">
        <v>87</v>
      </c>
      <c r="G34" s="13"/>
      <c r="H34" s="13"/>
      <c r="I34" s="13"/>
      <c r="J34" s="13"/>
      <c r="K34" s="13"/>
      <c r="L34" s="13"/>
      <c r="M34" s="13"/>
      <c r="N34" s="94"/>
    </row>
    <row r="35" spans="1:15">
      <c r="A35" s="67" t="s">
        <v>77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93"/>
    </row>
    <row r="36" spans="1:15" ht="16.5" thickBot="1">
      <c r="A36" s="98" t="s">
        <v>59</v>
      </c>
      <c r="B36" s="13"/>
      <c r="C36" s="13"/>
      <c r="D36" s="13"/>
      <c r="E36" s="13" t="s">
        <v>89</v>
      </c>
      <c r="F36" s="13" t="s">
        <v>90</v>
      </c>
      <c r="G36" s="13"/>
      <c r="H36" s="13" t="s">
        <v>91</v>
      </c>
      <c r="I36" s="13"/>
      <c r="J36" s="13"/>
      <c r="K36" s="13"/>
      <c r="L36" s="13"/>
      <c r="M36" s="13"/>
      <c r="N36" s="94"/>
    </row>
    <row r="37" spans="1:15" ht="15.75" thickBot="1">
      <c r="A37" s="133" t="s">
        <v>104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93"/>
    </row>
    <row r="38" spans="1:15" ht="15.75" thickBot="1">
      <c r="A38" s="105" t="s">
        <v>77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4">
        <v>1</v>
      </c>
      <c r="N38" s="94"/>
    </row>
    <row r="39" spans="1:15" ht="15.75" thickBot="1"/>
    <row r="40" spans="1:15" ht="15.75" thickBot="1">
      <c r="A40" s="109" t="s">
        <v>107</v>
      </c>
      <c r="B40" s="67" t="s">
        <v>60</v>
      </c>
      <c r="C40" s="72" t="s">
        <v>61</v>
      </c>
      <c r="D40" s="72" t="s">
        <v>62</v>
      </c>
      <c r="E40" s="72" t="s">
        <v>63</v>
      </c>
      <c r="F40" s="72" t="s">
        <v>64</v>
      </c>
      <c r="G40" s="72" t="s">
        <v>65</v>
      </c>
      <c r="H40" s="72" t="s">
        <v>66</v>
      </c>
      <c r="I40" s="72" t="s">
        <v>67</v>
      </c>
      <c r="J40" s="72" t="s">
        <v>68</v>
      </c>
      <c r="K40" s="72" t="s">
        <v>69</v>
      </c>
      <c r="L40" s="72" t="s">
        <v>70</v>
      </c>
      <c r="M40" s="72" t="s">
        <v>71</v>
      </c>
      <c r="N40" s="73" t="s">
        <v>105</v>
      </c>
    </row>
    <row r="41" spans="1:15">
      <c r="A41" s="87" t="s">
        <v>57</v>
      </c>
      <c r="B41" s="88">
        <f>(B56)*0.533</f>
        <v>3.4485100000000002</v>
      </c>
      <c r="C41" s="88">
        <f t="shared" ref="C41:L41" si="13">(C56)*0.533</f>
        <v>3.4325200000000002</v>
      </c>
      <c r="D41" s="88">
        <f t="shared" si="13"/>
        <v>3.4218600000000001</v>
      </c>
      <c r="E41" s="88">
        <f t="shared" si="13"/>
        <v>3.4058700000000002</v>
      </c>
      <c r="F41" s="88">
        <f t="shared" si="13"/>
        <v>3.3952100000000001</v>
      </c>
      <c r="G41" s="88">
        <f t="shared" si="13"/>
        <v>3.3792200000000001</v>
      </c>
      <c r="H41" s="88">
        <f t="shared" si="13"/>
        <v>3.3685600000000004</v>
      </c>
      <c r="I41" s="88">
        <f t="shared" si="13"/>
        <v>3.3525700000000001</v>
      </c>
      <c r="J41" s="88">
        <f t="shared" si="13"/>
        <v>3.3419099999999999</v>
      </c>
      <c r="K41" s="88">
        <f t="shared" si="13"/>
        <v>3.3259200000000004</v>
      </c>
      <c r="L41" s="88">
        <f t="shared" si="13"/>
        <v>3.3152599999999999</v>
      </c>
      <c r="M41" s="102">
        <f>(M56)*0.533</f>
        <v>3.2992700000000004</v>
      </c>
      <c r="N41" s="122">
        <f>AVERAGE(B41:M41)</f>
        <v>3.3738900000000007</v>
      </c>
      <c r="O41" s="93" t="s">
        <v>92</v>
      </c>
    </row>
    <row r="42" spans="1:15">
      <c r="A42" s="7" t="s">
        <v>56</v>
      </c>
      <c r="B42" s="89">
        <f>(B57)*0.7295</f>
        <v>3.3484050000000001</v>
      </c>
      <c r="C42" s="89">
        <f t="shared" ref="C42:M42" si="14">(C57)*0.7295</f>
        <v>3.3265199999999999</v>
      </c>
      <c r="D42" s="89">
        <f t="shared" si="14"/>
        <v>3.3046350000000002</v>
      </c>
      <c r="E42" s="89">
        <f t="shared" si="14"/>
        <v>3.2827500000000001</v>
      </c>
      <c r="F42" s="89">
        <f t="shared" si="14"/>
        <v>3.2535700000000003</v>
      </c>
      <c r="G42" s="101">
        <f t="shared" si="14"/>
        <v>4.1873300000000002</v>
      </c>
      <c r="H42" s="89">
        <f t="shared" si="14"/>
        <v>4.1654450000000001</v>
      </c>
      <c r="I42" s="89">
        <f t="shared" si="14"/>
        <v>4.1362649999999999</v>
      </c>
      <c r="J42" s="89">
        <f t="shared" si="14"/>
        <v>4.1143799999999997</v>
      </c>
      <c r="K42" s="101">
        <f t="shared" si="14"/>
        <v>4.6833900000000002</v>
      </c>
      <c r="L42" s="89">
        <f t="shared" si="14"/>
        <v>4.65421</v>
      </c>
      <c r="M42" s="89">
        <f t="shared" si="14"/>
        <v>4.6250299999999998</v>
      </c>
      <c r="N42" s="124">
        <f t="shared" ref="N42:N45" si="15">AVERAGE(B42:M42)</f>
        <v>3.9234941666666665</v>
      </c>
      <c r="O42" s="10" t="s">
        <v>93</v>
      </c>
    </row>
    <row r="43" spans="1:15">
      <c r="A43" s="7" t="s">
        <v>58</v>
      </c>
      <c r="B43" s="89">
        <f>(B58)*0.25</f>
        <v>0.22500000000000001</v>
      </c>
      <c r="C43" s="101">
        <f t="shared" ref="C43:M43" si="16">(C58)*0.25</f>
        <v>0.625</v>
      </c>
      <c r="D43" s="89">
        <f t="shared" si="16"/>
        <v>0.625</v>
      </c>
      <c r="E43" s="89">
        <f t="shared" si="16"/>
        <v>0.625</v>
      </c>
      <c r="F43" s="89">
        <f t="shared" si="16"/>
        <v>0.6</v>
      </c>
      <c r="G43" s="89">
        <f t="shared" si="16"/>
        <v>0.6</v>
      </c>
      <c r="H43" s="89">
        <f t="shared" si="16"/>
        <v>0.6</v>
      </c>
      <c r="I43" s="89">
        <f t="shared" si="16"/>
        <v>0.57499999999999996</v>
      </c>
      <c r="J43" s="89">
        <f t="shared" si="16"/>
        <v>0.57499999999999996</v>
      </c>
      <c r="K43" s="89">
        <f t="shared" si="16"/>
        <v>0.57499999999999996</v>
      </c>
      <c r="L43" s="89">
        <f t="shared" si="16"/>
        <v>0.55000000000000004</v>
      </c>
      <c r="M43" s="89">
        <f t="shared" si="16"/>
        <v>0.55000000000000004</v>
      </c>
      <c r="N43" s="124">
        <f t="shared" si="15"/>
        <v>0.56041666666666667</v>
      </c>
      <c r="O43" s="10"/>
    </row>
    <row r="44" spans="1:15">
      <c r="A44" s="7" t="s">
        <v>72</v>
      </c>
      <c r="B44" s="89">
        <f>(B59)*0.455</f>
        <v>0.81900000000000006</v>
      </c>
      <c r="C44" s="89">
        <f t="shared" ref="C44:M44" si="17">(C59)*0.455</f>
        <v>0.77349999999999997</v>
      </c>
      <c r="D44" s="89">
        <f t="shared" si="17"/>
        <v>0.77349999999999997</v>
      </c>
      <c r="E44" s="101">
        <f t="shared" si="17"/>
        <v>1.5015000000000001</v>
      </c>
      <c r="F44" s="101">
        <f t="shared" si="17"/>
        <v>2.1840000000000002</v>
      </c>
      <c r="G44" s="101">
        <f t="shared" si="17"/>
        <v>3.0485000000000002</v>
      </c>
      <c r="H44" s="101">
        <f t="shared" si="17"/>
        <v>3.2760000000000002</v>
      </c>
      <c r="I44" s="101">
        <f t="shared" si="17"/>
        <v>22.204000000000001</v>
      </c>
      <c r="J44" s="101">
        <f t="shared" si="17"/>
        <v>23.296000000000003</v>
      </c>
      <c r="K44" s="101">
        <f t="shared" si="17"/>
        <v>24.661000000000001</v>
      </c>
      <c r="L44" s="101">
        <f t="shared" si="17"/>
        <v>24.5245</v>
      </c>
      <c r="M44" s="89">
        <f t="shared" si="17"/>
        <v>24.388000000000002</v>
      </c>
      <c r="N44" s="124">
        <f t="shared" si="15"/>
        <v>10.954124999999999</v>
      </c>
      <c r="O44" s="10" t="s">
        <v>94</v>
      </c>
    </row>
    <row r="45" spans="1:15" ht="15.75" thickBot="1">
      <c r="A45" s="12" t="s">
        <v>80</v>
      </c>
      <c r="B45" s="99">
        <f>(B60)*0.151</f>
        <v>0.11778</v>
      </c>
      <c r="C45" s="90">
        <f t="shared" ref="C45:M45" si="18">(C60)*0.151</f>
        <v>0.11627</v>
      </c>
      <c r="D45" s="90">
        <f t="shared" si="18"/>
        <v>0.11476</v>
      </c>
      <c r="E45" s="90">
        <f t="shared" si="18"/>
        <v>0.11324999999999999</v>
      </c>
      <c r="F45" s="99">
        <f t="shared" si="18"/>
        <v>0.21139999999999998</v>
      </c>
      <c r="G45" s="90">
        <f t="shared" si="18"/>
        <v>0.20837999999999998</v>
      </c>
      <c r="H45" s="90">
        <f t="shared" si="18"/>
        <v>0.20536000000000001</v>
      </c>
      <c r="I45" s="90">
        <f t="shared" si="18"/>
        <v>0.20385</v>
      </c>
      <c r="J45" s="90">
        <f t="shared" si="18"/>
        <v>0.20083000000000001</v>
      </c>
      <c r="K45" s="90">
        <f t="shared" si="18"/>
        <v>0.19781000000000001</v>
      </c>
      <c r="L45" s="90">
        <f t="shared" si="18"/>
        <v>0.1963</v>
      </c>
      <c r="M45" s="90">
        <f t="shared" si="18"/>
        <v>0.19328000000000001</v>
      </c>
      <c r="N45" s="126">
        <f t="shared" si="15"/>
        <v>0.17327250000000002</v>
      </c>
      <c r="O45" s="10" t="s">
        <v>95</v>
      </c>
    </row>
    <row r="46" spans="1:15" ht="15.75" thickBot="1">
      <c r="A46" s="138" t="s">
        <v>109</v>
      </c>
      <c r="B46" s="90">
        <f>SUM(B41:B45)</f>
        <v>7.9586949999999996</v>
      </c>
      <c r="C46" s="90">
        <f t="shared" ref="C46:N46" si="19">SUM(C41:C45)</f>
        <v>8.273810000000001</v>
      </c>
      <c r="D46" s="90">
        <f t="shared" si="19"/>
        <v>8.2397550000000006</v>
      </c>
      <c r="E46" s="90">
        <f t="shared" si="19"/>
        <v>8.928370000000001</v>
      </c>
      <c r="F46" s="90">
        <f t="shared" si="19"/>
        <v>9.6441800000000004</v>
      </c>
      <c r="G46" s="90">
        <f t="shared" si="19"/>
        <v>11.423430000000002</v>
      </c>
      <c r="H46" s="90">
        <f t="shared" si="19"/>
        <v>11.615365000000001</v>
      </c>
      <c r="I46" s="90">
        <f t="shared" si="19"/>
        <v>30.471684999999997</v>
      </c>
      <c r="J46" s="90">
        <f t="shared" si="19"/>
        <v>31.528120000000001</v>
      </c>
      <c r="K46" s="90">
        <f t="shared" si="19"/>
        <v>33.44312</v>
      </c>
      <c r="L46" s="90">
        <f t="shared" si="19"/>
        <v>33.240270000000002</v>
      </c>
      <c r="M46" s="90">
        <f t="shared" si="19"/>
        <v>33.055580000000006</v>
      </c>
      <c r="N46" s="126">
        <f t="shared" si="19"/>
        <v>18.985198333333333</v>
      </c>
    </row>
    <row r="49" spans="1:14" ht="15.75" thickBot="1">
      <c r="A49" s="66" t="s">
        <v>82</v>
      </c>
    </row>
    <row r="50" spans="1:14">
      <c r="A50" s="81" t="s">
        <v>57</v>
      </c>
      <c r="B50" s="82">
        <v>744.26</v>
      </c>
      <c r="C50" s="82">
        <v>740.13</v>
      </c>
      <c r="D50" s="82">
        <v>736.04</v>
      </c>
      <c r="E50" s="82">
        <v>732</v>
      </c>
      <c r="F50" s="82">
        <v>728</v>
      </c>
      <c r="G50" s="82">
        <v>724.06</v>
      </c>
      <c r="H50" s="82">
        <v>720.16</v>
      </c>
      <c r="I50" s="82">
        <v>716.3</v>
      </c>
      <c r="J50" s="82">
        <v>712.49</v>
      </c>
      <c r="K50" s="82">
        <v>708.73</v>
      </c>
      <c r="L50" s="82">
        <v>705.01</v>
      </c>
      <c r="M50" s="82">
        <v>701.33</v>
      </c>
      <c r="N50" s="83">
        <f>AVERAGE(B50:M50)</f>
        <v>722.37583333333339</v>
      </c>
    </row>
    <row r="51" spans="1:14">
      <c r="A51" s="74" t="s">
        <v>56</v>
      </c>
      <c r="B51" s="75">
        <v>3229.99</v>
      </c>
      <c r="C51" s="75">
        <v>3206.55</v>
      </c>
      <c r="D51" s="75">
        <v>3183.29</v>
      </c>
      <c r="E51" s="75">
        <v>3160.19</v>
      </c>
      <c r="F51" s="75">
        <v>3137.27</v>
      </c>
      <c r="G51" s="75">
        <v>3637.7</v>
      </c>
      <c r="H51" s="75">
        <v>3611.31</v>
      </c>
      <c r="I51" s="75">
        <v>3585.11</v>
      </c>
      <c r="J51" s="75">
        <v>3559.1</v>
      </c>
      <c r="K51" s="75">
        <v>4056.48</v>
      </c>
      <c r="L51" s="75">
        <v>4027.04</v>
      </c>
      <c r="M51" s="75">
        <v>3997.83</v>
      </c>
      <c r="N51" s="76">
        <f t="shared" ref="N51:N54" si="20">AVERAGE(B51:M51)</f>
        <v>3532.6550000000007</v>
      </c>
    </row>
    <row r="52" spans="1:14">
      <c r="A52" s="74" t="s">
        <v>58</v>
      </c>
      <c r="B52" s="75">
        <v>880</v>
      </c>
      <c r="C52" s="75">
        <v>2612</v>
      </c>
      <c r="D52" s="75">
        <v>2557</v>
      </c>
      <c r="E52" s="75">
        <v>2530</v>
      </c>
      <c r="F52" s="75">
        <v>2530</v>
      </c>
      <c r="G52" s="75">
        <v>2477</v>
      </c>
      <c r="H52" s="75">
        <v>2450</v>
      </c>
      <c r="I52" s="75">
        <v>2424</v>
      </c>
      <c r="J52" s="75">
        <v>2399</v>
      </c>
      <c r="K52" s="75">
        <v>2373</v>
      </c>
      <c r="L52" s="75">
        <v>2472</v>
      </c>
      <c r="M52" s="75">
        <v>2472</v>
      </c>
      <c r="N52" s="76">
        <f t="shared" si="20"/>
        <v>2348</v>
      </c>
    </row>
    <row r="53" spans="1:14">
      <c r="A53" s="74" t="s">
        <v>72</v>
      </c>
      <c r="B53" s="75">
        <v>100</v>
      </c>
      <c r="C53" s="75">
        <v>99</v>
      </c>
      <c r="D53" s="75">
        <v>98</v>
      </c>
      <c r="E53" s="75">
        <v>195</v>
      </c>
      <c r="F53" s="75">
        <v>290</v>
      </c>
      <c r="G53" s="75">
        <v>480</v>
      </c>
      <c r="H53" s="75">
        <v>536</v>
      </c>
      <c r="I53" s="75">
        <v>1996</v>
      </c>
      <c r="J53" s="75">
        <v>2179</v>
      </c>
      <c r="K53" s="75">
        <v>2357</v>
      </c>
      <c r="L53" s="75">
        <v>2335</v>
      </c>
      <c r="M53" s="75">
        <v>2314</v>
      </c>
      <c r="N53" s="76">
        <f t="shared" si="20"/>
        <v>1081.5833333333333</v>
      </c>
    </row>
    <row r="54" spans="1:14" ht="15.75" thickBot="1">
      <c r="A54" s="86" t="s">
        <v>80</v>
      </c>
      <c r="B54" s="100">
        <v>743</v>
      </c>
      <c r="C54" s="84">
        <v>730</v>
      </c>
      <c r="D54" s="84">
        <v>717</v>
      </c>
      <c r="E54" s="84">
        <v>705</v>
      </c>
      <c r="F54" s="100">
        <v>869</v>
      </c>
      <c r="G54" s="84">
        <v>855</v>
      </c>
      <c r="H54" s="84">
        <v>841</v>
      </c>
      <c r="I54" s="84">
        <v>827</v>
      </c>
      <c r="J54" s="84">
        <v>814</v>
      </c>
      <c r="K54" s="84">
        <v>800</v>
      </c>
      <c r="L54" s="84">
        <v>787</v>
      </c>
      <c r="M54" s="84">
        <v>774</v>
      </c>
      <c r="N54" s="85">
        <f t="shared" si="20"/>
        <v>788.5</v>
      </c>
    </row>
    <row r="55" spans="1:14" ht="15.75" thickBot="1">
      <c r="A55" s="135" t="s">
        <v>106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</row>
    <row r="56" spans="1:14">
      <c r="A56" s="81" t="s">
        <v>57</v>
      </c>
      <c r="B56" s="82">
        <v>6.47</v>
      </c>
      <c r="C56" s="82">
        <v>6.44</v>
      </c>
      <c r="D56" s="82">
        <v>6.42</v>
      </c>
      <c r="E56" s="82">
        <v>6.39</v>
      </c>
      <c r="F56" s="82">
        <v>6.37</v>
      </c>
      <c r="G56" s="82">
        <v>6.34</v>
      </c>
      <c r="H56" s="82">
        <v>6.32</v>
      </c>
      <c r="I56" s="82">
        <v>6.29</v>
      </c>
      <c r="J56" s="82">
        <v>6.27</v>
      </c>
      <c r="K56" s="82">
        <v>6.24</v>
      </c>
      <c r="L56" s="82">
        <v>6.22</v>
      </c>
      <c r="M56" s="82">
        <v>6.19</v>
      </c>
      <c r="N56" s="83">
        <f t="shared" ref="N56:N60" si="21">AVERAGE(B56:M56)</f>
        <v>6.3299999999999992</v>
      </c>
    </row>
    <row r="57" spans="1:14">
      <c r="A57" s="74" t="s">
        <v>56</v>
      </c>
      <c r="B57" s="75">
        <v>4.59</v>
      </c>
      <c r="C57" s="75">
        <v>4.5599999999999996</v>
      </c>
      <c r="D57" s="75">
        <v>4.53</v>
      </c>
      <c r="E57" s="75">
        <v>4.5</v>
      </c>
      <c r="F57" s="75">
        <v>4.46</v>
      </c>
      <c r="G57" s="75">
        <v>5.74</v>
      </c>
      <c r="H57" s="75">
        <v>5.71</v>
      </c>
      <c r="I57" s="75">
        <v>5.67</v>
      </c>
      <c r="J57" s="75">
        <v>5.64</v>
      </c>
      <c r="K57" s="75">
        <v>6.42</v>
      </c>
      <c r="L57" s="75">
        <v>6.38</v>
      </c>
      <c r="M57" s="75">
        <v>6.34</v>
      </c>
      <c r="N57" s="136">
        <f t="shared" si="21"/>
        <v>5.3783333333333339</v>
      </c>
    </row>
    <row r="58" spans="1:14">
      <c r="A58" s="74" t="s">
        <v>58</v>
      </c>
      <c r="B58" s="75">
        <v>0.9</v>
      </c>
      <c r="C58" s="75">
        <v>2.5</v>
      </c>
      <c r="D58" s="75">
        <v>2.5</v>
      </c>
      <c r="E58" s="75">
        <v>2.5</v>
      </c>
      <c r="F58" s="75">
        <v>2.4</v>
      </c>
      <c r="G58" s="75">
        <v>2.4</v>
      </c>
      <c r="H58" s="75">
        <v>2.4</v>
      </c>
      <c r="I58" s="75">
        <v>2.2999999999999998</v>
      </c>
      <c r="J58" s="75">
        <v>2.2999999999999998</v>
      </c>
      <c r="K58" s="75">
        <v>2.2999999999999998</v>
      </c>
      <c r="L58" s="75">
        <v>2.2000000000000002</v>
      </c>
      <c r="M58" s="75">
        <v>2.2000000000000002</v>
      </c>
      <c r="N58" s="136">
        <f t="shared" si="21"/>
        <v>2.2416666666666667</v>
      </c>
    </row>
    <row r="59" spans="1:14">
      <c r="A59" s="74" t="s">
        <v>72</v>
      </c>
      <c r="B59" s="8">
        <v>1.8</v>
      </c>
      <c r="C59" s="8">
        <v>1.7</v>
      </c>
      <c r="D59" s="8">
        <v>1.7</v>
      </c>
      <c r="E59" s="8">
        <v>3.3</v>
      </c>
      <c r="F59" s="8">
        <v>4.8</v>
      </c>
      <c r="G59" s="8">
        <v>6.7</v>
      </c>
      <c r="H59" s="8">
        <v>7.2</v>
      </c>
      <c r="I59" s="8">
        <v>48.8</v>
      </c>
      <c r="J59" s="8">
        <v>51.2</v>
      </c>
      <c r="K59" s="8">
        <v>54.2</v>
      </c>
      <c r="L59" s="8">
        <v>53.9</v>
      </c>
      <c r="M59" s="8">
        <v>53.6</v>
      </c>
      <c r="N59" s="136">
        <f t="shared" si="21"/>
        <v>24.075000000000003</v>
      </c>
    </row>
    <row r="60" spans="1:14" ht="15.75" thickBot="1">
      <c r="A60" s="86" t="s">
        <v>80</v>
      </c>
      <c r="B60" s="84">
        <v>0.78</v>
      </c>
      <c r="C60" s="84">
        <v>0.77</v>
      </c>
      <c r="D60" s="84">
        <v>0.76</v>
      </c>
      <c r="E60" s="84">
        <v>0.75</v>
      </c>
      <c r="F60" s="84">
        <v>1.4</v>
      </c>
      <c r="G60" s="84">
        <v>1.38</v>
      </c>
      <c r="H60" s="84">
        <v>1.36</v>
      </c>
      <c r="I60" s="84">
        <v>1.35</v>
      </c>
      <c r="J60" s="84">
        <v>1.33</v>
      </c>
      <c r="K60" s="84">
        <v>1.31</v>
      </c>
      <c r="L60" s="84">
        <v>1.3</v>
      </c>
      <c r="M60" s="84">
        <v>1.28</v>
      </c>
      <c r="N60" s="134">
        <f t="shared" si="21"/>
        <v>1.1475000000000002</v>
      </c>
    </row>
    <row r="61" spans="1:14" ht="15.75" thickBot="1">
      <c r="A61" s="105" t="s">
        <v>73</v>
      </c>
      <c r="B61" s="137">
        <f>SUM(B56:B60)</f>
        <v>14.54</v>
      </c>
      <c r="C61" s="137">
        <f t="shared" ref="C61:N61" si="22">SUM(C56:C60)</f>
        <v>15.969999999999999</v>
      </c>
      <c r="D61" s="137">
        <f t="shared" si="22"/>
        <v>15.909999999999998</v>
      </c>
      <c r="E61" s="137">
        <f t="shared" si="22"/>
        <v>17.440000000000001</v>
      </c>
      <c r="F61" s="137">
        <f t="shared" si="22"/>
        <v>19.43</v>
      </c>
      <c r="G61" s="137">
        <f t="shared" si="22"/>
        <v>22.56</v>
      </c>
      <c r="H61" s="137">
        <f t="shared" si="22"/>
        <v>22.990000000000002</v>
      </c>
      <c r="I61" s="137">
        <f t="shared" si="22"/>
        <v>64.41</v>
      </c>
      <c r="J61" s="137">
        <f t="shared" si="22"/>
        <v>66.739999999999995</v>
      </c>
      <c r="K61" s="137">
        <f t="shared" si="22"/>
        <v>70.47</v>
      </c>
      <c r="L61" s="137">
        <f t="shared" si="22"/>
        <v>70</v>
      </c>
      <c r="M61" s="137">
        <f t="shared" si="22"/>
        <v>69.61</v>
      </c>
      <c r="N61" s="132">
        <f t="shared" si="22"/>
        <v>39.172500000000007</v>
      </c>
    </row>
    <row r="62" spans="1:14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</row>
    <row r="63" spans="1:14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</row>
    <row r="78" spans="1:8" ht="15.75">
      <c r="A78" s="95"/>
      <c r="E78" s="96"/>
      <c r="F78" s="97"/>
      <c r="G78" s="96"/>
      <c r="H78" s="96"/>
    </row>
    <row r="83" spans="17:22" ht="15.75" thickBot="1"/>
    <row r="84" spans="17:22" ht="30">
      <c r="Q84" s="3" t="s">
        <v>3</v>
      </c>
      <c r="R84" s="4"/>
      <c r="S84" s="5" t="s">
        <v>0</v>
      </c>
      <c r="T84" s="6" t="s">
        <v>2</v>
      </c>
      <c r="V84" s="1" t="s">
        <v>1</v>
      </c>
    </row>
    <row r="85" spans="17:22">
      <c r="Q85" s="7">
        <v>0.53300000000000003</v>
      </c>
      <c r="R85" s="8"/>
      <c r="S85" s="9">
        <v>722</v>
      </c>
      <c r="T85" s="10">
        <f>S85*Q85</f>
        <v>384.82600000000002</v>
      </c>
      <c r="V85" s="2">
        <v>6.3</v>
      </c>
    </row>
    <row r="86" spans="17:22">
      <c r="Q86" s="7">
        <v>0.25</v>
      </c>
      <c r="R86" s="8"/>
      <c r="S86" s="9">
        <v>2653</v>
      </c>
      <c r="T86" s="10">
        <f>S86*Q86</f>
        <v>663.25</v>
      </c>
      <c r="V86" s="2">
        <v>0.9</v>
      </c>
    </row>
    <row r="87" spans="17:22">
      <c r="Q87" s="7">
        <v>0.45500000000000002</v>
      </c>
      <c r="R87" s="8"/>
      <c r="S87" s="9">
        <v>1125</v>
      </c>
      <c r="T87" s="10">
        <f>S87*Q87</f>
        <v>511.875</v>
      </c>
      <c r="V87" s="2">
        <v>24.8</v>
      </c>
    </row>
    <row r="88" spans="17:22">
      <c r="Q88" s="7">
        <v>0.151</v>
      </c>
      <c r="R88" s="8"/>
      <c r="S88" s="9">
        <v>789</v>
      </c>
      <c r="T88" s="10">
        <f>S88*Q88</f>
        <v>119.139</v>
      </c>
      <c r="V88" s="2">
        <v>1.2</v>
      </c>
    </row>
    <row r="89" spans="17:22">
      <c r="Q89" s="7">
        <v>0.64100000000000001</v>
      </c>
      <c r="R89" s="11">
        <v>0.72950000000000004</v>
      </c>
      <c r="S89" s="9">
        <v>3535</v>
      </c>
      <c r="T89" s="10">
        <f>S89*R89</f>
        <v>2578.7825000000003</v>
      </c>
      <c r="V89" s="2">
        <v>5.4</v>
      </c>
    </row>
    <row r="90" spans="17:22" ht="15.75" thickBot="1">
      <c r="Q90" s="12"/>
      <c r="R90" s="13"/>
      <c r="S90" s="14">
        <f>SUM(S85:S89)</f>
        <v>8824</v>
      </c>
      <c r="T90" s="15">
        <f>SUM(T85:T89)</f>
        <v>4257.8725000000004</v>
      </c>
      <c r="V90" s="2">
        <f>SUM(V85:V89)</f>
        <v>38.6</v>
      </c>
    </row>
    <row r="94" spans="17:22">
      <c r="S94" t="s">
        <v>4</v>
      </c>
    </row>
    <row r="95" spans="17:22">
      <c r="Q95" s="7">
        <v>0.45500000000000002</v>
      </c>
      <c r="R95" t="s">
        <v>5</v>
      </c>
      <c r="S95">
        <v>1550</v>
      </c>
      <c r="T95">
        <f>S95*Q95</f>
        <v>705.25</v>
      </c>
    </row>
    <row r="96" spans="17:22">
      <c r="Q96" s="7">
        <v>0.151</v>
      </c>
      <c r="R96" t="s">
        <v>6</v>
      </c>
      <c r="S96">
        <v>600</v>
      </c>
      <c r="T96">
        <f>S96*Q96</f>
        <v>90.6</v>
      </c>
    </row>
    <row r="97" spans="17:24">
      <c r="T97">
        <f>SUM(T95:T96)</f>
        <v>795.85</v>
      </c>
    </row>
    <row r="104" spans="17:24">
      <c r="Q104" t="s">
        <v>13</v>
      </c>
    </row>
    <row r="105" spans="17:24">
      <c r="Q105" s="16"/>
      <c r="R105" s="16"/>
      <c r="S105" s="16"/>
      <c r="T105" s="16"/>
      <c r="U105" s="16"/>
      <c r="V105" s="17"/>
    </row>
    <row r="106" spans="17:24">
      <c r="Q106" s="18" t="s">
        <v>7</v>
      </c>
      <c r="R106" s="18" t="s">
        <v>8</v>
      </c>
      <c r="S106" s="18" t="s">
        <v>9</v>
      </c>
      <c r="T106" s="18" t="s">
        <v>10</v>
      </c>
      <c r="U106" s="18" t="s">
        <v>11</v>
      </c>
      <c r="V106" s="18" t="s">
        <v>12</v>
      </c>
    </row>
    <row r="107" spans="17:24">
      <c r="Q107" s="19">
        <v>2.99</v>
      </c>
      <c r="R107" s="19">
        <f>'[1]2025BGT&amp;5YRMTP_MODERATE GROWTH'!Z71</f>
        <v>0</v>
      </c>
      <c r="S107" s="19">
        <f>'[1]2025BGT&amp;5YRMTP_MODERATE GROWTH'!AA71</f>
        <v>0</v>
      </c>
      <c r="T107" s="19">
        <v>5.36</v>
      </c>
      <c r="U107" s="19">
        <f>'[1]2025BGT&amp;5YRMTP_MODERATE GROWTH'!AD71</f>
        <v>0</v>
      </c>
      <c r="V107" s="19">
        <f>'[1]2025BGT&amp;5YRMTP_MODERATE GROWTH'!AE71</f>
        <v>0</v>
      </c>
    </row>
    <row r="108" spans="17:24" ht="15.75" thickBot="1">
      <c r="Q108" s="16"/>
      <c r="R108" s="16"/>
      <c r="S108" s="16"/>
      <c r="T108" s="16"/>
      <c r="U108" s="16"/>
      <c r="V108" s="17"/>
    </row>
    <row r="109" spans="17:24" ht="30">
      <c r="Q109" s="3" t="s">
        <v>14</v>
      </c>
      <c r="T109" s="6" t="s">
        <v>2</v>
      </c>
      <c r="V109" t="s">
        <v>17</v>
      </c>
      <c r="X109" t="s">
        <v>16</v>
      </c>
    </row>
    <row r="110" spans="17:24">
      <c r="Q110">
        <v>0.85299999999999998</v>
      </c>
      <c r="T110" s="20">
        <f>T107*Q110</f>
        <v>4.5720800000000006</v>
      </c>
      <c r="V110">
        <v>2.7</v>
      </c>
      <c r="X110" s="20">
        <f>T110-V110</f>
        <v>1.8720800000000004</v>
      </c>
    </row>
    <row r="112" spans="17:24">
      <c r="Q112" t="s">
        <v>15</v>
      </c>
    </row>
    <row r="114" spans="17:33">
      <c r="Q114" t="s">
        <v>18</v>
      </c>
    </row>
    <row r="115" spans="17:33">
      <c r="Q115">
        <v>3000</v>
      </c>
      <c r="T115">
        <f>Q115*Q110</f>
        <v>2559</v>
      </c>
    </row>
    <row r="118" spans="17:33" ht="15.75">
      <c r="Q118" s="21" t="s">
        <v>19</v>
      </c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3"/>
    </row>
    <row r="119" spans="17:33" ht="16.5" thickBot="1">
      <c r="Q119" s="24" t="s">
        <v>20</v>
      </c>
      <c r="R119" s="25"/>
      <c r="S119" s="25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3"/>
    </row>
    <row r="120" spans="17:33" ht="142.5" thickBot="1">
      <c r="Q120" s="26" t="s">
        <v>21</v>
      </c>
      <c r="R120" s="27" t="s">
        <v>22</v>
      </c>
      <c r="S120" s="27" t="s">
        <v>23</v>
      </c>
      <c r="T120" s="28" t="s">
        <v>24</v>
      </c>
      <c r="U120" s="28" t="s">
        <v>25</v>
      </c>
      <c r="V120" s="28" t="s">
        <v>26</v>
      </c>
      <c r="W120" s="28" t="s">
        <v>27</v>
      </c>
      <c r="X120" s="28" t="s">
        <v>28</v>
      </c>
      <c r="Y120" s="28" t="s">
        <v>29</v>
      </c>
      <c r="Z120" s="28" t="s">
        <v>30</v>
      </c>
      <c r="AA120" s="28" t="s">
        <v>31</v>
      </c>
      <c r="AB120" s="28" t="s">
        <v>32</v>
      </c>
      <c r="AC120" s="28" t="s">
        <v>33</v>
      </c>
      <c r="AD120" s="28" t="s">
        <v>34</v>
      </c>
      <c r="AE120" s="29" t="s">
        <v>35</v>
      </c>
      <c r="AF120" s="30" t="s">
        <v>36</v>
      </c>
      <c r="AG120" s="31"/>
    </row>
    <row r="121" spans="17:33" ht="15.75">
      <c r="Q121" s="32" t="s">
        <v>37</v>
      </c>
      <c r="R121" s="33" t="s">
        <v>38</v>
      </c>
      <c r="S121" s="34">
        <f>SUM(T121:AE121)</f>
        <v>1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1</v>
      </c>
      <c r="AD121" s="35">
        <v>0</v>
      </c>
      <c r="AE121" s="36">
        <v>0</v>
      </c>
      <c r="AF121" s="37"/>
      <c r="AG121" s="38"/>
    </row>
    <row r="122" spans="17:33" ht="15.75">
      <c r="Q122" s="39" t="s">
        <v>39</v>
      </c>
      <c r="R122" s="40" t="s">
        <v>38</v>
      </c>
      <c r="S122" s="41">
        <f t="shared" ref="S122:S126" si="23">SUM(T122:AE122)</f>
        <v>1</v>
      </c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3">
        <v>1</v>
      </c>
      <c r="AF122" s="44"/>
      <c r="AG122" s="38"/>
    </row>
    <row r="123" spans="17:33" ht="15.75">
      <c r="Q123" s="39" t="s">
        <v>40</v>
      </c>
      <c r="R123" s="40" t="s">
        <v>38</v>
      </c>
      <c r="S123" s="41">
        <f t="shared" si="23"/>
        <v>0</v>
      </c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3"/>
      <c r="AF123" s="44"/>
      <c r="AG123" s="38"/>
    </row>
    <row r="124" spans="17:33" ht="15.75">
      <c r="Q124" s="39" t="s">
        <v>41</v>
      </c>
      <c r="R124" s="40" t="s">
        <v>38</v>
      </c>
      <c r="S124" s="41">
        <f t="shared" si="23"/>
        <v>0</v>
      </c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3"/>
      <c r="AF124" s="45"/>
      <c r="AG124" s="38"/>
    </row>
    <row r="125" spans="17:33" ht="15.75">
      <c r="Q125" s="39" t="s">
        <v>42</v>
      </c>
      <c r="R125" s="40" t="s">
        <v>38</v>
      </c>
      <c r="S125" s="41">
        <f t="shared" si="23"/>
        <v>1</v>
      </c>
      <c r="T125" s="42"/>
      <c r="U125" s="42"/>
      <c r="V125" s="42"/>
      <c r="W125" s="42">
        <v>1</v>
      </c>
      <c r="X125" s="46"/>
      <c r="Y125" s="42"/>
      <c r="Z125" s="42"/>
      <c r="AA125" s="42"/>
      <c r="AB125" s="42"/>
      <c r="AC125" s="42"/>
      <c r="AD125" s="42"/>
      <c r="AE125" s="43"/>
      <c r="AF125" s="45" t="s">
        <v>43</v>
      </c>
      <c r="AG125" s="38"/>
    </row>
    <row r="126" spans="17:33" ht="15.75">
      <c r="Q126" s="39" t="s">
        <v>44</v>
      </c>
      <c r="R126" s="40" t="s">
        <v>38</v>
      </c>
      <c r="S126" s="41">
        <f t="shared" si="23"/>
        <v>10</v>
      </c>
      <c r="T126" s="42"/>
      <c r="U126" s="42"/>
      <c r="V126" s="42"/>
      <c r="W126" s="42">
        <v>2</v>
      </c>
      <c r="X126" s="46">
        <v>6</v>
      </c>
      <c r="Y126" s="42"/>
      <c r="Z126" s="42">
        <v>2</v>
      </c>
      <c r="AA126" s="42"/>
      <c r="AB126" s="42"/>
      <c r="AC126" s="42"/>
      <c r="AD126" s="42"/>
      <c r="AE126" s="43"/>
      <c r="AF126" s="45" t="s">
        <v>45</v>
      </c>
      <c r="AG126" s="38"/>
    </row>
    <row r="127" spans="17:33" ht="68.25" customHeight="1">
      <c r="Q127" s="47" t="s">
        <v>46</v>
      </c>
      <c r="R127" s="40" t="s">
        <v>47</v>
      </c>
      <c r="S127" s="48">
        <f>AVERAGE(T127:AE127)</f>
        <v>5.3627680204360102</v>
      </c>
      <c r="T127" s="49">
        <v>4</v>
      </c>
      <c r="U127" s="49">
        <v>3.9731999999999998</v>
      </c>
      <c r="V127" s="49">
        <v>3.9465795599999995</v>
      </c>
      <c r="W127" s="49">
        <v>4.620137476947999</v>
      </c>
      <c r="X127" s="49">
        <v>5.1891825558524474</v>
      </c>
      <c r="Y127" s="49">
        <v>5.1544150327282363</v>
      </c>
      <c r="Z127" s="49">
        <v>6.1198804520089558</v>
      </c>
      <c r="AA127" s="49">
        <v>6.0788772529804955</v>
      </c>
      <c r="AB127" s="49">
        <v>6.038148775385527</v>
      </c>
      <c r="AC127" s="49">
        <v>5.9976931785904437</v>
      </c>
      <c r="AD127" s="49">
        <v>5.9575086342938866</v>
      </c>
      <c r="AE127" s="49">
        <v>7.2775933264441175</v>
      </c>
      <c r="AF127" s="50"/>
      <c r="AG127" s="51">
        <f>S127*0.853</f>
        <v>4.5744411214319163</v>
      </c>
    </row>
    <row r="128" spans="17:33" ht="22.5" customHeight="1">
      <c r="Q128" s="47" t="s">
        <v>48</v>
      </c>
      <c r="R128" s="40" t="s">
        <v>47</v>
      </c>
      <c r="S128" s="48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0"/>
      <c r="AG128" s="51">
        <f t="shared" ref="AG128" si="24">S128*0.853</f>
        <v>0</v>
      </c>
    </row>
    <row r="129" spans="17:33" ht="60.75" customHeight="1">
      <c r="Q129" s="47" t="s">
        <v>49</v>
      </c>
      <c r="R129" s="40" t="s">
        <v>47</v>
      </c>
      <c r="S129" s="48">
        <f t="shared" ref="S129:S132" si="25">AVERAGE(T129:AE129)</f>
        <v>4.772863538188048</v>
      </c>
      <c r="T129" s="52">
        <f>0.89*T127</f>
        <v>3.56</v>
      </c>
      <c r="U129" s="52">
        <f t="shared" ref="U129:AE129" si="26">0.89*U127</f>
        <v>3.5361479999999998</v>
      </c>
      <c r="V129" s="52">
        <f t="shared" si="26"/>
        <v>3.5124558083999995</v>
      </c>
      <c r="W129" s="52">
        <f t="shared" si="26"/>
        <v>4.1119223544837196</v>
      </c>
      <c r="X129" s="52">
        <f t="shared" si="26"/>
        <v>4.6183724747086785</v>
      </c>
      <c r="Y129" s="52">
        <f t="shared" si="26"/>
        <v>4.58742937912813</v>
      </c>
      <c r="Z129" s="52">
        <f t="shared" si="26"/>
        <v>5.4466936022879704</v>
      </c>
      <c r="AA129" s="52">
        <f t="shared" si="26"/>
        <v>5.4102007551526414</v>
      </c>
      <c r="AB129" s="52">
        <f t="shared" si="26"/>
        <v>5.3739524100931195</v>
      </c>
      <c r="AC129" s="52">
        <f t="shared" si="26"/>
        <v>5.3379469289454953</v>
      </c>
      <c r="AD129" s="52">
        <f t="shared" si="26"/>
        <v>5.3021826845215587</v>
      </c>
      <c r="AE129" s="52">
        <f t="shared" si="26"/>
        <v>6.4770580605352643</v>
      </c>
      <c r="AF129" s="50" t="s">
        <v>50</v>
      </c>
      <c r="AG129" s="51">
        <f>S129*0.853</f>
        <v>4.0712525980744045</v>
      </c>
    </row>
    <row r="130" spans="17:33" ht="18" customHeight="1">
      <c r="Q130" s="47" t="s">
        <v>51</v>
      </c>
      <c r="R130" s="40" t="s">
        <v>47</v>
      </c>
      <c r="S130" s="48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0"/>
      <c r="AG130" s="53"/>
    </row>
    <row r="131" spans="17:33" ht="14.25" customHeight="1">
      <c r="Q131" s="54" t="s">
        <v>52</v>
      </c>
      <c r="R131" s="40" t="s">
        <v>47</v>
      </c>
      <c r="S131" s="48"/>
      <c r="T131" s="55"/>
      <c r="U131" s="55"/>
      <c r="V131" s="55"/>
      <c r="W131" s="55"/>
      <c r="X131" s="56"/>
      <c r="Y131" s="55"/>
      <c r="Z131" s="55"/>
      <c r="AA131" s="55"/>
      <c r="AB131" s="55"/>
      <c r="AC131" s="55"/>
      <c r="AD131" s="55"/>
      <c r="AE131" s="57"/>
      <c r="AF131" s="58"/>
      <c r="AG131" s="53"/>
    </row>
    <row r="132" spans="17:33" ht="30.75" customHeight="1" thickBot="1">
      <c r="Q132" s="59" t="s">
        <v>53</v>
      </c>
      <c r="R132" s="60" t="s">
        <v>47</v>
      </c>
      <c r="S132" s="61">
        <f t="shared" si="25"/>
        <v>0.80441520306540137</v>
      </c>
      <c r="T132" s="62">
        <f>15%*T127</f>
        <v>0.6</v>
      </c>
      <c r="U132" s="62">
        <f t="shared" ref="U132:AD132" si="27">15%*U127</f>
        <v>0.59597999999999995</v>
      </c>
      <c r="V132" s="62">
        <f t="shared" si="27"/>
        <v>0.59198693399999991</v>
      </c>
      <c r="W132" s="62">
        <f t="shared" si="27"/>
        <v>0.69302062154219979</v>
      </c>
      <c r="X132" s="62">
        <f t="shared" si="27"/>
        <v>0.7783773833778671</v>
      </c>
      <c r="Y132" s="62">
        <f t="shared" si="27"/>
        <v>0.7731622549092354</v>
      </c>
      <c r="Z132" s="62">
        <f t="shared" si="27"/>
        <v>0.91798206780134328</v>
      </c>
      <c r="AA132" s="62">
        <f t="shared" si="27"/>
        <v>0.91183158794707431</v>
      </c>
      <c r="AB132" s="62">
        <f t="shared" si="27"/>
        <v>0.90572231630782896</v>
      </c>
      <c r="AC132" s="62">
        <f t="shared" si="27"/>
        <v>0.89965397678856651</v>
      </c>
      <c r="AD132" s="62">
        <f t="shared" si="27"/>
        <v>0.89362629514408298</v>
      </c>
      <c r="AE132" s="62">
        <f>15%*AE127</f>
        <v>1.0916389989666175</v>
      </c>
      <c r="AF132" s="63" t="s">
        <v>54</v>
      </c>
      <c r="AG132" s="64"/>
    </row>
    <row r="134" spans="17:33" ht="15.75">
      <c r="Q134" t="s">
        <v>108</v>
      </c>
      <c r="W134" s="49">
        <f>W127-V127</f>
        <v>0.67355791694799949</v>
      </c>
      <c r="X134" s="49">
        <f>X127-W127</f>
        <v>0.56904507890444833</v>
      </c>
      <c r="Y134" s="64"/>
      <c r="Z134" s="49">
        <f>Z127-Y127</f>
        <v>0.96546541928071949</v>
      </c>
      <c r="AA134" s="49">
        <f>SUM(W134:Z134)</f>
        <v>2.2080684151331673</v>
      </c>
    </row>
    <row r="136" spans="17:33">
      <c r="Z136" t="s">
        <v>55</v>
      </c>
      <c r="AA136">
        <f>AA134*Q110</f>
        <v>1.8834823581085918</v>
      </c>
    </row>
  </sheetData>
  <phoneticPr fontId="1" type="noConversion"/>
  <pageMargins left="0.7" right="0.7" top="0.75" bottom="0.75" header="0.3" footer="0.3"/>
  <pageSetup orientation="portrait" r:id="rId1"/>
  <ignoredErrors>
    <ignoredError sqref="B12:N1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3E45-2685-40BA-A99A-7B6EEA251EA2}">
  <dimension ref="A4:U20"/>
  <sheetViews>
    <sheetView tabSelected="1" zoomScale="110" zoomScaleNormal="110" workbookViewId="0">
      <selection activeCell="N25" sqref="N25"/>
    </sheetView>
  </sheetViews>
  <sheetFormatPr defaultRowHeight="15"/>
  <cols>
    <col min="1" max="2" width="16.7109375" customWidth="1"/>
    <col min="3" max="3" width="14.85546875" customWidth="1"/>
    <col min="4" max="4" width="11.28515625" customWidth="1"/>
    <col min="5" max="5" width="15.28515625" style="2" customWidth="1"/>
    <col min="6" max="6" width="15.5703125" customWidth="1"/>
    <col min="7" max="7" width="19.140625" customWidth="1"/>
    <col min="8" max="8" width="13.28515625" customWidth="1"/>
    <col min="21" max="21" width="14" customWidth="1"/>
  </cols>
  <sheetData>
    <row r="4" spans="1:21" ht="15.75" thickBot="1"/>
    <row r="5" spans="1:21" ht="36" customHeight="1" thickBot="1">
      <c r="A5" s="139" t="s">
        <v>110</v>
      </c>
      <c r="B5" s="156" t="s">
        <v>111</v>
      </c>
      <c r="C5" s="184" t="s">
        <v>110</v>
      </c>
      <c r="D5" s="160" t="s">
        <v>139</v>
      </c>
      <c r="E5" s="192" t="s">
        <v>143</v>
      </c>
      <c r="F5" s="176" t="s">
        <v>141</v>
      </c>
      <c r="G5" s="93"/>
      <c r="H5" s="164" t="s">
        <v>110</v>
      </c>
      <c r="I5" s="162">
        <v>45681</v>
      </c>
      <c r="J5" s="162">
        <v>45712</v>
      </c>
      <c r="K5" s="162">
        <v>45740</v>
      </c>
      <c r="L5" s="162">
        <v>45771</v>
      </c>
      <c r="M5" s="162">
        <v>45801</v>
      </c>
      <c r="N5" s="162">
        <v>45832</v>
      </c>
      <c r="O5" s="162">
        <v>45862</v>
      </c>
      <c r="P5" s="162">
        <v>45893</v>
      </c>
      <c r="Q5" s="162">
        <v>45924</v>
      </c>
      <c r="R5" s="162">
        <v>45954</v>
      </c>
      <c r="S5" s="162">
        <v>45985</v>
      </c>
      <c r="T5" s="162">
        <v>46015</v>
      </c>
      <c r="U5" s="142" t="s">
        <v>128</v>
      </c>
    </row>
    <row r="6" spans="1:21" ht="15.75" thickBot="1">
      <c r="A6" s="140" t="s">
        <v>112</v>
      </c>
      <c r="B6" s="157" t="s">
        <v>113</v>
      </c>
      <c r="C6" s="185" t="s">
        <v>112</v>
      </c>
      <c r="D6" s="180">
        <f>E6/U10</f>
        <v>3.4808963785787839</v>
      </c>
      <c r="E6" s="177">
        <v>3873813</v>
      </c>
      <c r="F6" s="182">
        <f>U10</f>
        <v>1112878</v>
      </c>
      <c r="G6" s="10"/>
      <c r="H6" s="165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43" t="s">
        <v>129</v>
      </c>
    </row>
    <row r="7" spans="1:21" ht="15.75" thickBot="1">
      <c r="A7" s="140" t="s">
        <v>80</v>
      </c>
      <c r="B7" s="157" t="s">
        <v>114</v>
      </c>
      <c r="C7" s="185" t="s">
        <v>80</v>
      </c>
      <c r="D7" s="180">
        <f>E7/U13</f>
        <v>23.232094158174249</v>
      </c>
      <c r="E7" s="177">
        <v>485574</v>
      </c>
      <c r="F7" s="182">
        <f>U13</f>
        <v>20901</v>
      </c>
      <c r="G7" s="10"/>
      <c r="H7" s="144" t="s">
        <v>130</v>
      </c>
      <c r="I7" s="145">
        <v>0</v>
      </c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5">
        <v>0</v>
      </c>
    </row>
    <row r="8" spans="1:21" ht="15.75" thickBot="1">
      <c r="A8" s="140" t="s">
        <v>115</v>
      </c>
      <c r="B8" s="157" t="s">
        <v>116</v>
      </c>
      <c r="C8" s="185" t="s">
        <v>115</v>
      </c>
      <c r="D8" s="180">
        <f>E8/U15</f>
        <v>14.70761028544468</v>
      </c>
      <c r="E8" s="177">
        <v>1558639</v>
      </c>
      <c r="F8" s="182">
        <f>U15</f>
        <v>105975</v>
      </c>
      <c r="G8" s="10"/>
      <c r="H8" s="144" t="s">
        <v>121</v>
      </c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5">
        <v>0</v>
      </c>
    </row>
    <row r="9" spans="1:21" ht="15.75" thickBot="1">
      <c r="A9" s="140" t="s">
        <v>117</v>
      </c>
      <c r="B9" s="157" t="s">
        <v>118</v>
      </c>
      <c r="C9" s="185" t="s">
        <v>117</v>
      </c>
      <c r="D9" s="180">
        <f>E9/U11</f>
        <v>3.5771297444449197</v>
      </c>
      <c r="E9" s="177">
        <v>752925</v>
      </c>
      <c r="F9" s="182">
        <f>U11</f>
        <v>210483</v>
      </c>
      <c r="G9" s="10" t="s">
        <v>140</v>
      </c>
      <c r="H9" s="144" t="s">
        <v>131</v>
      </c>
      <c r="I9" s="145">
        <v>0</v>
      </c>
      <c r="J9" s="145">
        <v>56046.2</v>
      </c>
      <c r="K9" s="145">
        <v>21269.1</v>
      </c>
      <c r="L9" s="145">
        <v>20869.3</v>
      </c>
      <c r="M9" s="145">
        <v>31723.599999999999</v>
      </c>
      <c r="N9" s="145">
        <v>52153.9</v>
      </c>
      <c r="O9" s="145">
        <v>50956.7</v>
      </c>
      <c r="P9" s="145">
        <v>0</v>
      </c>
      <c r="Q9" s="145">
        <v>8722.5</v>
      </c>
      <c r="R9" s="145">
        <v>16800.5</v>
      </c>
      <c r="S9" s="145">
        <v>38534.199999999997</v>
      </c>
      <c r="T9" s="145">
        <v>24547</v>
      </c>
      <c r="U9" s="146">
        <v>321623.07299999997</v>
      </c>
    </row>
    <row r="10" spans="1:21" ht="15.75" thickBot="1">
      <c r="A10" s="140" t="s">
        <v>5</v>
      </c>
      <c r="B10" s="157" t="s">
        <v>119</v>
      </c>
      <c r="C10" s="185" t="s">
        <v>5</v>
      </c>
      <c r="D10" s="180">
        <f>E10/U14</f>
        <v>112.9591938678839</v>
      </c>
      <c r="E10" s="177">
        <v>6557846</v>
      </c>
      <c r="F10" s="182">
        <f>U14</f>
        <v>58055</v>
      </c>
      <c r="G10" s="10"/>
      <c r="H10" s="147" t="s">
        <v>132</v>
      </c>
      <c r="I10" s="148">
        <v>97127</v>
      </c>
      <c r="J10" s="148">
        <v>85647</v>
      </c>
      <c r="K10" s="148">
        <v>110804</v>
      </c>
      <c r="L10" s="148">
        <v>80875</v>
      </c>
      <c r="M10" s="148">
        <v>91712</v>
      </c>
      <c r="N10" s="148">
        <v>90269</v>
      </c>
      <c r="O10" s="148">
        <v>99276</v>
      </c>
      <c r="P10" s="148">
        <v>80974</v>
      </c>
      <c r="Q10" s="148">
        <v>98344</v>
      </c>
      <c r="R10" s="148">
        <v>95581</v>
      </c>
      <c r="S10" s="149">
        <v>89641</v>
      </c>
      <c r="T10" s="149">
        <v>92629</v>
      </c>
      <c r="U10" s="146">
        <v>1112878</v>
      </c>
    </row>
    <row r="11" spans="1:21" ht="30.75" thickBot="1">
      <c r="A11" s="140" t="s">
        <v>59</v>
      </c>
      <c r="B11" s="157" t="s">
        <v>120</v>
      </c>
      <c r="C11" s="185" t="s">
        <v>59</v>
      </c>
      <c r="D11" s="180">
        <f>E11/U16</f>
        <v>9.9559314164524029</v>
      </c>
      <c r="E11" s="177">
        <v>9636576</v>
      </c>
      <c r="F11" s="182">
        <f>U16</f>
        <v>967923.1</v>
      </c>
      <c r="G11" s="10"/>
      <c r="H11" s="150" t="s">
        <v>133</v>
      </c>
      <c r="I11" s="168">
        <v>0</v>
      </c>
      <c r="J11" s="168">
        <v>0</v>
      </c>
      <c r="K11" s="168">
        <v>0</v>
      </c>
      <c r="L11" s="168">
        <v>0</v>
      </c>
      <c r="M11" s="168">
        <v>0</v>
      </c>
      <c r="N11" s="166">
        <v>1081</v>
      </c>
      <c r="O11" s="168">
        <v>0</v>
      </c>
      <c r="P11" s="168">
        <v>0</v>
      </c>
      <c r="Q11" s="166">
        <v>41397</v>
      </c>
      <c r="R11" s="166">
        <v>84517</v>
      </c>
      <c r="S11" s="170">
        <v>41059</v>
      </c>
      <c r="T11" s="170">
        <v>42428</v>
      </c>
      <c r="U11" s="172">
        <v>210483</v>
      </c>
    </row>
    <row r="12" spans="1:21" ht="45.75" thickBot="1">
      <c r="A12" s="140" t="s">
        <v>121</v>
      </c>
      <c r="B12" s="157" t="s">
        <v>122</v>
      </c>
      <c r="C12" s="185" t="s">
        <v>121</v>
      </c>
      <c r="D12" s="180"/>
      <c r="E12" s="177">
        <v>7871077</v>
      </c>
      <c r="F12" s="183">
        <f>U8</f>
        <v>0</v>
      </c>
      <c r="G12" s="10"/>
      <c r="H12" s="151" t="s">
        <v>134</v>
      </c>
      <c r="I12" s="169"/>
      <c r="J12" s="169"/>
      <c r="K12" s="169"/>
      <c r="L12" s="169"/>
      <c r="M12" s="169"/>
      <c r="N12" s="167"/>
      <c r="O12" s="169"/>
      <c r="P12" s="169"/>
      <c r="Q12" s="167"/>
      <c r="R12" s="167"/>
      <c r="S12" s="171"/>
      <c r="T12" s="171"/>
      <c r="U12" s="173"/>
    </row>
    <row r="13" spans="1:21" ht="15.75" thickBot="1">
      <c r="A13" s="140" t="s">
        <v>123</v>
      </c>
      <c r="B13" s="157" t="s">
        <v>124</v>
      </c>
      <c r="C13" s="185" t="s">
        <v>123</v>
      </c>
      <c r="D13" s="181">
        <f>E13/U9</f>
        <v>8.1832655084419272</v>
      </c>
      <c r="E13" s="177">
        <v>2631927</v>
      </c>
      <c r="F13" s="182">
        <f>U9</f>
        <v>321623.07299999997</v>
      </c>
      <c r="G13" s="10"/>
      <c r="H13" s="147" t="s">
        <v>135</v>
      </c>
      <c r="I13" s="148">
        <v>1728</v>
      </c>
      <c r="J13" s="148">
        <v>1568</v>
      </c>
      <c r="K13" s="148">
        <v>2349</v>
      </c>
      <c r="L13" s="148">
        <v>1666</v>
      </c>
      <c r="M13" s="148">
        <v>1912</v>
      </c>
      <c r="N13" s="145">
        <v>911</v>
      </c>
      <c r="O13" s="145">
        <v>947</v>
      </c>
      <c r="P13" s="148">
        <v>1668</v>
      </c>
      <c r="Q13" s="148">
        <v>2791</v>
      </c>
      <c r="R13" s="148">
        <v>1445</v>
      </c>
      <c r="S13" s="149">
        <v>1925</v>
      </c>
      <c r="T13" s="149">
        <v>1990</v>
      </c>
      <c r="U13" s="146">
        <v>20901</v>
      </c>
    </row>
    <row r="14" spans="1:21" ht="15.75" thickBot="1">
      <c r="A14" s="141" t="s">
        <v>125</v>
      </c>
      <c r="B14" s="158" t="s">
        <v>126</v>
      </c>
      <c r="C14" s="186" t="s">
        <v>125</v>
      </c>
      <c r="D14" s="193">
        <f>E14/U18</f>
        <v>11.926485713868342</v>
      </c>
      <c r="E14" s="187">
        <f>SUM(E6:E13)</f>
        <v>33368377</v>
      </c>
      <c r="F14" s="188">
        <f>SUM(F6:F13)</f>
        <v>2797838.173</v>
      </c>
      <c r="G14" s="10"/>
      <c r="H14" s="147" t="s">
        <v>136</v>
      </c>
      <c r="I14" s="148">
        <v>2960</v>
      </c>
      <c r="J14" s="148">
        <v>3805</v>
      </c>
      <c r="K14" s="148">
        <v>6108</v>
      </c>
      <c r="L14" s="148">
        <v>4254</v>
      </c>
      <c r="M14" s="148">
        <v>4336</v>
      </c>
      <c r="N14" s="148">
        <v>12169</v>
      </c>
      <c r="O14" s="148">
        <v>5008</v>
      </c>
      <c r="P14" s="148">
        <v>4259</v>
      </c>
      <c r="Q14" s="148">
        <v>2819</v>
      </c>
      <c r="R14" s="148">
        <v>4596</v>
      </c>
      <c r="S14" s="149">
        <v>3807</v>
      </c>
      <c r="T14" s="149">
        <v>3934</v>
      </c>
      <c r="U14" s="146">
        <v>58055</v>
      </c>
    </row>
    <row r="15" spans="1:21" ht="15.75" thickBot="1">
      <c r="A15" s="7"/>
      <c r="B15" s="8"/>
      <c r="C15" s="12"/>
      <c r="D15" s="115"/>
      <c r="E15" s="189"/>
      <c r="F15" s="190">
        <f>F14/365</f>
        <v>7665.3100630136987</v>
      </c>
      <c r="G15" s="191" t="s">
        <v>142</v>
      </c>
      <c r="H15" s="147" t="s">
        <v>137</v>
      </c>
      <c r="I15" s="148">
        <v>5955</v>
      </c>
      <c r="J15" s="148">
        <v>5301</v>
      </c>
      <c r="K15" s="148">
        <v>9648</v>
      </c>
      <c r="L15" s="148">
        <v>10538</v>
      </c>
      <c r="M15" s="148">
        <v>11710</v>
      </c>
      <c r="N15" s="148">
        <v>8717</v>
      </c>
      <c r="O15" s="148">
        <v>4574</v>
      </c>
      <c r="P15" s="148">
        <v>10551</v>
      </c>
      <c r="Q15" s="148">
        <v>8239</v>
      </c>
      <c r="R15" s="148">
        <v>10993</v>
      </c>
      <c r="S15" s="149">
        <v>9712</v>
      </c>
      <c r="T15" s="149">
        <v>10036</v>
      </c>
      <c r="U15" s="146">
        <v>105975</v>
      </c>
    </row>
    <row r="16" spans="1:21" ht="15.75" thickBot="1">
      <c r="A16" s="7"/>
      <c r="B16" s="8"/>
      <c r="C16" s="7"/>
      <c r="D16" s="113"/>
      <c r="E16" s="174"/>
      <c r="H16" s="144" t="s">
        <v>59</v>
      </c>
      <c r="I16" s="148">
        <v>93823</v>
      </c>
      <c r="J16" s="148">
        <v>83542</v>
      </c>
      <c r="K16" s="148">
        <v>81536</v>
      </c>
      <c r="L16" s="148">
        <v>82916</v>
      </c>
      <c r="M16" s="148">
        <v>96998</v>
      </c>
      <c r="N16" s="148">
        <v>88588</v>
      </c>
      <c r="O16" s="148">
        <v>95922</v>
      </c>
      <c r="P16" s="148">
        <v>90877</v>
      </c>
      <c r="Q16" s="148">
        <v>68026</v>
      </c>
      <c r="R16" s="148">
        <v>23400</v>
      </c>
      <c r="S16" s="148">
        <v>61247</v>
      </c>
      <c r="T16" s="148">
        <v>101049</v>
      </c>
      <c r="U16" s="146">
        <v>967923.1</v>
      </c>
    </row>
    <row r="17" spans="1:21" ht="15.75" thickBot="1">
      <c r="A17" s="7"/>
      <c r="B17" s="8"/>
      <c r="C17" s="7"/>
      <c r="D17" s="113"/>
      <c r="E17" s="174"/>
      <c r="H17" s="144" t="s">
        <v>73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45" t="s">
        <v>138</v>
      </c>
    </row>
    <row r="18" spans="1:21">
      <c r="A18" s="7"/>
      <c r="B18" s="8"/>
      <c r="C18" s="7"/>
      <c r="D18" s="113"/>
      <c r="E18" s="174"/>
      <c r="U18">
        <f>SUM(U7:U16)</f>
        <v>2797838.173</v>
      </c>
    </row>
    <row r="19" spans="1:21" ht="15.75" thickBot="1">
      <c r="A19" s="7"/>
      <c r="B19" s="8"/>
      <c r="C19" s="7"/>
      <c r="D19" s="113"/>
      <c r="E19" s="174"/>
    </row>
    <row r="20" spans="1:21" ht="15.75" thickBot="1">
      <c r="A20" s="153" t="s">
        <v>127</v>
      </c>
      <c r="B20" s="159"/>
      <c r="C20" s="153" t="s">
        <v>127</v>
      </c>
      <c r="D20" s="161">
        <f>E20/U20</f>
        <v>8.7707134957952437</v>
      </c>
      <c r="E20" s="175">
        <f>E6+E7+E8+E9+E10</f>
        <v>13228797</v>
      </c>
      <c r="H20" s="153" t="s">
        <v>127</v>
      </c>
      <c r="I20" s="154">
        <f t="shared" ref="I20:T20" si="0">I10+I11+I13+I14+I15</f>
        <v>107770</v>
      </c>
      <c r="J20" s="154">
        <f t="shared" si="0"/>
        <v>96321</v>
      </c>
      <c r="K20" s="154">
        <f t="shared" si="0"/>
        <v>128909</v>
      </c>
      <c r="L20" s="154">
        <f t="shared" si="0"/>
        <v>97333</v>
      </c>
      <c r="M20" s="154">
        <f t="shared" si="0"/>
        <v>109670</v>
      </c>
      <c r="N20" s="154">
        <f t="shared" si="0"/>
        <v>113147</v>
      </c>
      <c r="O20" s="154">
        <f t="shared" si="0"/>
        <v>109805</v>
      </c>
      <c r="P20" s="154">
        <f t="shared" si="0"/>
        <v>97452</v>
      </c>
      <c r="Q20" s="154">
        <f t="shared" si="0"/>
        <v>153590</v>
      </c>
      <c r="R20" s="154">
        <f t="shared" si="0"/>
        <v>197132</v>
      </c>
      <c r="S20" s="154">
        <f t="shared" si="0"/>
        <v>146144</v>
      </c>
      <c r="T20" s="154">
        <f t="shared" si="0"/>
        <v>151017</v>
      </c>
      <c r="U20" s="155">
        <f>U10+U11+U13+U14+U15</f>
        <v>1508292</v>
      </c>
    </row>
  </sheetData>
  <mergeCells count="26">
    <mergeCell ref="I11:I12"/>
    <mergeCell ref="J11:J12"/>
    <mergeCell ref="K11:K12"/>
    <mergeCell ref="L11:L12"/>
    <mergeCell ref="M11:M12"/>
    <mergeCell ref="R11:R12"/>
    <mergeCell ref="S11:S12"/>
    <mergeCell ref="T11:T12"/>
    <mergeCell ref="U11:U12"/>
    <mergeCell ref="T5:T6"/>
    <mergeCell ref="N11:N12"/>
    <mergeCell ref="O11:O12"/>
    <mergeCell ref="P11:P12"/>
    <mergeCell ref="Q11:Q12"/>
    <mergeCell ref="N5:N6"/>
    <mergeCell ref="O5:O6"/>
    <mergeCell ref="P5:P6"/>
    <mergeCell ref="Q5:Q6"/>
    <mergeCell ref="R5:R6"/>
    <mergeCell ref="S5:S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6AE1-FCF1-40F3-A81C-9361A07B1BD9}">
  <dimension ref="E2:R19"/>
  <sheetViews>
    <sheetView workbookViewId="0">
      <selection activeCell="E3" sqref="E3:R19"/>
    </sheetView>
  </sheetViews>
  <sheetFormatPr defaultRowHeight="15"/>
  <cols>
    <col min="5" max="5" width="21.85546875" customWidth="1"/>
    <col min="18" max="18" width="14.28515625" customWidth="1"/>
  </cols>
  <sheetData>
    <row r="2" spans="5:18" ht="15.75" thickBot="1"/>
    <row r="3" spans="5:18" ht="30">
      <c r="E3" s="164" t="s">
        <v>110</v>
      </c>
      <c r="F3" s="162">
        <v>45681</v>
      </c>
      <c r="G3" s="162">
        <v>45712</v>
      </c>
      <c r="H3" s="162">
        <v>45740</v>
      </c>
      <c r="I3" s="162">
        <v>45771</v>
      </c>
      <c r="J3" s="162">
        <v>45801</v>
      </c>
      <c r="K3" s="162">
        <v>45832</v>
      </c>
      <c r="L3" s="162">
        <v>45862</v>
      </c>
      <c r="M3" s="162">
        <v>45893</v>
      </c>
      <c r="N3" s="162">
        <v>45924</v>
      </c>
      <c r="O3" s="162">
        <v>45954</v>
      </c>
      <c r="P3" s="162">
        <v>45985</v>
      </c>
      <c r="Q3" s="162">
        <v>46015</v>
      </c>
      <c r="R3" s="142" t="s">
        <v>128</v>
      </c>
    </row>
    <row r="4" spans="5:18" ht="15.75" thickBot="1">
      <c r="E4" s="165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43" t="s">
        <v>129</v>
      </c>
    </row>
    <row r="5" spans="5:18" ht="15.75" thickBot="1">
      <c r="E5" s="144" t="s">
        <v>130</v>
      </c>
      <c r="F5" s="145">
        <v>0</v>
      </c>
      <c r="G5" s="145">
        <v>0</v>
      </c>
      <c r="H5" s="145">
        <v>0</v>
      </c>
      <c r="I5" s="145">
        <v>0</v>
      </c>
      <c r="J5" s="145">
        <v>0</v>
      </c>
      <c r="K5" s="145">
        <v>0</v>
      </c>
      <c r="L5" s="145">
        <v>0</v>
      </c>
      <c r="M5" s="145">
        <v>0</v>
      </c>
      <c r="N5" s="145">
        <v>0</v>
      </c>
      <c r="O5" s="145">
        <v>0</v>
      </c>
      <c r="P5" s="145">
        <v>0</v>
      </c>
      <c r="Q5" s="145">
        <v>0</v>
      </c>
      <c r="R5" s="145">
        <v>0</v>
      </c>
    </row>
    <row r="6" spans="5:18" ht="15.75" thickBot="1">
      <c r="E6" s="144" t="s">
        <v>121</v>
      </c>
      <c r="F6" s="145">
        <v>0</v>
      </c>
      <c r="G6" s="145">
        <v>0</v>
      </c>
      <c r="H6" s="145">
        <v>0</v>
      </c>
      <c r="I6" s="145">
        <v>0</v>
      </c>
      <c r="J6" s="145">
        <v>0</v>
      </c>
      <c r="K6" s="145">
        <v>0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</row>
    <row r="7" spans="5:18" ht="15.75" thickBot="1">
      <c r="E7" s="144" t="s">
        <v>131</v>
      </c>
      <c r="F7" s="145">
        <v>0</v>
      </c>
      <c r="G7" s="145">
        <v>56046.2</v>
      </c>
      <c r="H7" s="145">
        <v>21269.1</v>
      </c>
      <c r="I7" s="145">
        <v>20869.3</v>
      </c>
      <c r="J7" s="145">
        <v>31723.599999999999</v>
      </c>
      <c r="K7" s="145">
        <v>52153.9</v>
      </c>
      <c r="L7" s="145">
        <v>50956.7</v>
      </c>
      <c r="M7" s="145">
        <v>0</v>
      </c>
      <c r="N7" s="145">
        <v>8722.5</v>
      </c>
      <c r="O7" s="145">
        <v>16800.5</v>
      </c>
      <c r="P7" s="145">
        <v>38534.199999999997</v>
      </c>
      <c r="Q7" s="145">
        <v>24547</v>
      </c>
      <c r="R7" s="146">
        <v>321623.07299999997</v>
      </c>
    </row>
    <row r="8" spans="5:18" ht="15.75" thickBot="1">
      <c r="E8" s="147" t="s">
        <v>132</v>
      </c>
      <c r="F8" s="148">
        <v>97127</v>
      </c>
      <c r="G8" s="148">
        <v>85647</v>
      </c>
      <c r="H8" s="148">
        <v>110804</v>
      </c>
      <c r="I8" s="148">
        <v>80875</v>
      </c>
      <c r="J8" s="148">
        <v>91712</v>
      </c>
      <c r="K8" s="148">
        <v>90269</v>
      </c>
      <c r="L8" s="148">
        <v>99276</v>
      </c>
      <c r="M8" s="148">
        <v>80974</v>
      </c>
      <c r="N8" s="148">
        <v>98344</v>
      </c>
      <c r="O8" s="148">
        <v>95581</v>
      </c>
      <c r="P8" s="149">
        <v>89641</v>
      </c>
      <c r="Q8" s="149">
        <v>92629</v>
      </c>
      <c r="R8" s="146">
        <v>1112878</v>
      </c>
    </row>
    <row r="9" spans="5:18">
      <c r="E9" s="150" t="s">
        <v>133</v>
      </c>
      <c r="F9" s="168">
        <v>0</v>
      </c>
      <c r="G9" s="168">
        <v>0</v>
      </c>
      <c r="H9" s="168">
        <v>0</v>
      </c>
      <c r="I9" s="168">
        <v>0</v>
      </c>
      <c r="J9" s="168">
        <v>0</v>
      </c>
      <c r="K9" s="166">
        <v>1081</v>
      </c>
      <c r="L9" s="168">
        <v>0</v>
      </c>
      <c r="M9" s="168">
        <v>0</v>
      </c>
      <c r="N9" s="166">
        <v>41397</v>
      </c>
      <c r="O9" s="166">
        <v>84517</v>
      </c>
      <c r="P9" s="170">
        <v>41059</v>
      </c>
      <c r="Q9" s="170">
        <v>42428</v>
      </c>
      <c r="R9" s="172">
        <v>210483</v>
      </c>
    </row>
    <row r="10" spans="5:18" ht="30.75" thickBot="1">
      <c r="E10" s="151" t="s">
        <v>134</v>
      </c>
      <c r="F10" s="169"/>
      <c r="G10" s="169"/>
      <c r="H10" s="169"/>
      <c r="I10" s="169"/>
      <c r="J10" s="169"/>
      <c r="K10" s="167"/>
      <c r="L10" s="169"/>
      <c r="M10" s="169"/>
      <c r="N10" s="167"/>
      <c r="O10" s="167"/>
      <c r="P10" s="171"/>
      <c r="Q10" s="171"/>
      <c r="R10" s="173"/>
    </row>
    <row r="11" spans="5:18" ht="15.75" thickBot="1">
      <c r="E11" s="147" t="s">
        <v>135</v>
      </c>
      <c r="F11" s="148">
        <v>1728</v>
      </c>
      <c r="G11" s="148">
        <v>1568</v>
      </c>
      <c r="H11" s="148">
        <v>2349</v>
      </c>
      <c r="I11" s="148">
        <v>1666</v>
      </c>
      <c r="J11" s="148">
        <v>1912</v>
      </c>
      <c r="K11" s="145">
        <v>911</v>
      </c>
      <c r="L11" s="145">
        <v>947</v>
      </c>
      <c r="M11" s="148">
        <v>1668</v>
      </c>
      <c r="N11" s="148">
        <v>2791</v>
      </c>
      <c r="O11" s="148">
        <v>1445</v>
      </c>
      <c r="P11" s="149">
        <v>1925</v>
      </c>
      <c r="Q11" s="149">
        <v>1990</v>
      </c>
      <c r="R11" s="146">
        <v>20901</v>
      </c>
    </row>
    <row r="12" spans="5:18" ht="15.75" thickBot="1">
      <c r="E12" s="147" t="s">
        <v>136</v>
      </c>
      <c r="F12" s="148">
        <v>2960</v>
      </c>
      <c r="G12" s="148">
        <v>3805</v>
      </c>
      <c r="H12" s="148">
        <v>6108</v>
      </c>
      <c r="I12" s="148">
        <v>4254</v>
      </c>
      <c r="J12" s="148">
        <v>4336</v>
      </c>
      <c r="K12" s="148">
        <v>12169</v>
      </c>
      <c r="L12" s="148">
        <v>5008</v>
      </c>
      <c r="M12" s="148">
        <v>4259</v>
      </c>
      <c r="N12" s="148">
        <v>2819</v>
      </c>
      <c r="O12" s="148">
        <v>4596</v>
      </c>
      <c r="P12" s="149">
        <v>3807</v>
      </c>
      <c r="Q12" s="149">
        <v>3934</v>
      </c>
      <c r="R12" s="146">
        <v>58055</v>
      </c>
    </row>
    <row r="13" spans="5:18" ht="15.75" thickBot="1">
      <c r="E13" s="147" t="s">
        <v>137</v>
      </c>
      <c r="F13" s="148">
        <v>5955</v>
      </c>
      <c r="G13" s="148">
        <v>5301</v>
      </c>
      <c r="H13" s="148">
        <v>9648</v>
      </c>
      <c r="I13" s="148">
        <v>10538</v>
      </c>
      <c r="J13" s="148">
        <v>11710</v>
      </c>
      <c r="K13" s="148">
        <v>8717</v>
      </c>
      <c r="L13" s="148">
        <v>4574</v>
      </c>
      <c r="M13" s="148">
        <v>10551</v>
      </c>
      <c r="N13" s="148">
        <v>8239</v>
      </c>
      <c r="O13" s="148">
        <v>10993</v>
      </c>
      <c r="P13" s="149">
        <v>9712</v>
      </c>
      <c r="Q13" s="149">
        <v>10036</v>
      </c>
      <c r="R13" s="146">
        <v>105975</v>
      </c>
    </row>
    <row r="14" spans="5:18" ht="15.75" thickBot="1">
      <c r="E14" s="144" t="s">
        <v>59</v>
      </c>
      <c r="F14" s="148">
        <v>93823</v>
      </c>
      <c r="G14" s="148">
        <v>83542</v>
      </c>
      <c r="H14" s="148">
        <v>81536</v>
      </c>
      <c r="I14" s="148">
        <v>82916</v>
      </c>
      <c r="J14" s="148">
        <v>96998</v>
      </c>
      <c r="K14" s="148">
        <v>88588</v>
      </c>
      <c r="L14" s="148">
        <v>95922</v>
      </c>
      <c r="M14" s="148">
        <v>90877</v>
      </c>
      <c r="N14" s="148">
        <v>68026</v>
      </c>
      <c r="O14" s="148">
        <v>23400</v>
      </c>
      <c r="P14" s="148">
        <v>61247</v>
      </c>
      <c r="Q14" s="148">
        <v>101049</v>
      </c>
      <c r="R14" s="146">
        <v>967923.1</v>
      </c>
    </row>
    <row r="15" spans="5:18" ht="15.75" thickBot="1">
      <c r="E15" s="144" t="s">
        <v>73</v>
      </c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45" t="s">
        <v>138</v>
      </c>
    </row>
    <row r="18" spans="5:18" ht="15.75" thickBot="1"/>
    <row r="19" spans="5:18" ht="15.75" thickBot="1">
      <c r="E19" s="153" t="s">
        <v>127</v>
      </c>
      <c r="F19" s="154">
        <f t="shared" ref="F19:R19" si="0">F8+F9+F11+F12+F13</f>
        <v>107770</v>
      </c>
      <c r="G19" s="154">
        <f t="shared" si="0"/>
        <v>96321</v>
      </c>
      <c r="H19" s="154">
        <f t="shared" si="0"/>
        <v>128909</v>
      </c>
      <c r="I19" s="154">
        <f t="shared" si="0"/>
        <v>97333</v>
      </c>
      <c r="J19" s="154">
        <f t="shared" si="0"/>
        <v>109670</v>
      </c>
      <c r="K19" s="154">
        <f t="shared" si="0"/>
        <v>113147</v>
      </c>
      <c r="L19" s="154">
        <f t="shared" si="0"/>
        <v>109805</v>
      </c>
      <c r="M19" s="154">
        <f t="shared" si="0"/>
        <v>97452</v>
      </c>
      <c r="N19" s="154">
        <f t="shared" si="0"/>
        <v>153590</v>
      </c>
      <c r="O19" s="154">
        <f t="shared" si="0"/>
        <v>197132</v>
      </c>
      <c r="P19" s="154">
        <f t="shared" si="0"/>
        <v>146144</v>
      </c>
      <c r="Q19" s="154">
        <f t="shared" si="0"/>
        <v>151017</v>
      </c>
      <c r="R19" s="155">
        <f t="shared" si="0"/>
        <v>1508292</v>
      </c>
    </row>
  </sheetData>
  <mergeCells count="26">
    <mergeCell ref="J3:J4"/>
    <mergeCell ref="E3:E4"/>
    <mergeCell ref="F3:F4"/>
    <mergeCell ref="G3:G4"/>
    <mergeCell ref="H3:H4"/>
    <mergeCell ref="I3:I4"/>
    <mergeCell ref="K9:K10"/>
    <mergeCell ref="L9:L10"/>
    <mergeCell ref="M9:M10"/>
    <mergeCell ref="N9:N10"/>
    <mergeCell ref="K3:K4"/>
    <mergeCell ref="L3:L4"/>
    <mergeCell ref="M3:M4"/>
    <mergeCell ref="N3:N4"/>
    <mergeCell ref="F9:F10"/>
    <mergeCell ref="G9:G10"/>
    <mergeCell ref="H9:H10"/>
    <mergeCell ref="I9:I10"/>
    <mergeCell ref="J9:J10"/>
    <mergeCell ref="O9:O10"/>
    <mergeCell ref="P9:P10"/>
    <mergeCell ref="Q9:Q10"/>
    <mergeCell ref="R9:R10"/>
    <mergeCell ref="Q3:Q4"/>
    <mergeCell ref="O3:O4"/>
    <mergeCell ref="P3:P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Promise</vt:lpstr>
      <vt:lpstr>2024 Cost Accrual</vt:lpstr>
      <vt:lpstr>2024 Actual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Obidike, Peter O SPDC-IUC/G/UC</dc:creator>
  <cp:lastModifiedBy>Obidike, Peter O SPDC-IUC/G/UC</cp:lastModifiedBy>
  <dcterms:created xsi:type="dcterms:W3CDTF">2025-01-10T12:33:24Z</dcterms:created>
  <dcterms:modified xsi:type="dcterms:W3CDTF">2025-02-04T11:24:42Z</dcterms:modified>
</cp:coreProperties>
</file>