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bookViews>
    <workbookView xWindow="0" yWindow="0" windowWidth="20490" windowHeight="7530"/>
  </bookViews>
  <sheets>
    <sheet name="CSD" sheetId="2" r:id="rId1"/>
    <sheet name="Sheet1 (2)" sheetId="5" r:id="rId2"/>
    <sheet name="Sheet1" sheetId="4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#REF!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#REF!</definedName>
    <definedName name="ag_correction" localSheetId="0">#REF!</definedName>
    <definedName name="ag_correction">#REF!</definedName>
    <definedName name="AG_Flare_Rate_Input" localSheetId="0">#REF!</definedName>
    <definedName name="AG_Flare_Rate_Input">#REF!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to_Oil_Ratio" localSheetId="0">'[12]Reserves Breakdown'!#REF!</definedName>
    <definedName name="AG_to_Oil_Ratio">'[12]Reserves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#REF!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#REF!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>[12]Calculations!#REF!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'[15]Erha reconciliation'!#REF!</definedName>
    <definedName name="AP_after_ET">'[15]Erha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[17]Economics!$C$13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IF('[18]prodprof 1'!XEE1&lt;=[0]!CumP,'[18]prodprof 1'!XEE1*[0]!GORP,[0]!CumP*[0]!GORP+('[18]prodprof 1'!XEE1-[0]!CumP)*([0]!GORP+('[18]prodprof 1'!XEE1-[0]!CumP)*0.5*[0]!SlopeG))</definedName>
    <definedName name="aszdxfc">IF('[18]prodprof 1'!XEE1&lt;=CumP,'[18]prodprof 1'!XEE1*GORP,CumP*GORP+('[18]prodprof 1'!XEE1-CumP)*(GORP+('[18]prodprof 1'!XEE1-CumP)*0.5*SlopeG))</definedName>
    <definedName name="aszdxfc1" localSheetId="0">IF('[18]prodprof 1'!XEE1&lt;=[0]!CumP,'[18]prodprof 1'!XEE1*[0]!GORP,[0]!CumP*[0]!GORP+('[18]prodprof 1'!XEE1-[0]!CumP)*([0]!GORP+('[18]prodprof 1'!XEE1-[0]!CumP)*0.5*[0]!SlopeG))</definedName>
    <definedName name="aszdxfc1">IF('[18]prodprof 1'!XEE1&lt;=CumP,'[18]prodprof 1'!XEE1*GORP,CumP*GORP+('[18]prodprof 1'!XEE1-CumP)*(GORP+('[18]prodprof 1'!XEE1-CumP)*0.5*SlopeG))</definedName>
    <definedName name="aszdxfc1000" localSheetId="0">IF('[18]prodprof 1'!XEE1&lt;=[0]!CumP,'[18]prodprof 1'!XEE1*[0]!GORP,[0]!CumP*[0]!GORP+('[18]prodprof 1'!XEE1-[0]!CumP)*([0]!GORP+('[18]prodprof 1'!XEE1-[0]!CumP)*0.5*[0]!SlopeG))</definedName>
    <definedName name="aszdxfc1000">IF('[18]prodprof 1'!XEE1&lt;=CumP,'[18]prodprof 1'!XEE1*GORP,CumP*GORP+('[18]prodprof 1'!XEE1-CumP)*(GORP+('[18]prodprof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'[19]AWARDED (2)'!$A$5:$B$74</definedName>
    <definedName name="b">'[20]Mapping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>'[21]Mapping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[22]estgl81!$Y$39:$Y$43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'[23]Budget,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>[24]SetUp!$D$9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[25]Sheet1!#REF!</definedName>
    <definedName name="bof">[25]Sheet1!#REF!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'[26]Data Entry'!$G$9</definedName>
    <definedName name="Bonny_Barrels">'[26]Data Entry'!$C$9</definedName>
    <definedName name="Bonny_US">'[26]Data Entry'!$E$9</definedName>
    <definedName name="Bonus_Inp">[27]Sheet1!$D$50:$AZ$50</definedName>
    <definedName name="bonus_recovered">[27]Sheet1!$D$148:$AZ$148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rass_API">'[26]Data Entry'!$G$11</definedName>
    <definedName name="Brass_Barrels">'[26]Data Entry'!$C$11</definedName>
    <definedName name="Brass_US">'[26]Data Entry'!$E$11</definedName>
    <definedName name="brt">[28]Sheet2!$A$2:$A$165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#REF!</definedName>
    <definedName name="buy" localSheetId="0">#REF!</definedName>
    <definedName name="buy">#REF!</definedName>
    <definedName name="buyt">'[29]2005'!$A$168:$B$260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[30]AWARDED!$B$7:$D$81</definedName>
    <definedName name="CACategory" localSheetId="0">#REF!</definedName>
    <definedName name="CACategory">#REF!</definedName>
    <definedName name="CACode">[31]Economics!$AD$14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[12]Delay!#REF!</definedName>
    <definedName name="capex_factor">[12]Delay!#REF!</definedName>
    <definedName name="capex_flag" localSheetId="0">[12]Calculations!#REF!</definedName>
    <definedName name="capex_flag">[12]Calculations!#REF!</definedName>
    <definedName name="capex_increase_year" localSheetId="0">[12]Delay!#REF!</definedName>
    <definedName name="capex_increase_year">[12]Delay!#REF!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[27]Sheet1!$D$150:$AZ$150</definedName>
    <definedName name="CAPEX_TOTAL">[27]Sheet1!$D$62:$AZ$62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[32]Contract_Details!$A$2:$R$74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[33]AWARDED!$B$7:$E$76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[34]Sheet1!$B$5:$B$81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pany_Name" localSheetId="0">#REF!</definedName>
    <definedName name="Company_Name">#REF!</definedName>
    <definedName name="Company_Type">[35]SetUp!$C$14</definedName>
    <definedName name="CompanyName">[36]SetUp!$C$8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'[12]Reserves Breakdown'!#REF!</definedName>
    <definedName name="Condensate_to_AG_Ratio">'[12]Reserves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#REF!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[37]Overview!$L$4</definedName>
    <definedName name="conv2">[37]Overview!$M$4</definedName>
    <definedName name="conv3">[37]Overview!$X$2</definedName>
    <definedName name="conv4">[37]Overview!$AG$2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Code" localSheetId="0">#REF!</definedName>
    <definedName name="CtryCode">#REF!</definedName>
    <definedName name="CtryName">[35]SetUp!$C$7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'[18]prodprof 1'!$F$22</definedName>
    <definedName name="CumGas" localSheetId="0">IF('[18]prodprof 1'!XEE1&lt;=[0]!CumP,'[18]prodprof 1'!XEE1*[0]!GORP,[0]!CumP*[0]!GORP+('[18]prodprof 1'!XEE1-[0]!CumP)*([0]!GORP+('[18]prodprof 1'!XEE1-[0]!CumP)*0.5*[0]!SlopeG))</definedName>
    <definedName name="CumGas">IF('[18]prodprof 1'!XEE1&lt;=CumP,'[18]prodprof 1'!XEE1*GORP,CumP*GORP+('[18]prodprof 1'!XEE1-CumP)*(GORP+('[18]prodprof 1'!XEE1-CumP)*0.5*SlopeG))</definedName>
    <definedName name="cumgas1" localSheetId="0">IF('[18]prodprof 1'!XEE1&lt;=[0]!CumP,'[18]prodprof 1'!XEE1*[0]!GORP,[0]!CumP*[0]!GORP+('[18]prodprof 1'!XEE1-[0]!CumP)*([0]!GORP+('[18]prodprof 1'!XEE1-[0]!CumP)*0.5*[0]!SlopeG))</definedName>
    <definedName name="cumgas1">IF('[18]prodprof 1'!XEE1&lt;=CumP,'[18]prodprof 1'!XEE1*GORP,CumP*GORP+('[18]prodprof 1'!XEE1-CumP)*(GORP+('[18]prodprof 1'!XEE1-CumP)*0.5*SlopeG))</definedName>
    <definedName name="CumOil">#N/A</definedName>
    <definedName name="CumP">'[18]prodprof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#REF!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'[18]prodprof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[12]Delay!#REF!</definedName>
    <definedName name="delay_table">[12]Delay!#REF!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'[38]do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'[15]Tax Provision'!#REF!</definedName>
    <definedName name="DTA_TimingCA">'[15]Tax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'[26]Data Entry'!$G$12</definedName>
    <definedName name="EA_Barrels">'[26]Data Entry'!$C$12</definedName>
    <definedName name="EA_US">'[26]Data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[27]Sheet1!$D$55:$AZ$55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[27]Sheet1!$D$149:$AZ$149</definedName>
    <definedName name="Exploration_MType" localSheetId="0">#REF!</definedName>
    <definedName name="Exploration_MType">#REF!</definedName>
    <definedName name="expp">[23]Sheet1!$B$9:$E$29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#REF!</definedName>
    <definedName name="FEB" localSheetId="0">#REF!</definedName>
    <definedName name="FEB">#REF!</definedName>
    <definedName name="Fee_received">[27]Sheet1!$D$159:$AZ$159</definedName>
    <definedName name="feee">[39]AFE!$A$2:$B$125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[36]SetUp!$E$70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#REF!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>'[40]Mapping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[12]Calculations!#REF!</definedName>
    <definedName name="fiscal_splitter">[12]Calculations!#REF!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[41]flora!$A$1:$G$184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[36]SetUp!$C$10</definedName>
    <definedName name="Fopex" localSheetId="0">#REF!</definedName>
    <definedName name="Fopex">#REF!</definedName>
    <definedName name="Forcados_API">'[26]Data Entry'!$G$10</definedName>
    <definedName name="Forcados_Barrels">'[26]Data Entry'!$C$10</definedName>
    <definedName name="Forcados_US">'[26]Data Entry'!$E$10</definedName>
    <definedName name="Forecasts_Sheets_Osa">'[40]Mapping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#REF!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[42]Profiles!#REF!</definedName>
    <definedName name="Gas_Wells">[42]Profiles!#REF!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'[43]General Inputs'!$H$18</definedName>
    <definedName name="GLTIE" localSheetId="0">#REF!</definedName>
    <definedName name="GLTIE">#REF!</definedName>
    <definedName name="GORP">'[18]prodprof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[36]SetUp!$C$37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'[44]Reservoir Summary Data'!$B$59</definedName>
    <definedName name="Horizontal_Rate_5.5">'[44]Reservoir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IBVc_IBVt_distr.">[36]SetUp!$D$72:$I$72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[45]Definitions!$I$2:$I$101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IF(AND('[18]prodprof 1'!XET1&lt;='[18]prodprof 1'!$F$33,'[18]prodprof 1'!$F$38="YES"),'[18]prodprof 1'!XEZ1+'[18]prodprof 1'!$F$39*('[18]prodprof 1'!XEX1*'[18]prodprof 1'!$F$41+('[18]prodprof 1'!XEY1*1000-'[18]prodprof 1'!XEX1*'[18]prodprof 1'!$F$42)/('[18]prodprof 1'!$F$43*'[18]prodprof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tem" localSheetId="0">#REF!</definedName>
    <definedName name="Item">#REF!</definedName>
    <definedName name="item2">[13]ActivityData!$A$5:$A$178</definedName>
    <definedName name="JAN">[46]Sheet1!$G$6:$K$67</definedName>
    <definedName name="jnl" localSheetId="0">[47]mar!#REF!</definedName>
    <definedName name="jnl">[47]mar!#REF!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'[38]do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bbl_m3">[24]SetUp!$D$10</definedName>
    <definedName name="LiquidTotalFactor">[2]Parameters!$C$3</definedName>
    <definedName name="list">[48]Sheet2!$A$1:$A$157</definedName>
    <definedName name="lists">[49]Sheet1!$A$1:$A$161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'[38]do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[12]Calculations!#REF!</definedName>
    <definedName name="lookup1">[12]Calculations!#REF!</definedName>
    <definedName name="lookup1b" localSheetId="0">[12]Calculations!#REF!</definedName>
    <definedName name="lookup1b">[12]Calculations!#REF!</definedName>
    <definedName name="lookup1c" localSheetId="0">[12]Calculations!#REF!</definedName>
    <definedName name="lookup1c">[12]Calculations!#REF!</definedName>
    <definedName name="lookup2" localSheetId="0">[12]Calculations!#REF!</definedName>
    <definedName name="lookup2">[12]Calculations!#REF!</definedName>
    <definedName name="lookup3" localSheetId="0">[12]Calculations!#REF!</definedName>
    <definedName name="lookup3">[12]Calculations!#REF!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[36]SetUp!$C$11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'[50]Config - Master Lists'!$D$98</definedName>
    <definedName name="Mike_Conway" localSheetId="0">#REF!</definedName>
    <definedName name="Mike_Conway">#REF!</definedName>
    <definedName name="Min_Fin_Value">'[50]Config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[27]Sheet1!$D$80:$AZ$80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'[26]Data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[35]SetUp!$C$9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#REF!</definedName>
    <definedName name="NAG_Appraisal_Completion" localSheetId="0">#REF!</definedName>
    <definedName name="NAG_Appraisal_Completion">#REF!</definedName>
    <definedName name="NAG_Appraisal_Wells" localSheetId="0">#REF!</definedName>
    <definedName name="NAG_Appraisal_Wells">#REF!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#REF!</definedName>
    <definedName name="NAG_Development_Completion" localSheetId="0">#REF!</definedName>
    <definedName name="NAG_Development_Completion">#REF!</definedName>
    <definedName name="NAG_Development_Drilling" localSheetId="0">#REF!</definedName>
    <definedName name="NAG_Development_Drilling">#REF!</definedName>
    <definedName name="NAG_Development_Wells" localSheetId="0">#REF!</definedName>
    <definedName name="NAG_Development_Wells">#REF!</definedName>
    <definedName name="NAG_Exploration_Appraisal_Drilling" localSheetId="0">#REF!</definedName>
    <definedName name="NAG_Exploration_Appraisal_Drilling">#REF!</definedName>
    <definedName name="NAG_Exploration_Drilling" localSheetId="0">#REF!</definedName>
    <definedName name="NAG_Exploration_Drilling">#REF!</definedName>
    <definedName name="NAG_Exploration_Wells" localSheetId="0">#REF!</definedName>
    <definedName name="NAG_Exploration_Wells">#REF!</definedName>
    <definedName name="NAG_Facilities" localSheetId="0">#REF!</definedName>
    <definedName name="NAG_Facilities">#REF!</definedName>
    <definedName name="NAG_Flowlines_and_Hookup" localSheetId="0">#REF!</definedName>
    <definedName name="NAG_Flowlines_and_Hookup">#REF!</definedName>
    <definedName name="NAG_Infrastructure" localSheetId="0">#REF!</definedName>
    <definedName name="NAG_Infrastructure">#REF!</definedName>
    <definedName name="NAG_Location_Preparation" localSheetId="0">#REF!</definedName>
    <definedName name="NAG_Location_Preparation">#REF!</definedName>
    <definedName name="NAG_Oncosts" localSheetId="0">#REF!</definedName>
    <definedName name="NAG_Oncosts">#REF!</definedName>
    <definedName name="NAG_Opex" localSheetId="0">#REF!</definedName>
    <definedName name="NAG_Opex">#REF!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#REF!</definedName>
    <definedName name="NAG_Recompletion_Wells" localSheetId="0">#REF!</definedName>
    <definedName name="NAG_Recompletion_Wells">#REF!</definedName>
    <definedName name="NAG_Repairs_Well" localSheetId="0">#REF!</definedName>
    <definedName name="NAG_Repairs_Well">#REF!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#REF!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[51]DATA!$A$2:$A$182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#REF!</definedName>
    <definedName name="NPV0" localSheetId="0">#REF!</definedName>
    <definedName name="NPV0">#REF!</definedName>
    <definedName name="Number_of_wells" localSheetId="0">'[44]Vivaldi Hub 1.3 tcf'!#REF!</definedName>
    <definedName name="Number_of_wells">'[44]Vivaldi Hub 1.3 tcf'!#REF!</definedName>
    <definedName name="O1_Inp">[27]Sheet1!$D$65:$AZ$65</definedName>
    <definedName name="O2_Inp">[27]Sheet1!$D$66:$AZ$66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#REF!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#REF!</definedName>
    <definedName name="Oil_Appraisal_Wells" localSheetId="0">#REF!</definedName>
    <definedName name="Oil_Appraisal_Wells">#REF!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#REF!</definedName>
    <definedName name="Oil_Development_Completion" localSheetId="0">#REF!</definedName>
    <definedName name="Oil_Development_Completion">#REF!</definedName>
    <definedName name="Oil_Development_Drilling" localSheetId="0">#REF!</definedName>
    <definedName name="Oil_Development_Drilling">#REF!</definedName>
    <definedName name="Oil_Development_Wells" localSheetId="0">#REF!</definedName>
    <definedName name="Oil_Development_Wells">#REF!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#REF!</definedName>
    <definedName name="Oil_Exploration_Capex" localSheetId="0">#REF!</definedName>
    <definedName name="Oil_Exploration_Capex">#REF!</definedName>
    <definedName name="Oil_Exploration_Drilling" localSheetId="0">#REF!</definedName>
    <definedName name="Oil_Exploration_Drilling">#REF!</definedName>
    <definedName name="Oil_Exploration_Other" localSheetId="0">#REF!</definedName>
    <definedName name="Oil_Exploration_Other">#REF!</definedName>
    <definedName name="Oil_Exploration_Seismic" localSheetId="0">#REF!</definedName>
    <definedName name="Oil_Exploration_Seismic">#REF!</definedName>
    <definedName name="Oil_Exploration_Wells" localSheetId="0">#REF!</definedName>
    <definedName name="Oil_Exploration_Wells">#REF!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#REF!</definedName>
    <definedName name="Oil_Flowlines_and_Hookup" localSheetId="0">#REF!</definedName>
    <definedName name="Oil_Flowlines_and_Hookup">#REF!</definedName>
    <definedName name="Oil_Infrastructure" localSheetId="0">#REF!</definedName>
    <definedName name="Oil_Infrastructure">#REF!</definedName>
    <definedName name="Oil_Location_Preparation" localSheetId="0">#REF!</definedName>
    <definedName name="Oil_Location_Preparation">#REF!</definedName>
    <definedName name="Oil_Oncosts" localSheetId="0">#REF!</definedName>
    <definedName name="Oil_Oncosts">#REF!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ice_base" localSheetId="0">#REF!</definedName>
    <definedName name="oil_price_base">#REF!</definedName>
    <definedName name="Oil_Price_MOD">[27]Sheet1!$D$74:$AZ$74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#REF!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#REF!</definedName>
    <definedName name="Oil_Recompletion_Wells" localSheetId="0">#REF!</definedName>
    <definedName name="Oil_Recompletion_Wells">#REF!</definedName>
    <definedName name="Oil_Repairs_Well" localSheetId="0">#REF!</definedName>
    <definedName name="Oil_Repairs_Well">#REF!</definedName>
    <definedName name="Oil_Reserves__mln_boe">[37]Overview!$L$4</definedName>
    <definedName name="oil_vol_percent" localSheetId="0">#REF!</definedName>
    <definedName name="oil_vol_percent">#REF!</definedName>
    <definedName name="Oil_Wells" localSheetId="0">[42]Profiles!#REF!</definedName>
    <definedName name="Oil_Wells">[42]Profiles!#REF!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'[52]Oil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#REF!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[27]Sheet1!$D$14:$AZ$14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'[32]BASE DATA'!$A$29:$A$31</definedName>
    <definedName name="PAO">'[33]Budget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#REF!</definedName>
    <definedName name="Planning_Focal_Point" localSheetId="0">#REF!</definedName>
    <definedName name="Planning_Focal_Point">#REF!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Name" localSheetId="0">#REF!</definedName>
    <definedName name="PmasterName">#REF!</definedName>
    <definedName name="POS_FID">[14]Economics!$K$15</definedName>
    <definedName name="POS_to_FID" localSheetId="0">#REF!</definedName>
    <definedName name="POS_to_FID">#REF!</definedName>
    <definedName name="POVNDRCD" localSheetId="0">[53]FORMS!#REF!</definedName>
    <definedName name="POVNDRCD">[53]FORMS!#REF!</definedName>
    <definedName name="Pre_FID_Development_Costs" localSheetId="0">#REF!</definedName>
    <definedName name="Pre_FID_Development_Costs">#REF!</definedName>
    <definedName name="Premise">'[52]Oil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[54]TER2!#REF!</definedName>
    <definedName name="Print_Area_MI">[54]TER2!#REF!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[12]Delay!#REF!</definedName>
    <definedName name="project_delay">[12]Delay!#REF!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#REF!</definedName>
    <definedName name="ProjectlistOil" localSheetId="0">#REF!</definedName>
    <definedName name="ProjectlistOil">#REF!</definedName>
    <definedName name="projectlistPEEP" localSheetId="0">[12]Calculations!#REF!</definedName>
    <definedName name="projectlistPEEP">[12]Calculations!#REF!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Rate">'[18]prodprof 1'!A$5*('[18]prodprof 1'!A31-'[18]prodprof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'[18]prodprof 1'!$F$17</definedName>
    <definedName name="RATEREC" localSheetId="0">#REF!</definedName>
    <definedName name="RATEREC">#REF!</definedName>
    <definedName name="Ratio_disputed_capital_costs_PP_E" localSheetId="0">'[55]DATA INPUT'!#REF!</definedName>
    <definedName name="Ratio_disputed_capital_costs_PP_E">'[55]DATA INPUT'!#REF!</definedName>
    <definedName name="Ratio_disputed_capital_costs_PP_E_Bonga" localSheetId="0">'[55]DATA INPUT'!#REF!</definedName>
    <definedName name="Ratio_disputed_capital_costs_PP_E_Bonga">'[55]DATA INPUT'!#REF!</definedName>
    <definedName name="Ratio_disputed_capital_costs_PP_E_Erha" localSheetId="0">'[55]DATA INPUT'!#REF!</definedName>
    <definedName name="Ratio_disputed_capital_costs_PP_E_Erha">'[55]DATA INPUT'!#REF!</definedName>
    <definedName name="RawData" localSheetId="0">#REF!</definedName>
    <definedName name="RawData">#REF!</definedName>
    <definedName name="ray_shhet">'[56]Mapping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[47]mar!#REF!</definedName>
    <definedName name="rig">[47]mar!#REF!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[32]Contract_Details!$A$2:$A$74</definedName>
    <definedName name="set" localSheetId="0">#REF!</definedName>
    <definedName name="set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[27]Sheet1!$D$204:$AZ$204</definedName>
    <definedName name="Shell_bonus_recovered">[27]Sheet1!$D$208:$AZ$208</definedName>
    <definedName name="Shell_CAPEX">[27]Sheet1!$D$205:$AZ$205</definedName>
    <definedName name="Shell_capex_recovered">[27]Sheet1!$D$210:$AZ$210</definedName>
    <definedName name="Shell_CF">[27]Sheet1!$D$216:$AZ$216</definedName>
    <definedName name="Shell_cf_rt">[27]Sheet1!$D$218:$AZ$218</definedName>
    <definedName name="Shell_EXPEX">[27]Sheet1!$D$206:$AZ$206</definedName>
    <definedName name="Shell_Expex_recovered">[27]Sheet1!$D$209:$AZ$209</definedName>
    <definedName name="Shell_Expl_reward_gas">[27]Sheet1!$D$213:$AZ$213</definedName>
    <definedName name="Shell_Expl_reward_oil">[27]Sheet1!$D$214:$AZ$214</definedName>
    <definedName name="Shell_Fee">[27]Sheet1!$D$211:$AZ$211</definedName>
    <definedName name="Shell_OP" localSheetId="0">#REF!</definedName>
    <definedName name="Shell_OP">#REF!</definedName>
    <definedName name="Shell_OPEX">[27]Sheet1!$D$207:$AZ$207</definedName>
    <definedName name="Shell_revenue">[27]Sheet1!$D$212:$AZ$212</definedName>
    <definedName name="shell_share">[27]Sheet1!$D$100</definedName>
    <definedName name="Shell_Tax">[27]Sheet1!$D$215:$AZ$215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'[18]prodprof 1'!$B$28</definedName>
    <definedName name="SlopeWE">'[18]prodprof 1'!$C$28</definedName>
    <definedName name="SlopeWH">'[18]prodprof 1'!$D$28</definedName>
    <definedName name="sma">[33]sma!$A$6:$F$19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[57]source!$A$1:$M$833</definedName>
    <definedName name="Start_date" localSheetId="0">#REF!</definedName>
    <definedName name="Start_date">#REF!</definedName>
    <definedName name="STATUS">'[32]BASE DATA'!$A$2:$A$21</definedName>
    <definedName name="Status_Flag">[17]Economics!$F$12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'[32]BASE DATA'!#REF!</definedName>
    <definedName name="SUPPLIERS">'[32]BASE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x_paid">[27]Sheet1!$D$175:$AZ$175</definedName>
    <definedName name="TAXSUM" localSheetId="0">#REF!</definedName>
    <definedName name="TAXSUM">#REF!</definedName>
    <definedName name="tb">'[44]Reservoir Summary Data'!$B$39</definedName>
    <definedName name="TB_Rate_4.5">'[44]Reservoir Summary Data'!$B$60</definedName>
    <definedName name="TB_Rate_5.5">'[44]Reservoir Summary Data'!$B$67</definedName>
    <definedName name="Technical_Focal_Point" localSheetId="0">#REF!</definedName>
    <definedName name="Technical_Focal_Point">#REF!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[58]Full_Year!#REF!</definedName>
    <definedName name="TEST16">[58]Full_Year!#REF!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[59]SetUp!$C$1001</definedName>
    <definedName name="tol_nonfin">[59]SetUp!$D$1001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AL">[13]ActivityData!$A$1:$Y$178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#REF!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#REF!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[16]Calculation!$C$9:$C$12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'[44]Reservoir Summary Data'!$B$58</definedName>
    <definedName name="Vertical_EGP_Rate_5.5">'[44]Reservoir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'[18]prodprof 1'!$F$18</definedName>
    <definedName name="Well_Type">[60]Engine!$A$24:$A$33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'[32]BASE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IF('[18]prodprof 1'!XEE1&lt;=[0]!CumP,'[18]prodprof 1'!XEE1*[0]!GORP,[0]!CumP*[0]!GORP+('[18]prodprof 1'!XEE1-[0]!CumP)*([0]!GORP+('[18]prodprof 1'!XEE1-[0]!CumP)*0.5*[0]!SlopeG))</definedName>
    <definedName name="wsdcgf">IF('[18]prodprof 1'!XEE1&lt;=CumP,'[18]prodprof 1'!XEE1*GORP,CumP*GORP+('[18]prodprof 1'!XEE1-CumP)*(GORP+('[18]prodprof 1'!XEE1-CumP)*0.5*SlopeG))</definedName>
    <definedName name="WW" localSheetId="0">#REF!</definedName>
    <definedName name="WW">#REF!</definedName>
    <definedName name="X_rate">'[61]As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>[35]SetUp!$I$1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'[62]Shell Adj YTD'!$U$6:$AF$105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1" i="2" l="1"/>
  <c r="I49" i="2"/>
  <c r="K45" i="2"/>
  <c r="K44" i="2"/>
  <c r="K43" i="2"/>
  <c r="J44" i="2"/>
  <c r="J43" i="2"/>
  <c r="I11" i="2" l="1"/>
  <c r="Y28" i="5"/>
  <c r="D17" i="5"/>
  <c r="C17" i="5"/>
  <c r="B17" i="5"/>
  <c r="AB16" i="5"/>
  <c r="AA16" i="5"/>
  <c r="Y16" i="5"/>
  <c r="X16" i="5"/>
  <c r="R16" i="5"/>
  <c r="Q16" i="5"/>
  <c r="J16" i="5"/>
  <c r="AA15" i="5"/>
  <c r="X15" i="5"/>
  <c r="Q15" i="5"/>
  <c r="F15" i="5"/>
  <c r="E15" i="5"/>
  <c r="C15" i="5"/>
  <c r="AA14" i="5"/>
  <c r="X14" i="5"/>
  <c r="Q14" i="5"/>
  <c r="F14" i="5"/>
  <c r="E14" i="5"/>
  <c r="C14" i="5"/>
  <c r="AA13" i="5"/>
  <c r="X13" i="5"/>
  <c r="Q13" i="5"/>
  <c r="I13" i="5"/>
  <c r="F13" i="5"/>
  <c r="E13" i="5"/>
  <c r="C13" i="5"/>
  <c r="AA12" i="5"/>
  <c r="X12" i="5"/>
  <c r="Q12" i="5"/>
  <c r="F12" i="5"/>
  <c r="E12" i="5"/>
  <c r="C12" i="5"/>
  <c r="AA11" i="5"/>
  <c r="X11" i="5"/>
  <c r="Q11" i="5"/>
  <c r="F11" i="5"/>
  <c r="E11" i="5"/>
  <c r="C11" i="5"/>
  <c r="AA10" i="5"/>
  <c r="X10" i="5"/>
  <c r="Q10" i="5"/>
  <c r="F10" i="5"/>
  <c r="E10" i="5"/>
  <c r="C10" i="5"/>
  <c r="AA9" i="5"/>
  <c r="X9" i="5"/>
  <c r="Q9" i="5"/>
  <c r="F9" i="5"/>
  <c r="E9" i="5"/>
  <c r="C9" i="5"/>
  <c r="AA8" i="5"/>
  <c r="X8" i="5"/>
  <c r="Q8" i="5"/>
  <c r="F8" i="5"/>
  <c r="E8" i="5"/>
  <c r="C8" i="5"/>
  <c r="AA7" i="5"/>
  <c r="X7" i="5"/>
  <c r="Q7" i="5"/>
  <c r="F7" i="5"/>
  <c r="E7" i="5"/>
  <c r="C7" i="5"/>
  <c r="AA6" i="5"/>
  <c r="X6" i="5"/>
  <c r="Q6" i="5"/>
  <c r="G6" i="5"/>
  <c r="AA5" i="5"/>
  <c r="S5" i="5"/>
  <c r="I5" i="5"/>
  <c r="Q5" i="5" s="1"/>
  <c r="F5" i="5"/>
  <c r="E5" i="5"/>
  <c r="E17" i="5" s="1"/>
  <c r="C5" i="5"/>
  <c r="O4" i="5"/>
  <c r="AA4" i="5" s="1"/>
  <c r="I4" i="5"/>
  <c r="X4" i="5" s="1"/>
  <c r="F4" i="5"/>
  <c r="E4" i="5"/>
  <c r="C4" i="5"/>
  <c r="F17" i="5" l="1"/>
  <c r="G4" i="5" s="1"/>
  <c r="X5" i="5"/>
  <c r="R6" i="5"/>
  <c r="H6" i="5"/>
  <c r="G7" i="5"/>
  <c r="G11" i="5"/>
  <c r="X17" i="5"/>
  <c r="G9" i="5"/>
  <c r="G13" i="5"/>
  <c r="G14" i="5"/>
  <c r="Q4" i="5"/>
  <c r="Q17" i="5" s="1"/>
  <c r="T4" i="5" l="1"/>
  <c r="L4" i="5"/>
  <c r="AB4" i="5"/>
  <c r="V4" i="5"/>
  <c r="P4" i="5"/>
  <c r="N4" i="5"/>
  <c r="Y4" i="5"/>
  <c r="R4" i="5"/>
  <c r="J4" i="5"/>
  <c r="H4" i="5"/>
  <c r="AB13" i="5"/>
  <c r="Y13" i="5"/>
  <c r="V13" i="5"/>
  <c r="R13" i="5"/>
  <c r="P13" i="5"/>
  <c r="L13" i="5"/>
  <c r="T13" i="5"/>
  <c r="N13" i="5"/>
  <c r="J13" i="5"/>
  <c r="H13" i="5"/>
  <c r="T7" i="5"/>
  <c r="N7" i="5"/>
  <c r="J7" i="5"/>
  <c r="R7" i="5"/>
  <c r="P7" i="5"/>
  <c r="H7" i="5"/>
  <c r="AB7" i="5"/>
  <c r="Y7" i="5"/>
  <c r="V7" i="5"/>
  <c r="L7" i="5"/>
  <c r="T14" i="5"/>
  <c r="N14" i="5"/>
  <c r="J14" i="5"/>
  <c r="AB14" i="5"/>
  <c r="Y14" i="5"/>
  <c r="V14" i="5"/>
  <c r="R14" i="5"/>
  <c r="P14" i="5"/>
  <c r="L14" i="5"/>
  <c r="H14" i="5"/>
  <c r="T9" i="5"/>
  <c r="N9" i="5"/>
  <c r="J9" i="5"/>
  <c r="AB9" i="5"/>
  <c r="Y9" i="5"/>
  <c r="V9" i="5"/>
  <c r="L9" i="5"/>
  <c r="R9" i="5"/>
  <c r="P9" i="5"/>
  <c r="H9" i="5"/>
  <c r="T11" i="5"/>
  <c r="N11" i="5"/>
  <c r="J11" i="5"/>
  <c r="R11" i="5"/>
  <c r="P11" i="5"/>
  <c r="H11" i="5"/>
  <c r="AB11" i="5"/>
  <c r="Y11" i="5"/>
  <c r="V11" i="5"/>
  <c r="L11" i="5"/>
  <c r="G15" i="5"/>
  <c r="G10" i="5"/>
  <c r="G5" i="5"/>
  <c r="G12" i="5"/>
  <c r="G8" i="5"/>
  <c r="AB12" i="5" l="1"/>
  <c r="Y12" i="5"/>
  <c r="V12" i="5"/>
  <c r="R12" i="5"/>
  <c r="P12" i="5"/>
  <c r="L12" i="5"/>
  <c r="H12" i="5"/>
  <c r="J12" i="5"/>
  <c r="T12" i="5"/>
  <c r="N12" i="5"/>
  <c r="AB10" i="5"/>
  <c r="Y10" i="5"/>
  <c r="V10" i="5"/>
  <c r="R10" i="5"/>
  <c r="P10" i="5"/>
  <c r="L10" i="5"/>
  <c r="H10" i="5"/>
  <c r="T10" i="5"/>
  <c r="N10" i="5"/>
  <c r="J10" i="5"/>
  <c r="AB8" i="5"/>
  <c r="Y8" i="5"/>
  <c r="V8" i="5"/>
  <c r="R8" i="5"/>
  <c r="P8" i="5"/>
  <c r="L8" i="5"/>
  <c r="H8" i="5"/>
  <c r="J8" i="5"/>
  <c r="T8" i="5"/>
  <c r="N8" i="5"/>
  <c r="AB5" i="5"/>
  <c r="Y5" i="5"/>
  <c r="V5" i="5"/>
  <c r="N5" i="5"/>
  <c r="J5" i="5"/>
  <c r="H5" i="5"/>
  <c r="H17" i="5" s="1"/>
  <c r="T5" i="5"/>
  <c r="R5" i="5"/>
  <c r="R17" i="5" s="1"/>
  <c r="L5" i="5"/>
  <c r="P5" i="5"/>
  <c r="AB15" i="5"/>
  <c r="Y15" i="5"/>
  <c r="V15" i="5"/>
  <c r="R15" i="5"/>
  <c r="P15" i="5"/>
  <c r="L15" i="5"/>
  <c r="H15" i="5"/>
  <c r="T15" i="5"/>
  <c r="N15" i="5"/>
  <c r="J15" i="5"/>
  <c r="Y17" i="5"/>
  <c r="I52" i="2" l="1"/>
  <c r="AA5" i="4" l="1"/>
  <c r="Z5" i="4"/>
  <c r="G5" i="4"/>
  <c r="D17" i="4"/>
  <c r="C17" i="4"/>
  <c r="B17" i="4"/>
  <c r="X16" i="4"/>
  <c r="W16" i="4"/>
  <c r="U16" i="4"/>
  <c r="T16" i="4"/>
  <c r="J16" i="4"/>
  <c r="W15" i="4"/>
  <c r="T15" i="4"/>
  <c r="F15" i="4"/>
  <c r="E15" i="4"/>
  <c r="C15" i="4"/>
  <c r="W14" i="4"/>
  <c r="T14" i="4"/>
  <c r="F14" i="4"/>
  <c r="E14" i="4"/>
  <c r="C14" i="4"/>
  <c r="W13" i="4"/>
  <c r="I13" i="4"/>
  <c r="T13" i="4" s="1"/>
  <c r="F13" i="4"/>
  <c r="E13" i="4"/>
  <c r="C13" i="4"/>
  <c r="W12" i="4"/>
  <c r="T12" i="4"/>
  <c r="F12" i="4"/>
  <c r="E12" i="4"/>
  <c r="C12" i="4"/>
  <c r="W11" i="4"/>
  <c r="T11" i="4"/>
  <c r="F11" i="4"/>
  <c r="E11" i="4"/>
  <c r="C11" i="4"/>
  <c r="W10" i="4"/>
  <c r="T10" i="4"/>
  <c r="F10" i="4"/>
  <c r="E10" i="4"/>
  <c r="C10" i="4"/>
  <c r="W9" i="4"/>
  <c r="T9" i="4"/>
  <c r="F9" i="4"/>
  <c r="E9" i="4"/>
  <c r="C9" i="4"/>
  <c r="W8" i="4"/>
  <c r="T8" i="4"/>
  <c r="F8" i="4"/>
  <c r="E8" i="4"/>
  <c r="C8" i="4"/>
  <c r="W7" i="4"/>
  <c r="T7" i="4"/>
  <c r="F7" i="4"/>
  <c r="E7" i="4"/>
  <c r="C7" i="4"/>
  <c r="W6" i="4"/>
  <c r="T6" i="4"/>
  <c r="H6" i="4"/>
  <c r="Q5" i="4"/>
  <c r="W5" i="4" s="1"/>
  <c r="I5" i="4"/>
  <c r="T5" i="4" s="1"/>
  <c r="F5" i="4"/>
  <c r="E5" i="4"/>
  <c r="C5" i="4"/>
  <c r="O4" i="4"/>
  <c r="W4" i="4" s="1"/>
  <c r="I4" i="4"/>
  <c r="T4" i="4" s="1"/>
  <c r="T17" i="4" s="1"/>
  <c r="F4" i="4"/>
  <c r="F17" i="4" s="1"/>
  <c r="E4" i="4"/>
  <c r="C4" i="4"/>
  <c r="G13" i="4" l="1"/>
  <c r="G12" i="4"/>
  <c r="G11" i="4"/>
  <c r="G10" i="4"/>
  <c r="G7" i="4"/>
  <c r="G9" i="4"/>
  <c r="G15" i="4"/>
  <c r="E17" i="4"/>
  <c r="G4" i="4"/>
  <c r="G8" i="4"/>
  <c r="G14" i="4"/>
  <c r="P8" i="4" l="1"/>
  <c r="L8" i="4"/>
  <c r="H8" i="4"/>
  <c r="N8" i="4"/>
  <c r="X8" i="4"/>
  <c r="U8" i="4"/>
  <c r="R8" i="4"/>
  <c r="J8" i="4"/>
  <c r="P4" i="4"/>
  <c r="N4" i="4"/>
  <c r="J4" i="4"/>
  <c r="H4" i="4"/>
  <c r="X4" i="4"/>
  <c r="R4" i="4"/>
  <c r="L4" i="4"/>
  <c r="U4" i="4"/>
  <c r="X15" i="4"/>
  <c r="U15" i="4"/>
  <c r="R15" i="4"/>
  <c r="N15" i="4"/>
  <c r="J15" i="4"/>
  <c r="P15" i="4"/>
  <c r="L15" i="4"/>
  <c r="H15" i="4"/>
  <c r="P7" i="4"/>
  <c r="L7" i="4"/>
  <c r="H7" i="4"/>
  <c r="X7" i="4"/>
  <c r="U7" i="4"/>
  <c r="R7" i="4"/>
  <c r="J7" i="4"/>
  <c r="N7" i="4"/>
  <c r="P11" i="4"/>
  <c r="L11" i="4"/>
  <c r="H11" i="4"/>
  <c r="X11" i="4"/>
  <c r="U11" i="4"/>
  <c r="R11" i="4"/>
  <c r="N11" i="4"/>
  <c r="J11" i="4"/>
  <c r="X13" i="4"/>
  <c r="U13" i="4"/>
  <c r="R13" i="4"/>
  <c r="N13" i="4"/>
  <c r="J13" i="4"/>
  <c r="H13" i="4"/>
  <c r="P13" i="4"/>
  <c r="L13" i="4"/>
  <c r="X14" i="4"/>
  <c r="U14" i="4"/>
  <c r="R14" i="4"/>
  <c r="N14" i="4"/>
  <c r="J14" i="4"/>
  <c r="P14" i="4"/>
  <c r="L14" i="4"/>
  <c r="H14" i="4"/>
  <c r="N5" i="4"/>
  <c r="J5" i="4"/>
  <c r="H5" i="4"/>
  <c r="U5" i="4"/>
  <c r="L5" i="4"/>
  <c r="X5" i="4"/>
  <c r="R5" i="4"/>
  <c r="P5" i="4"/>
  <c r="P9" i="4"/>
  <c r="L9" i="4"/>
  <c r="H9" i="4"/>
  <c r="X9" i="4"/>
  <c r="U9" i="4"/>
  <c r="R9" i="4"/>
  <c r="N9" i="4"/>
  <c r="J9" i="4"/>
  <c r="P10" i="4"/>
  <c r="L10" i="4"/>
  <c r="H10" i="4"/>
  <c r="X10" i="4"/>
  <c r="U10" i="4"/>
  <c r="R10" i="4"/>
  <c r="N10" i="4"/>
  <c r="J10" i="4"/>
  <c r="P12" i="4"/>
  <c r="L12" i="4"/>
  <c r="H12" i="4"/>
  <c r="X12" i="4"/>
  <c r="U12" i="4"/>
  <c r="R12" i="4"/>
  <c r="N12" i="4"/>
  <c r="J12" i="4"/>
  <c r="I25" i="2"/>
  <c r="J40" i="2"/>
  <c r="I40" i="2"/>
  <c r="K39" i="2"/>
  <c r="L39" i="2" s="1"/>
  <c r="K38" i="2"/>
  <c r="L38" i="2" s="1"/>
  <c r="K37" i="2"/>
  <c r="K40" i="2" s="1"/>
  <c r="J33" i="2"/>
  <c r="J32" i="2"/>
  <c r="J35" i="2" s="1"/>
  <c r="J31" i="2"/>
  <c r="P14" i="2"/>
  <c r="L14" i="2"/>
  <c r="I14" i="2"/>
  <c r="P9" i="2"/>
  <c r="P10" i="2" s="1"/>
  <c r="L9" i="2"/>
  <c r="L10" i="2" s="1"/>
  <c r="I9" i="2"/>
  <c r="I10" i="2" s="1"/>
  <c r="H9" i="2"/>
  <c r="H10" i="2" s="1"/>
  <c r="G9" i="2"/>
  <c r="G10" i="2" s="1"/>
  <c r="F9" i="2"/>
  <c r="F10" i="2" s="1"/>
  <c r="E9" i="2"/>
  <c r="E10" i="2" s="1"/>
  <c r="D9" i="2"/>
  <c r="D10" i="2" s="1"/>
  <c r="C9" i="2"/>
  <c r="C10" i="2" s="1"/>
  <c r="B9" i="2"/>
  <c r="B10" i="2" s="1"/>
  <c r="L5" i="2"/>
  <c r="L26" i="2" s="1"/>
  <c r="I5" i="2"/>
  <c r="I26" i="2" s="1"/>
  <c r="U17" i="4" l="1"/>
  <c r="H17" i="4"/>
  <c r="L37" i="2"/>
  <c r="L40" i="2" s="1"/>
  <c r="C15" i="2"/>
  <c r="C11" i="2"/>
  <c r="E15" i="2"/>
  <c r="E11" i="2"/>
  <c r="G15" i="2"/>
  <c r="G11" i="2"/>
  <c r="I15" i="2"/>
  <c r="P11" i="2"/>
  <c r="P15" i="2" s="1"/>
  <c r="B11" i="2"/>
  <c r="B15" i="2" s="1"/>
  <c r="D15" i="2"/>
  <c r="D11" i="2"/>
  <c r="F11" i="2"/>
  <c r="F15" i="2" s="1"/>
  <c r="H11" i="2"/>
  <c r="H15" i="2" s="1"/>
  <c r="L11" i="2"/>
  <c r="L15" i="2" s="1"/>
  <c r="F16" i="2" l="1"/>
  <c r="F18" i="2" s="1"/>
  <c r="L16" i="2"/>
  <c r="L18" i="2" s="1"/>
  <c r="L20" i="2" s="1"/>
  <c r="B16" i="2"/>
  <c r="B18" i="2" s="1"/>
  <c r="H18" i="2"/>
  <c r="H16" i="2"/>
  <c r="D18" i="2"/>
  <c r="D16" i="2"/>
  <c r="P18" i="2"/>
  <c r="P20" i="2" s="1"/>
  <c r="P16" i="2"/>
  <c r="I16" i="2"/>
  <c r="I18" i="2" s="1"/>
  <c r="I20" i="2" s="1"/>
  <c r="I27" i="2" s="1"/>
  <c r="G16" i="2"/>
  <c r="G18" i="2" s="1"/>
  <c r="E16" i="2"/>
  <c r="E18" i="2" s="1"/>
  <c r="C16" i="2"/>
  <c r="C18" i="2" s="1"/>
  <c r="L25" i="2" l="1"/>
  <c r="L27" i="2" s="1"/>
  <c r="L28" i="2" s="1"/>
  <c r="L22" i="2"/>
  <c r="I28" i="2"/>
  <c r="P22" i="2"/>
  <c r="P28" i="2"/>
  <c r="I45" i="2" l="1"/>
  <c r="I53" i="2" s="1"/>
  <c r="I43" i="2"/>
  <c r="I44" i="2"/>
  <c r="W28" i="2"/>
  <c r="W44" i="2" l="1"/>
  <c r="W45" i="2"/>
  <c r="W43" i="2"/>
</calcChain>
</file>

<file path=xl/sharedStrings.xml><?xml version="1.0" encoding="utf-8"?>
<sst xmlns="http://schemas.openxmlformats.org/spreadsheetml/2006/main" count="185" uniqueCount="82">
  <si>
    <t>Total</t>
  </si>
  <si>
    <t>OIL</t>
  </si>
  <si>
    <t xml:space="preserve">Export Gas </t>
  </si>
  <si>
    <t>DOMGAS</t>
  </si>
  <si>
    <t>Oil Impact</t>
  </si>
  <si>
    <t>Capex</t>
  </si>
  <si>
    <t>Capital Allwce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</si>
  <si>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</si>
  <si>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</si>
  <si>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</si>
  <si>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</si>
  <si>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</si>
  <si>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</si>
  <si>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</si>
  <si>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</si>
  <si>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</si>
  <si>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</si>
  <si>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</si>
  <si>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</si>
  <si>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</si>
  <si>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</si>
  <si>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</si>
  <si>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</si>
  <si>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>Based on  Q4 FYLE UOP rate of $2,706/boe</t>
  </si>
  <si>
    <t xml:space="preserve">Pre-Tax impact </t>
  </si>
  <si>
    <t>Tax impact on Oil production</t>
  </si>
  <si>
    <t>Based on SPDC Statutory tax rate of 85%</t>
  </si>
  <si>
    <t xml:space="preserve">Tax impact on Gas production </t>
  </si>
  <si>
    <t>NIBIAT Impact  (After Tax) in $</t>
  </si>
  <si>
    <t>CSD Impact( Nibiat + depreciation)</t>
  </si>
  <si>
    <t>(help)</t>
  </si>
  <si>
    <t>Excluding tax expense (CSD impact)</t>
  </si>
  <si>
    <t>Add Capex Savings</t>
  </si>
  <si>
    <t>Lost tax shield of Capital Allwce</t>
  </si>
  <si>
    <t>CSD 100%</t>
  </si>
  <si>
    <t>CSD (SS)</t>
  </si>
  <si>
    <t xml:space="preserve">Total Production </t>
  </si>
  <si>
    <t>BOE</t>
  </si>
  <si>
    <t>KBOE</t>
  </si>
  <si>
    <t xml:space="preserve">Oil </t>
  </si>
  <si>
    <t>Export Gas</t>
  </si>
  <si>
    <t>Domgas</t>
  </si>
  <si>
    <t xml:space="preserve">1% change in availability </t>
  </si>
  <si>
    <t>Production</t>
  </si>
  <si>
    <t>1% change in availabulity new Production</t>
  </si>
  <si>
    <t>Gross Increase</t>
  </si>
  <si>
    <t>Analysis of Third Party Deferment</t>
  </si>
  <si>
    <t>2015/2016 Avg</t>
  </si>
  <si>
    <t>OP'16</t>
  </si>
  <si>
    <t>July</t>
  </si>
  <si>
    <t>August</t>
  </si>
  <si>
    <t>kbopd</t>
  </si>
  <si>
    <t>%</t>
  </si>
  <si>
    <t>Pipeline</t>
  </si>
  <si>
    <t>Well head - CCU/WH Accessories</t>
  </si>
  <si>
    <t>Quit Wells</t>
  </si>
  <si>
    <t>Flowline/Process Pipe</t>
  </si>
  <si>
    <t>Delivery/Trunkline</t>
  </si>
  <si>
    <t>Community</t>
  </si>
  <si>
    <t>Security</t>
  </si>
  <si>
    <t>Tanker Delay</t>
  </si>
  <si>
    <t>Flowstation</t>
  </si>
  <si>
    <t>Gas Plant</t>
  </si>
  <si>
    <t>Bulkline</t>
  </si>
  <si>
    <t>Manifold</t>
  </si>
  <si>
    <t>Export Line</t>
  </si>
  <si>
    <t>Actual</t>
  </si>
  <si>
    <t>Variance</t>
  </si>
  <si>
    <t>WH Theft  - 1/3</t>
  </si>
  <si>
    <t>Quit Well  - 1/3</t>
  </si>
  <si>
    <t>Survellance Improvement - 1/3</t>
  </si>
  <si>
    <t>YT Jun</t>
  </si>
  <si>
    <t>Sept</t>
  </si>
  <si>
    <t>Oct</t>
  </si>
  <si>
    <t>YT Oct</t>
  </si>
  <si>
    <t>Sept + Oct</t>
  </si>
  <si>
    <t>October Equivalent</t>
  </si>
  <si>
    <t>Shared across 3 Initiatives</t>
  </si>
  <si>
    <t>Incremental Survellance cost  Aug-Oct</t>
  </si>
  <si>
    <t>CSD Impact of Incremental Survellance cost  Aug-Oct</t>
  </si>
  <si>
    <t>YT Sept</t>
  </si>
  <si>
    <t>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</si>
</sst>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1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0">
    <xf numFmtId="0" fontId="0" fillId="0" borderId="0"/>
    <xf numFmtId="0" fontId="6" fillId="0" borderId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5" fillId="0" borderId="0"/>
    <xf numFmtId="0" fontId="3" fillId="0" borderId="0"/>
    <xf numFmtId="0" fontId="3" fillId="0" borderId="0"/>
    <xf numFmtId="0" fontId="1" fillId="0" borderId="0"/>
    <xf numFmtId="0" fontId="1" fillId="0" borderId="0"/>
  </cellStyleXfs>
  <cellXfs count="107">
    <xf numFmtId="0" fontId="0" fillId="0" borderId="0" xfId="0"/>
    <xf numFmtId="0" fontId="6" fillId="0" borderId="0" xfId="1"/>
    <xf numFmtId="0" fontId="6" fillId="2" borderId="0" xfId="1" applyFill="1" applyAlignment="1">
      <alignment horizontal="center" wrapText="1"/>
    </xf>
    <xf numFmtId="9" fontId="9" fillId="3" borderId="0" xfId="2" applyNumberFormat="1" applyFont="1" applyFill="1"/>
    <xf numFmtId="0" fontId="7" fillId="3" borderId="0" xfId="1" applyFont="1" applyFill="1"/>
    <xf numFmtId="164" fontId="6" fillId="0" borderId="0" xfId="1" applyNumberFormat="1"/>
    <xf numFmtId="0" fontId="8" fillId="0" borderId="0" xfId="1" applyFont="1"/>
    <xf numFmtId="3" fontId="6" fillId="0" borderId="0" xfId="1" applyNumberFormat="1"/>
    <xf numFmtId="0" fontId="6" fillId="0" borderId="1" xfId="1" applyBorder="1"/>
    <xf numFmtId="165" fontId="6" fillId="4" borderId="2" xfId="1" applyNumberFormat="1" applyFill="1" applyBorder="1"/>
    <xf numFmtId="164" fontId="0" fillId="4" borderId="2" xfId="3" applyFont="1" applyFill="1" applyBorder="1"/>
    <xf numFmtId="166" fontId="6" fillId="4" borderId="2" xfId="1" applyNumberFormat="1" applyFill="1" applyBorder="1"/>
    <xf numFmtId="0" fontId="6" fillId="4" borderId="1" xfId="1" applyFill="1" applyBorder="1"/>
    <xf numFmtId="165" fontId="0" fillId="4" borderId="1" xfId="2" applyNumberFormat="1" applyFont="1" applyFill="1" applyBorder="1"/>
    <xf numFmtId="165" fontId="0" fillId="4" borderId="1" xfId="3" applyNumberFormat="1" applyFont="1" applyFill="1" applyBorder="1"/>
    <xf numFmtId="164" fontId="0" fillId="4" borderId="1" xfId="3" applyFont="1" applyFill="1" applyBorder="1"/>
    <xf numFmtId="165" fontId="6" fillId="5" borderId="1" xfId="2" applyNumberFormat="1" applyFont="1" applyFill="1" applyBorder="1"/>
    <xf numFmtId="165" fontId="8" fillId="5" borderId="3" xfId="1" applyNumberFormat="1" applyFont="1" applyFill="1" applyBorder="1"/>
    <xf numFmtId="165" fontId="8" fillId="5" borderId="2" xfId="1" applyNumberFormat="1" applyFont="1" applyFill="1" applyBorder="1"/>
    <xf numFmtId="167" fontId="6" fillId="5" borderId="1" xfId="1" applyNumberFormat="1" applyFill="1" applyBorder="1"/>
    <xf numFmtId="167" fontId="6" fillId="5" borderId="4" xfId="1" applyNumberFormat="1" applyFill="1" applyBorder="1"/>
    <xf numFmtId="167" fontId="6" fillId="5" borderId="2" xfId="1" applyNumberFormat="1" applyFill="1" applyBorder="1"/>
    <xf numFmtId="165" fontId="8" fillId="5" borderId="1" xfId="1" applyNumberFormat="1" applyFont="1" applyFill="1" applyBorder="1"/>
    <xf numFmtId="165" fontId="8" fillId="5" borderId="4" xfId="1" applyNumberFormat="1" applyFont="1" applyFill="1" applyBorder="1"/>
    <xf numFmtId="0" fontId="6" fillId="0" borderId="0" xfId="1" applyBorder="1"/>
    <xf numFmtId="167" fontId="6" fillId="5" borderId="0" xfId="1" applyNumberFormat="1" applyFill="1" applyBorder="1"/>
    <xf numFmtId="167" fontId="6" fillId="5" borderId="5" xfId="1" applyNumberFormat="1" applyFill="1" applyBorder="1"/>
    <xf numFmtId="0" fontId="8" fillId="0" borderId="6" xfId="1" applyFont="1" applyBorder="1"/>
    <xf numFmtId="165" fontId="8" fillId="5" borderId="6" xfId="1" applyNumberFormat="1" applyFont="1" applyFill="1" applyBorder="1"/>
    <xf numFmtId="165" fontId="8" fillId="0" borderId="7" xfId="1" applyNumberFormat="1" applyFont="1" applyBorder="1"/>
    <xf numFmtId="165" fontId="6" fillId="0" borderId="7" xfId="1" applyNumberFormat="1" applyBorder="1"/>
    <xf numFmtId="165" fontId="6" fillId="0" borderId="0" xfId="1" applyNumberFormat="1"/>
    <xf numFmtId="0" fontId="6" fillId="0" borderId="0" xfId="1" applyFill="1"/>
    <xf numFmtId="0" fontId="8" fillId="0" borderId="0" xfId="1" applyFont="1" applyBorder="1"/>
    <xf numFmtId="168" fontId="8" fillId="5" borderId="0" xfId="2" applyNumberFormat="1" applyFont="1" applyFill="1" applyBorder="1"/>
    <xf numFmtId="164" fontId="10" fillId="0" borderId="0" xfId="3" applyNumberFormat="1" applyFont="1"/>
    <xf numFmtId="43" fontId="6" fillId="0" borderId="0" xfId="1" applyNumberFormat="1"/>
    <xf numFmtId="43" fontId="6" fillId="0" borderId="0" xfId="1" applyNumberFormat="1" applyFill="1"/>
    <xf numFmtId="43" fontId="8" fillId="0" borderId="0" xfId="1" applyNumberFormat="1" applyFont="1" applyFill="1"/>
    <xf numFmtId="43" fontId="8" fillId="0" borderId="0" xfId="1" applyNumberFormat="1" applyFont="1"/>
    <xf numFmtId="0" fontId="8" fillId="0" borderId="0" xfId="1" applyFont="1" applyFill="1"/>
    <xf numFmtId="0" fontId="6" fillId="0" borderId="0" xfId="1" applyAlignment="1">
      <alignment horizontal="center"/>
    </xf>
    <xf numFmtId="165" fontId="6" fillId="0" borderId="0" xfId="1" applyNumberFormat="1" applyFill="1"/>
    <xf numFmtId="165" fontId="0" fillId="0" borderId="0" xfId="3" applyNumberFormat="1" applyFont="1" applyFill="1"/>
    <xf numFmtId="165" fontId="0" fillId="0" borderId="0" xfId="3" applyNumberFormat="1" applyFont="1" applyAlignment="1"/>
    <xf numFmtId="164" fontId="6" fillId="0" borderId="0" xfId="1" applyNumberFormat="1" applyFill="1"/>
    <xf numFmtId="164" fontId="0" fillId="0" borderId="0" xfId="3" applyNumberFormat="1" applyFont="1" applyAlignment="1"/>
    <xf numFmtId="165" fontId="0" fillId="0" borderId="0" xfId="3" applyNumberFormat="1" applyFont="1"/>
    <xf numFmtId="165" fontId="0" fillId="0" borderId="0" xfId="3" applyNumberFormat="1" applyFont="1" applyFill="1" applyAlignment="1">
      <alignment horizontal="center"/>
    </xf>
    <xf numFmtId="169" fontId="6" fillId="0" borderId="0" xfId="1" applyNumberFormat="1" applyFill="1"/>
    <xf numFmtId="168" fontId="0" fillId="0" borderId="0" xfId="4" applyNumberFormat="1" applyFont="1"/>
    <xf numFmtId="0" fontId="4" fillId="0" borderId="0" xfId="1" applyFont="1"/>
    <xf numFmtId="0" fontId="8" fillId="0" borderId="0" xfId="6" applyFont="1"/>
    <xf numFmtId="0" fontId="3" fillId="0" borderId="0" xfId="6"/>
    <xf numFmtId="4" fontId="3" fillId="0" borderId="0" xfId="6" applyNumberFormat="1"/>
    <xf numFmtId="0" fontId="8" fillId="0" borderId="0" xfId="6" applyFont="1" applyAlignment="1">
      <alignment horizontal="center"/>
    </xf>
    <xf numFmtId="0" fontId="8" fillId="6" borderId="0" xfId="6" applyFont="1" applyFill="1"/>
    <xf numFmtId="4" fontId="3" fillId="0" borderId="0" xfId="7" applyNumberFormat="1" applyAlignment="1">
      <alignment horizontal="center"/>
    </xf>
    <xf numFmtId="2" fontId="3" fillId="0" borderId="0" xfId="6" applyNumberFormat="1"/>
    <xf numFmtId="10" fontId="3" fillId="0" borderId="0" xfId="6" applyNumberFormat="1"/>
    <xf numFmtId="2" fontId="3" fillId="6" borderId="0" xfId="6" applyNumberFormat="1" applyFill="1"/>
    <xf numFmtId="10" fontId="3" fillId="6" borderId="0" xfId="6" applyNumberFormat="1" applyFill="1"/>
    <xf numFmtId="0" fontId="11" fillId="0" borderId="0" xfId="6" applyFont="1"/>
    <xf numFmtId="10" fontId="11" fillId="0" borderId="0" xfId="6" applyNumberFormat="1" applyFont="1"/>
    <xf numFmtId="2" fontId="11" fillId="6" borderId="0" xfId="6" applyNumberFormat="1" applyFont="1" applyFill="1"/>
    <xf numFmtId="10" fontId="11" fillId="6" borderId="0" xfId="6" applyNumberFormat="1" applyFont="1" applyFill="1"/>
    <xf numFmtId="4" fontId="11" fillId="0" borderId="0" xfId="6" applyNumberFormat="1" applyFont="1"/>
    <xf numFmtId="10" fontId="8" fillId="0" borderId="0" xfId="6" applyNumberFormat="1" applyFont="1"/>
    <xf numFmtId="10" fontId="8" fillId="6" borderId="0" xfId="6" applyNumberFormat="1" applyFont="1" applyFill="1"/>
    <xf numFmtId="0" fontId="11" fillId="4" borderId="0" xfId="6" applyFont="1" applyFill="1"/>
    <xf numFmtId="10" fontId="11" fillId="4" borderId="0" xfId="6" applyNumberFormat="1" applyFont="1" applyFill="1"/>
    <xf numFmtId="2" fontId="11" fillId="4" borderId="0" xfId="6" applyNumberFormat="1" applyFont="1" applyFill="1"/>
    <xf numFmtId="4" fontId="3" fillId="4" borderId="0" xfId="6" applyNumberFormat="1" applyFill="1"/>
    <xf numFmtId="2" fontId="3" fillId="4" borderId="0" xfId="6" applyNumberFormat="1" applyFill="1"/>
    <xf numFmtId="4" fontId="11" fillId="4" borderId="0" xfId="6" applyNumberFormat="1" applyFont="1" applyFill="1"/>
    <xf numFmtId="0" fontId="3" fillId="4" borderId="0" xfId="6" applyFill="1"/>
    <xf numFmtId="0" fontId="2" fillId="0" borderId="0" xfId="1" applyFont="1"/>
    <xf numFmtId="4" fontId="12" fillId="0" borderId="0" xfId="0" applyNumberFormat="1" applyFont="1"/>
    <xf numFmtId="0" fontId="3" fillId="0" borderId="0" xfId="6" applyAlignment="1">
      <alignment horizontal="center"/>
    </xf>
    <xf numFmtId="4" fontId="3" fillId="0" borderId="0" xfId="6" applyNumberFormat="1" applyAlignment="1">
      <alignment horizontal="center"/>
    </xf>
    <xf numFmtId="0" fontId="8" fillId="0" borderId="0" xfId="6" applyFont="1" applyAlignment="1">
      <alignment horizontal="center"/>
    </xf>
    <xf numFmtId="0" fontId="8" fillId="0" borderId="0" xfId="8" applyFont="1"/>
    <xf numFmtId="0" fontId="1" fillId="0" borderId="0" xfId="8"/>
    <xf numFmtId="4" fontId="1" fillId="0" borderId="0" xfId="8" applyNumberFormat="1"/>
    <xf numFmtId="0" fontId="8" fillId="0" borderId="0" xfId="8" applyFont="1" applyAlignment="1">
      <alignment horizontal="center"/>
    </xf>
    <xf numFmtId="0" fontId="8" fillId="0" borderId="0" xfId="8" applyFont="1" applyAlignment="1">
      <alignment horizontal="center"/>
    </xf>
    <xf numFmtId="4" fontId="1" fillId="0" borderId="0" xfId="8" applyNumberFormat="1" applyAlignment="1">
      <alignment horizontal="center"/>
    </xf>
    <xf numFmtId="0" fontId="1" fillId="0" borderId="0" xfId="8" applyAlignment="1">
      <alignment horizontal="center"/>
    </xf>
    <xf numFmtId="0" fontId="8" fillId="6" borderId="0" xfId="8" applyFont="1" applyFill="1"/>
    <xf numFmtId="4" fontId="1" fillId="0" borderId="0" xfId="9" applyNumberFormat="1" applyAlignment="1">
      <alignment horizontal="center"/>
    </xf>
    <xf numFmtId="2" fontId="1" fillId="0" borderId="0" xfId="8" applyNumberFormat="1"/>
    <xf numFmtId="10" fontId="1" fillId="0" borderId="0" xfId="8" applyNumberFormat="1"/>
    <xf numFmtId="2" fontId="1" fillId="6" borderId="0" xfId="8" applyNumberFormat="1" applyFill="1"/>
    <xf numFmtId="10" fontId="1" fillId="6" borderId="0" xfId="8" applyNumberFormat="1" applyFill="1"/>
    <xf numFmtId="0" fontId="11" fillId="0" borderId="0" xfId="8" applyFont="1"/>
    <xf numFmtId="10" fontId="11" fillId="0" borderId="0" xfId="8" applyNumberFormat="1" applyFont="1"/>
    <xf numFmtId="2" fontId="11" fillId="6" borderId="0" xfId="8" applyNumberFormat="1" applyFont="1" applyFill="1"/>
    <xf numFmtId="10" fontId="11" fillId="6" borderId="0" xfId="8" applyNumberFormat="1" applyFont="1" applyFill="1"/>
    <xf numFmtId="4" fontId="11" fillId="0" borderId="0" xfId="8" applyNumberFormat="1" applyFont="1"/>
    <xf numFmtId="10" fontId="8" fillId="0" borderId="0" xfId="8" applyNumberFormat="1" applyFont="1"/>
    <xf numFmtId="10" fontId="8" fillId="6" borderId="0" xfId="8" applyNumberFormat="1" applyFont="1" applyFill="1"/>
    <xf numFmtId="0" fontId="11" fillId="4" borderId="0" xfId="8" applyFont="1" applyFill="1"/>
    <xf numFmtId="10" fontId="11" fillId="4" borderId="0" xfId="8" applyNumberFormat="1" applyFont="1" applyFill="1"/>
    <xf numFmtId="2" fontId="11" fillId="4" borderId="0" xfId="8" applyNumberFormat="1" applyFont="1" applyFill="1"/>
    <xf numFmtId="4" fontId="1" fillId="4" borderId="0" xfId="8" applyNumberFormat="1" applyFill="1"/>
    <xf numFmtId="2" fontId="1" fillId="4" borderId="0" xfId="8" applyNumberFormat="1" applyFill="1"/>
    <xf numFmtId="4" fontId="11" fillId="4" borderId="0" xfId="8" applyNumberFormat="1" applyFont="1" applyFill="1"/>
  </cellXfs>
  <cellStyles count="10">
    <cellStyle name="Comma 10 23" xfId="4"/>
    <cellStyle name="Comma 10 6" xfId="2"/>
    <cellStyle name="Comma 2" xfId="3"/>
    <cellStyle name="Normal" xfId="0" builtinId="0"/>
    <cellStyle name="Normal 2" xfId="5"/>
    <cellStyle name="Normal 2 2" xfId="7"/>
    <cellStyle name="Normal 2 2 2" xfId="9"/>
    <cellStyle name="Normal 3" xfId="1"/>
    <cellStyle name="Normal 4" xfId="6"/>
    <cellStyle name="Normal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63" Type="http://schemas.openxmlformats.org/officeDocument/2006/relationships/externalLink" Target="externalLinks/externalLink60.xml"/><Relationship Id="rId68" Type="http://schemas.openxmlformats.org/officeDocument/2006/relationships/sharedStrings" Target="sharedStrings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6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61" Type="http://schemas.openxmlformats.org/officeDocument/2006/relationships/externalLink" Target="externalLinks/externalLink58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calcChain" Target="calcChain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styles" Target="styles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ViewProj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kat_450_20MMb_20K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0102%20simple%20use%20this%20one%20as%20base%2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FinProj_0513_prs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P03301_revised%204-6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Ebooks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_DFW_200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oup%20Impact_PSV20-14_Nov21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53"/>
  <sheetViews>
    <sheetView tabSelected="1" topLeftCell="A13" zoomScale="85" zoomScaleNormal="85" workbookViewId="0">
      <selection activeCell="I52" sqref="I52"/>
    </sheetView>
  </sheetViews>
  <sheetFormatPr defaultRowHeight="15" x14ac:dyDescent="0.25"/>
  <cols>
    <col min="1" max="1" width="68.140625" style="1" customWidth="1"/>
    <col min="2" max="8" width="15" style="1" hidden="1" customWidth="1"/>
    <col min="9" max="9" width="15" style="1" customWidth="1"/>
    <col min="10" max="10" width="43.42578125" style="1" customWidth="1"/>
    <col min="11" max="11" width="60.140625" style="1" customWidth="1"/>
    <col min="12" max="12" width="15.28515625" style="1" customWidth="1"/>
    <col min="13" max="13" width="31.28515625" style="1" customWidth="1"/>
    <col min="14" max="14" width="10.5703125" style="1" bestFit="1" customWidth="1"/>
    <col min="15" max="15" width="60.140625" style="1" hidden="1" customWidth="1"/>
    <col min="16" max="16" width="15.28515625" style="1" hidden="1" customWidth="1"/>
    <col min="17" max="22" width="0" style="1" hidden="1" customWidth="1"/>
    <col min="23" max="23" width="14.42578125" style="1" customWidth="1"/>
    <col min="24" max="24" width="9.140625" style="1"/>
    <col min="25" max="25" width="15.28515625" style="1" bestFit="1" customWidth="1"/>
    <col min="26" max="16384" width="9.140625" style="1"/>
  </cols>
  <sheetData>
    <row r="1" spans="1:18" ht="22.5" customHeight="1" x14ac:dyDescent="0.25">
      <c r="B1" s="2"/>
      <c r="C1" s="2"/>
      <c r="D1" s="2"/>
      <c r="E1" s="2"/>
      <c r="F1" s="2"/>
      <c r="G1" s="2"/>
      <c r="H1" s="2"/>
      <c r="I1" s="2"/>
      <c r="L1" s="2"/>
      <c r="P1" s="2"/>
    </row>
    <row r="2" spans="1:18" ht="18.75" x14ac:dyDescent="0.3">
      <c r="A2" s="3" t="s">
        <v>1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2017</v>
      </c>
      <c r="J2" s="5"/>
      <c r="K2" s="3" t="s">
        <v>2</v>
      </c>
      <c r="L2" s="4">
        <v>2017</v>
      </c>
      <c r="O2" s="3" t="s">
        <v>3</v>
      </c>
      <c r="P2" s="4">
        <v>2017</v>
      </c>
    </row>
    <row r="3" spans="1:18" x14ac:dyDescent="0.25">
      <c r="A3" s="6" t="s">
        <v>4</v>
      </c>
      <c r="K3" s="6" t="s">
        <v>4</v>
      </c>
      <c r="M3" s="5"/>
      <c r="O3" s="6" t="s">
        <v>4</v>
      </c>
    </row>
    <row r="4" spans="1:18" x14ac:dyDescent="0.25">
      <c r="A4" s="6" t="s">
        <v>5</v>
      </c>
      <c r="I4" s="7">
        <v>0</v>
      </c>
      <c r="K4" s="6"/>
      <c r="L4" s="7">
        <v>0</v>
      </c>
      <c r="M4" s="5"/>
      <c r="O4" s="6"/>
    </row>
    <row r="5" spans="1:18" x14ac:dyDescent="0.25">
      <c r="A5" s="6" t="s">
        <v>6</v>
      </c>
      <c r="I5" s="7">
        <f>-I4*0.2</f>
        <v>0</v>
      </c>
      <c r="K5" s="6"/>
      <c r="L5" s="7">
        <f>-L4*0.2</f>
        <v>0</v>
      </c>
      <c r="M5" s="5"/>
      <c r="O5" s="6"/>
    </row>
    <row r="6" spans="1:18" x14ac:dyDescent="0.25">
      <c r="A6" s="8" t="s">
        <v>7</v>
      </c>
      <c r="B6" s="9"/>
      <c r="C6" s="9"/>
      <c r="D6" s="9"/>
      <c r="E6" s="9"/>
      <c r="F6" s="9"/>
      <c r="G6" s="9"/>
      <c r="H6" s="9"/>
      <c r="I6" s="9">
        <v>51.37</v>
      </c>
      <c r="J6" s="1" t="s">
        <v>8</v>
      </c>
      <c r="K6" s="8" t="s">
        <v>9</v>
      </c>
      <c r="L6" s="10">
        <v>1.17</v>
      </c>
      <c r="M6" s="1" t="s">
        <v>8</v>
      </c>
      <c r="O6" s="8" t="s">
        <v>9</v>
      </c>
      <c r="P6" s="11">
        <v>2.4</v>
      </c>
      <c r="Q6" s="1" t="s">
        <v>8</v>
      </c>
      <c r="R6" s="5"/>
    </row>
    <row r="7" spans="1:18" x14ac:dyDescent="0.25">
      <c r="A7" s="8" t="s">
        <v>10</v>
      </c>
      <c r="B7" s="12">
        <v>366</v>
      </c>
      <c r="C7" s="12">
        <v>365</v>
      </c>
      <c r="D7" s="12">
        <v>365</v>
      </c>
      <c r="E7" s="12">
        <v>365</v>
      </c>
      <c r="F7" s="12">
        <v>366</v>
      </c>
      <c r="G7" s="12">
        <v>365</v>
      </c>
      <c r="H7" s="12">
        <v>365</v>
      </c>
      <c r="I7" s="12">
        <v>30</v>
      </c>
      <c r="K7" s="8" t="s">
        <v>10</v>
      </c>
      <c r="L7" s="12">
        <v>181</v>
      </c>
      <c r="O7" s="8" t="s">
        <v>10</v>
      </c>
      <c r="P7" s="12">
        <v>365</v>
      </c>
    </row>
    <row r="8" spans="1:18" x14ac:dyDescent="0.25">
      <c r="A8" s="8" t="s">
        <v>11</v>
      </c>
      <c r="B8" s="13"/>
      <c r="C8" s="13"/>
      <c r="D8" s="13"/>
      <c r="E8" s="13"/>
      <c r="F8" s="13"/>
      <c r="G8" s="13"/>
      <c r="H8" s="13"/>
      <c r="I8" s="14">
        <v>12.070615160349877</v>
      </c>
      <c r="J8" s="1" t="s">
        <v>12</v>
      </c>
      <c r="K8" s="8" t="s">
        <v>11</v>
      </c>
      <c r="L8" s="14">
        <v>0</v>
      </c>
      <c r="M8" s="1" t="s">
        <v>12</v>
      </c>
      <c r="O8" s="8" t="s">
        <v>11</v>
      </c>
      <c r="P8" s="15">
        <v>0</v>
      </c>
      <c r="Q8" s="1" t="s">
        <v>12</v>
      </c>
    </row>
    <row r="9" spans="1:18" x14ac:dyDescent="0.25">
      <c r="A9" s="8" t="s">
        <v>13</v>
      </c>
      <c r="B9" s="16">
        <f t="shared" ref="B9:H9" si="0">B8*B7*1000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>I8*I7*1000</f>
        <v>362118.4548104963</v>
      </c>
      <c r="K9" s="8" t="s">
        <v>14</v>
      </c>
      <c r="L9" s="16">
        <f>L8*L7*1000</f>
        <v>0</v>
      </c>
      <c r="O9" s="8" t="s">
        <v>14</v>
      </c>
      <c r="P9" s="16">
        <f t="shared" ref="P9" si="1">P8*P7*1000</f>
        <v>0</v>
      </c>
    </row>
    <row r="10" spans="1:18" ht="15.75" thickBot="1" x14ac:dyDescent="0.3">
      <c r="A10" s="8" t="s">
        <v>15</v>
      </c>
      <c r="B10" s="17">
        <f t="shared" ref="B10:I10" si="2">+B9*B6</f>
        <v>0</v>
      </c>
      <c r="C10" s="17">
        <f t="shared" si="2"/>
        <v>0</v>
      </c>
      <c r="D10" s="17">
        <f t="shared" si="2"/>
        <v>0</v>
      </c>
      <c r="E10" s="17">
        <f t="shared" si="2"/>
        <v>0</v>
      </c>
      <c r="F10" s="17">
        <f t="shared" si="2"/>
        <v>0</v>
      </c>
      <c r="G10" s="17">
        <f t="shared" si="2"/>
        <v>0</v>
      </c>
      <c r="H10" s="17">
        <f t="shared" si="2"/>
        <v>0</v>
      </c>
      <c r="I10" s="18">
        <f t="shared" si="2"/>
        <v>18602025.023615193</v>
      </c>
      <c r="K10" s="8" t="s">
        <v>15</v>
      </c>
      <c r="L10" s="18">
        <f>+L9*L6*5.8</f>
        <v>0</v>
      </c>
      <c r="O10" s="8" t="s">
        <v>15</v>
      </c>
      <c r="P10" s="18">
        <f>+P9*P6*5.8</f>
        <v>0</v>
      </c>
    </row>
    <row r="11" spans="1:18" ht="15.75" thickTop="1" x14ac:dyDescent="0.25">
      <c r="A11" s="8" t="s">
        <v>16</v>
      </c>
      <c r="B11" s="19">
        <f t="shared" ref="B11:H11" si="3">-B10*0.2</f>
        <v>0</v>
      </c>
      <c r="C11" s="19">
        <f t="shared" si="3"/>
        <v>0</v>
      </c>
      <c r="D11" s="19">
        <f t="shared" si="3"/>
        <v>0</v>
      </c>
      <c r="E11" s="19">
        <f t="shared" si="3"/>
        <v>0</v>
      </c>
      <c r="F11" s="19">
        <f t="shared" si="3"/>
        <v>0</v>
      </c>
      <c r="G11" s="19">
        <f t="shared" si="3"/>
        <v>0</v>
      </c>
      <c r="H11" s="20">
        <f t="shared" si="3"/>
        <v>0</v>
      </c>
      <c r="I11" s="21">
        <f>-I10*0.2</f>
        <v>-3720405.0047230385</v>
      </c>
      <c r="J11" s="1" t="s">
        <v>17</v>
      </c>
      <c r="K11" s="8" t="s">
        <v>18</v>
      </c>
      <c r="L11" s="21">
        <f>-L10*0.07</f>
        <v>0</v>
      </c>
      <c r="M11" s="1" t="s">
        <v>19</v>
      </c>
      <c r="O11" s="8" t="s">
        <v>18</v>
      </c>
      <c r="P11" s="21">
        <f>-P10*0.07</f>
        <v>0</v>
      </c>
      <c r="Q11" s="1" t="s">
        <v>19</v>
      </c>
    </row>
    <row r="12" spans="1:18" x14ac:dyDescent="0.25">
      <c r="A12" s="8" t="s">
        <v>20</v>
      </c>
      <c r="B12" s="19"/>
      <c r="C12" s="19"/>
      <c r="D12" s="19"/>
      <c r="E12" s="19"/>
      <c r="F12" s="19"/>
      <c r="G12" s="19"/>
      <c r="H12" s="20"/>
      <c r="I12" s="19">
        <v>0</v>
      </c>
      <c r="K12" s="8" t="s">
        <v>20</v>
      </c>
      <c r="L12" s="19">
        <v>0</v>
      </c>
      <c r="O12" s="8" t="s">
        <v>20</v>
      </c>
      <c r="P12" s="19"/>
    </row>
    <row r="13" spans="1:18" x14ac:dyDescent="0.25">
      <c r="A13" s="8" t="s">
        <v>21</v>
      </c>
      <c r="B13" s="19"/>
      <c r="C13" s="19"/>
      <c r="D13" s="19"/>
      <c r="E13" s="19"/>
      <c r="F13" s="19"/>
      <c r="G13" s="19"/>
      <c r="H13" s="20"/>
      <c r="I13" s="19"/>
      <c r="K13" s="8" t="s">
        <v>21</v>
      </c>
      <c r="L13" s="19"/>
      <c r="O13" s="8" t="s">
        <v>21</v>
      </c>
      <c r="P13" s="19"/>
    </row>
    <row r="14" spans="1:18" x14ac:dyDescent="0.25">
      <c r="A14" s="8" t="s">
        <v>22</v>
      </c>
      <c r="B14" s="19"/>
      <c r="C14" s="19"/>
      <c r="D14" s="19"/>
      <c r="E14" s="19"/>
      <c r="F14" s="19"/>
      <c r="G14" s="19"/>
      <c r="H14" s="20"/>
      <c r="I14" s="19">
        <f>-I8*I7*2706</f>
        <v>-979892.53871720296</v>
      </c>
      <c r="J14" s="1" t="s">
        <v>23</v>
      </c>
      <c r="K14" s="8" t="s">
        <v>22</v>
      </c>
      <c r="L14" s="19">
        <f>-L8*L7*2706</f>
        <v>0</v>
      </c>
      <c r="O14" s="8" t="s">
        <v>22</v>
      </c>
      <c r="P14" s="19">
        <f>-P8*P7*2706</f>
        <v>0</v>
      </c>
    </row>
    <row r="15" spans="1:18" x14ac:dyDescent="0.25">
      <c r="A15" s="8" t="s">
        <v>24</v>
      </c>
      <c r="B15" s="22">
        <f t="shared" ref="B15:H15" si="4">+B10+B11</f>
        <v>0</v>
      </c>
      <c r="C15" s="22">
        <f t="shared" si="4"/>
        <v>0</v>
      </c>
      <c r="D15" s="22">
        <f t="shared" si="4"/>
        <v>0</v>
      </c>
      <c r="E15" s="22">
        <f t="shared" si="4"/>
        <v>0</v>
      </c>
      <c r="F15" s="22">
        <f t="shared" si="4"/>
        <v>0</v>
      </c>
      <c r="G15" s="22">
        <f t="shared" si="4"/>
        <v>0</v>
      </c>
      <c r="H15" s="23">
        <f t="shared" si="4"/>
        <v>0</v>
      </c>
      <c r="I15" s="22">
        <f>+I10+I11+I12+I13+I14+I5</f>
        <v>13901727.480174951</v>
      </c>
      <c r="K15" s="8" t="s">
        <v>24</v>
      </c>
      <c r="L15" s="22">
        <f>+L10+L11+L12+L13+L14+L5</f>
        <v>0</v>
      </c>
      <c r="O15" s="8" t="s">
        <v>24</v>
      </c>
      <c r="P15" s="22">
        <f>+P10+P11+P12+P13+P14</f>
        <v>0</v>
      </c>
    </row>
    <row r="16" spans="1:18" x14ac:dyDescent="0.25">
      <c r="A16" s="8" t="s">
        <v>25</v>
      </c>
      <c r="B16" s="19">
        <f t="shared" ref="B16:I16" si="5">-B15*0.85</f>
        <v>0</v>
      </c>
      <c r="C16" s="19">
        <f t="shared" si="5"/>
        <v>0</v>
      </c>
      <c r="D16" s="19">
        <f t="shared" si="5"/>
        <v>0</v>
      </c>
      <c r="E16" s="19">
        <f t="shared" si="5"/>
        <v>0</v>
      </c>
      <c r="F16" s="19">
        <f t="shared" si="5"/>
        <v>0</v>
      </c>
      <c r="G16" s="19">
        <f t="shared" si="5"/>
        <v>0</v>
      </c>
      <c r="H16" s="20">
        <f t="shared" si="5"/>
        <v>0</v>
      </c>
      <c r="I16" s="19">
        <f t="shared" si="5"/>
        <v>-11816468.358148709</v>
      </c>
      <c r="J16" s="1" t="s">
        <v>26</v>
      </c>
      <c r="K16" s="8" t="s">
        <v>27</v>
      </c>
      <c r="L16" s="19">
        <f>-L15*0.3</f>
        <v>0</v>
      </c>
      <c r="O16" s="8" t="s">
        <v>27</v>
      </c>
      <c r="P16" s="19">
        <f>-P15*0.3</f>
        <v>0</v>
      </c>
    </row>
    <row r="17" spans="1:25" x14ac:dyDescent="0.25">
      <c r="A17" s="24"/>
      <c r="B17" s="25"/>
      <c r="C17" s="25"/>
      <c r="D17" s="25"/>
      <c r="E17" s="25"/>
      <c r="F17" s="25"/>
      <c r="G17" s="25"/>
      <c r="H17" s="25"/>
      <c r="I17" s="26"/>
      <c r="K17" s="24"/>
      <c r="L17" s="26"/>
      <c r="O17" s="24"/>
      <c r="P17" s="26"/>
    </row>
    <row r="18" spans="1:25" ht="15.75" thickBot="1" x14ac:dyDescent="0.3">
      <c r="A18" s="27" t="s">
        <v>28</v>
      </c>
      <c r="B18" s="28">
        <f t="shared" ref="B18:I18" si="6">+B15+B16</f>
        <v>0</v>
      </c>
      <c r="C18" s="28">
        <f t="shared" si="6"/>
        <v>0</v>
      </c>
      <c r="D18" s="28">
        <f t="shared" si="6"/>
        <v>0</v>
      </c>
      <c r="E18" s="28">
        <f t="shared" si="6"/>
        <v>0</v>
      </c>
      <c r="F18" s="28">
        <f t="shared" si="6"/>
        <v>0</v>
      </c>
      <c r="G18" s="28">
        <f t="shared" si="6"/>
        <v>0</v>
      </c>
      <c r="H18" s="28">
        <f t="shared" si="6"/>
        <v>0</v>
      </c>
      <c r="I18" s="17">
        <f t="shared" si="6"/>
        <v>2085259.1220262423</v>
      </c>
      <c r="K18" s="27" t="s">
        <v>28</v>
      </c>
      <c r="L18" s="17">
        <f t="shared" ref="L18" si="7">+L15+L16</f>
        <v>0</v>
      </c>
      <c r="O18" s="27" t="s">
        <v>28</v>
      </c>
      <c r="P18" s="17">
        <f t="shared" ref="P18" si="8">+P15+P16</f>
        <v>0</v>
      </c>
    </row>
    <row r="19" spans="1:25" ht="15.75" thickTop="1" x14ac:dyDescent="0.25"/>
    <row r="20" spans="1:25" ht="15.75" thickBot="1" x14ac:dyDescent="0.3">
      <c r="A20" s="1" t="s">
        <v>29</v>
      </c>
      <c r="I20" s="29">
        <f>I18-I14</f>
        <v>3065151.6607434452</v>
      </c>
      <c r="J20" s="1" t="s">
        <v>30</v>
      </c>
      <c r="K20" s="1" t="s">
        <v>29</v>
      </c>
      <c r="L20" s="29">
        <f>L18-L14</f>
        <v>0</v>
      </c>
      <c r="M20" s="1" t="s">
        <v>30</v>
      </c>
      <c r="O20" s="1" t="s">
        <v>29</v>
      </c>
      <c r="P20" s="29">
        <f>P18-P14</f>
        <v>0</v>
      </c>
      <c r="Q20" s="1" t="s">
        <v>30</v>
      </c>
    </row>
    <row r="21" spans="1:25" ht="15.75" thickTop="1" x14ac:dyDescent="0.25"/>
    <row r="22" spans="1:25" ht="15.75" thickBot="1" x14ac:dyDescent="0.3">
      <c r="I22" s="30"/>
      <c r="K22" s="1" t="s">
        <v>31</v>
      </c>
      <c r="L22" s="30">
        <f>L20-L16</f>
        <v>0</v>
      </c>
      <c r="M22" s="1" t="s">
        <v>30</v>
      </c>
      <c r="O22" s="1" t="s">
        <v>31</v>
      </c>
      <c r="P22" s="30">
        <f>P20-P16</f>
        <v>0</v>
      </c>
      <c r="Q22" s="1" t="s">
        <v>30</v>
      </c>
    </row>
    <row r="23" spans="1:25" ht="15.75" thickTop="1" x14ac:dyDescent="0.25"/>
    <row r="25" spans="1:25" x14ac:dyDescent="0.25">
      <c r="A25" s="1" t="s">
        <v>32</v>
      </c>
      <c r="I25" s="31">
        <f>I4</f>
        <v>0</v>
      </c>
      <c r="L25" s="31">
        <f>L4+L20</f>
        <v>0</v>
      </c>
    </row>
    <row r="26" spans="1:25" x14ac:dyDescent="0.25">
      <c r="A26" s="32" t="s">
        <v>33</v>
      </c>
      <c r="I26" s="31">
        <f>-I5*0.85</f>
        <v>0</v>
      </c>
      <c r="L26" s="31">
        <f>-L5*0.3</f>
        <v>0</v>
      </c>
    </row>
    <row r="27" spans="1:25" x14ac:dyDescent="0.25">
      <c r="A27" s="33" t="s">
        <v>34</v>
      </c>
      <c r="B27" s="34"/>
      <c r="C27" s="34"/>
      <c r="D27" s="34"/>
      <c r="E27" s="34"/>
      <c r="F27" s="34"/>
      <c r="G27" s="34"/>
      <c r="H27" s="34"/>
      <c r="I27" s="35">
        <f>SUM(I20:I26)</f>
        <v>3065151.6607434452</v>
      </c>
      <c r="J27" s="36"/>
      <c r="L27" s="35">
        <f>SUM(L25:L26)</f>
        <v>0</v>
      </c>
      <c r="P27" s="35"/>
    </row>
    <row r="28" spans="1:25" x14ac:dyDescent="0.25">
      <c r="A28" s="33" t="s">
        <v>35</v>
      </c>
      <c r="B28" s="32">
        <v>2014</v>
      </c>
      <c r="C28" s="32"/>
      <c r="D28" s="32"/>
      <c r="E28" s="32"/>
      <c r="F28" s="32"/>
      <c r="G28" s="32"/>
      <c r="H28" s="32"/>
      <c r="I28" s="37">
        <f>I27*0.3</f>
        <v>919545.4982230335</v>
      </c>
      <c r="L28" s="37">
        <f>L27*0.3</f>
        <v>0</v>
      </c>
      <c r="N28" s="6" t="s">
        <v>0</v>
      </c>
      <c r="O28" s="6"/>
      <c r="P28" s="38">
        <f>P20*0.3</f>
        <v>0</v>
      </c>
      <c r="Q28" s="6"/>
      <c r="R28" s="6"/>
      <c r="S28" s="6"/>
      <c r="T28" s="6"/>
      <c r="U28" s="6"/>
      <c r="V28" s="6"/>
      <c r="W28" s="39">
        <f>I28+L28</f>
        <v>919545.4982230335</v>
      </c>
    </row>
    <row r="29" spans="1:25" s="32" customFormat="1" x14ac:dyDescent="0.25">
      <c r="B29" s="32">
        <v>2015</v>
      </c>
      <c r="J29" s="1"/>
      <c r="K29" s="1"/>
      <c r="O29" s="1"/>
      <c r="Y29" s="37"/>
    </row>
    <row r="30" spans="1:25" s="32" customFormat="1" hidden="1" x14ac:dyDescent="0.25">
      <c r="A30" s="40" t="s">
        <v>36</v>
      </c>
      <c r="B30" s="32">
        <v>2016</v>
      </c>
      <c r="I30" s="32" t="s">
        <v>37</v>
      </c>
      <c r="J30" s="1" t="s">
        <v>38</v>
      </c>
      <c r="K30" s="41"/>
      <c r="O30" s="1"/>
      <c r="P30" s="42"/>
    </row>
    <row r="31" spans="1:25" s="32" customFormat="1" hidden="1" x14ac:dyDescent="0.25">
      <c r="A31" s="32" t="s">
        <v>39</v>
      </c>
      <c r="I31" s="43">
        <v>187677.00564760386</v>
      </c>
      <c r="J31" s="31">
        <f>I31</f>
        <v>187677.00564760386</v>
      </c>
      <c r="K31" s="44"/>
      <c r="L31" s="45"/>
      <c r="O31" s="1"/>
    </row>
    <row r="32" spans="1:25" s="32" customFormat="1" hidden="1" x14ac:dyDescent="0.25">
      <c r="A32" s="32" t="s">
        <v>40</v>
      </c>
      <c r="I32" s="42">
        <v>1664888.574633426</v>
      </c>
      <c r="J32" s="5">
        <f>I32/5.8</f>
        <v>287049.75424714241</v>
      </c>
      <c r="K32" s="46"/>
      <c r="O32" s="1"/>
    </row>
    <row r="33" spans="1:23" s="32" customFormat="1" hidden="1" x14ac:dyDescent="0.25">
      <c r="A33" s="32" t="s">
        <v>41</v>
      </c>
      <c r="I33" s="43">
        <v>126636.8363896712</v>
      </c>
      <c r="J33" s="5">
        <f>I33/5.8</f>
        <v>21833.937308564</v>
      </c>
      <c r="K33" s="46"/>
      <c r="O33" s="1"/>
    </row>
    <row r="34" spans="1:23" s="32" customFormat="1" hidden="1" x14ac:dyDescent="0.25">
      <c r="I34" s="42"/>
      <c r="J34" s="1"/>
      <c r="K34" s="1"/>
      <c r="O34" s="1"/>
    </row>
    <row r="35" spans="1:23" s="32" customFormat="1" hidden="1" x14ac:dyDescent="0.25">
      <c r="J35" s="47">
        <f>SUM(J31:J33)</f>
        <v>496560.69720331026</v>
      </c>
      <c r="K35" s="1"/>
      <c r="O35" s="1"/>
    </row>
    <row r="36" spans="1:23" s="32" customFormat="1" hidden="1" x14ac:dyDescent="0.25">
      <c r="A36" s="32" t="s">
        <v>42</v>
      </c>
      <c r="I36" s="32" t="s">
        <v>43</v>
      </c>
      <c r="J36" s="1" t="s">
        <v>44</v>
      </c>
      <c r="K36" s="1" t="s">
        <v>45</v>
      </c>
      <c r="O36" s="1"/>
    </row>
    <row r="37" spans="1:23" s="32" customFormat="1" hidden="1" x14ac:dyDescent="0.25">
      <c r="A37" s="32" t="s">
        <v>39</v>
      </c>
      <c r="I37" s="43">
        <v>187677.00564760386</v>
      </c>
      <c r="J37" s="48">
        <v>191700</v>
      </c>
      <c r="K37" s="31">
        <f>J37-I37</f>
        <v>4022.994352396141</v>
      </c>
      <c r="L37" s="43">
        <f>0.3*K37</f>
        <v>1206.8983057188423</v>
      </c>
      <c r="M37" s="49"/>
      <c r="O37" s="1"/>
    </row>
    <row r="38" spans="1:23" s="32" customFormat="1" hidden="1" x14ac:dyDescent="0.25">
      <c r="A38" s="32" t="s">
        <v>40</v>
      </c>
      <c r="I38" s="43">
        <v>287050</v>
      </c>
      <c r="J38" s="47">
        <v>289462.71000000002</v>
      </c>
      <c r="K38" s="31">
        <f>J38-I38</f>
        <v>2412.710000000021</v>
      </c>
      <c r="L38" s="43">
        <f t="shared" ref="L38:L39" si="9">0.3*K38</f>
        <v>723.81300000000624</v>
      </c>
      <c r="M38" s="49"/>
      <c r="O38" s="1"/>
    </row>
    <row r="39" spans="1:23" s="32" customFormat="1" hidden="1" x14ac:dyDescent="0.25">
      <c r="A39" s="32" t="s">
        <v>41</v>
      </c>
      <c r="I39" s="50">
        <v>21834</v>
      </c>
      <c r="J39" s="50">
        <v>22095.040000000001</v>
      </c>
      <c r="K39" s="31">
        <f>J39-I39</f>
        <v>261.04000000000087</v>
      </c>
      <c r="L39" s="43">
        <f t="shared" si="9"/>
        <v>78.312000000000253</v>
      </c>
      <c r="M39" s="49"/>
      <c r="O39" s="1"/>
    </row>
    <row r="40" spans="1:23" s="32" customFormat="1" hidden="1" x14ac:dyDescent="0.25">
      <c r="I40" s="42">
        <f>SUM(I37:I39)</f>
        <v>496561.00564760389</v>
      </c>
      <c r="J40" s="42">
        <f>SUM(J37:J39)</f>
        <v>503257.75</v>
      </c>
      <c r="K40" s="42">
        <f>SUM(K37:K39)</f>
        <v>6696.7443523961629</v>
      </c>
      <c r="L40" s="42">
        <f>SUM(L37:L39)</f>
        <v>2009.0233057188489</v>
      </c>
      <c r="M40" s="49"/>
      <c r="O40" s="1"/>
    </row>
    <row r="41" spans="1:23" s="32" customFormat="1" hidden="1" x14ac:dyDescent="0.25">
      <c r="J41" s="1"/>
      <c r="K41" s="1"/>
      <c r="O41" s="1"/>
    </row>
    <row r="42" spans="1:23" x14ac:dyDescent="0.25">
      <c r="W42" s="36"/>
    </row>
    <row r="43" spans="1:23" x14ac:dyDescent="0.25">
      <c r="A43" s="51" t="s">
        <v>68</v>
      </c>
      <c r="I43" s="36">
        <f>I28/3</f>
        <v>306515.16607434448</v>
      </c>
      <c r="J43" s="36">
        <f>-66726.0747542359-78792.0958470454-72546.371173944</f>
        <v>-218064.54177522531</v>
      </c>
      <c r="K43" s="36">
        <f>I43+J43</f>
        <v>88450.624299119168</v>
      </c>
      <c r="W43" s="36">
        <f>W28/3</f>
        <v>306515.16607434448</v>
      </c>
    </row>
    <row r="44" spans="1:23" x14ac:dyDescent="0.25">
      <c r="A44" s="51" t="s">
        <v>69</v>
      </c>
      <c r="I44" s="36">
        <f>I28/3</f>
        <v>306515.16607434448</v>
      </c>
      <c r="J44" s="36">
        <f>-66726.0747542359-78792.0958470454-72546.371173944</f>
        <v>-218064.54177522531</v>
      </c>
      <c r="K44" s="36">
        <f t="shared" ref="K44:K45" si="10">I44+J44</f>
        <v>88450.624299119168</v>
      </c>
      <c r="W44" s="36">
        <f>W28/3</f>
        <v>306515.16607434448</v>
      </c>
    </row>
    <row r="45" spans="1:23" x14ac:dyDescent="0.25">
      <c r="A45" s="51" t="s">
        <v>70</v>
      </c>
      <c r="I45" s="36">
        <f>I28/3</f>
        <v>306515.16607434448</v>
      </c>
      <c r="J45" s="36">
        <v>-72546.371173943975</v>
      </c>
      <c r="K45" s="36">
        <f t="shared" si="10"/>
        <v>233968.79490040051</v>
      </c>
      <c r="W45" s="36">
        <f>W28/3</f>
        <v>306515.16607434448</v>
      </c>
    </row>
    <row r="49" spans="1:9" x14ac:dyDescent="0.25">
      <c r="A49" s="51" t="s">
        <v>70</v>
      </c>
      <c r="I49" s="36">
        <f>K45</f>
        <v>233968.79490040051</v>
      </c>
    </row>
    <row r="51" spans="1:9" x14ac:dyDescent="0.25">
      <c r="A51" s="76" t="s">
        <v>78</v>
      </c>
      <c r="I51" s="77">
        <f>(370256866.77/5*3-9437697.39*3)/360/3</f>
        <v>179482.43323333337</v>
      </c>
    </row>
    <row r="52" spans="1:9" x14ac:dyDescent="0.25">
      <c r="A52" s="76" t="s">
        <v>79</v>
      </c>
      <c r="I52" s="77">
        <f>I51*0.15*0.85</f>
        <v>22884.010237250004</v>
      </c>
    </row>
    <row r="53" spans="1:9" x14ac:dyDescent="0.25">
      <c r="I53" s="36">
        <f>I49-I52</f>
        <v>211084.78466315049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zoomScaleNormal="100" workbookViewId="0">
      <selection activeCell="V5" sqref="V5"/>
    </sheetView>
  </sheetViews>
  <sheetFormatPr defaultRowHeight="15" x14ac:dyDescent="0.25"/>
  <cols>
    <col min="1" max="1" width="27" style="82" customWidth="1"/>
    <col min="2" max="5" width="0" style="82" hidden="1" customWidth="1"/>
    <col min="6" max="6" width="13.7109375" style="82" customWidth="1"/>
    <col min="7" max="7" width="9.140625" style="82"/>
    <col min="8" max="8" width="9.140625" style="82" customWidth="1"/>
    <col min="9" max="9" width="9.140625" style="83" hidden="1" customWidth="1"/>
    <col min="10" max="10" width="7.85546875" style="82" hidden="1" customWidth="1"/>
    <col min="11" max="11" width="9.140625" style="82" hidden="1" customWidth="1"/>
    <col min="12" max="12" width="10" style="82" hidden="1" customWidth="1"/>
    <col min="13" max="15" width="9.140625" style="82" hidden="1" customWidth="1"/>
    <col min="16" max="20" width="0" style="82" hidden="1" customWidth="1"/>
    <col min="21" max="22" width="9.140625" style="82"/>
    <col min="23" max="23" width="9.140625" style="82" customWidth="1"/>
    <col min="24" max="25" width="9.140625" style="82" hidden="1" customWidth="1"/>
    <col min="26" max="26" width="2.5703125" style="82" hidden="1" customWidth="1"/>
    <col min="27" max="30" width="0" style="82" hidden="1" customWidth="1"/>
    <col min="31" max="16384" width="9.140625" style="82"/>
  </cols>
  <sheetData>
    <row r="1" spans="1:30" x14ac:dyDescent="0.25">
      <c r="A1" s="81" t="s">
        <v>46</v>
      </c>
    </row>
    <row r="2" spans="1:30" x14ac:dyDescent="0.25">
      <c r="B2" s="84">
        <v>2015</v>
      </c>
      <c r="C2" s="84"/>
      <c r="D2" s="84">
        <v>2016</v>
      </c>
      <c r="E2" s="84"/>
      <c r="F2" s="85" t="s">
        <v>47</v>
      </c>
      <c r="G2" s="84" t="s">
        <v>48</v>
      </c>
      <c r="H2" s="84"/>
      <c r="I2" s="86" t="s">
        <v>71</v>
      </c>
      <c r="J2" s="86"/>
      <c r="K2" s="87" t="s">
        <v>49</v>
      </c>
      <c r="L2" s="87"/>
      <c r="M2" s="87" t="s">
        <v>50</v>
      </c>
      <c r="N2" s="87"/>
      <c r="O2" s="87" t="s">
        <v>72</v>
      </c>
      <c r="P2" s="87"/>
      <c r="Q2" s="86" t="s">
        <v>80</v>
      </c>
      <c r="R2" s="86"/>
      <c r="S2" s="87" t="s">
        <v>73</v>
      </c>
      <c r="T2" s="87"/>
      <c r="U2" s="87" t="s">
        <v>81</v>
      </c>
      <c r="V2" s="87"/>
      <c r="X2" s="86" t="s">
        <v>74</v>
      </c>
      <c r="Y2" s="86"/>
      <c r="AA2" s="86" t="s">
        <v>75</v>
      </c>
      <c r="AB2" s="86"/>
      <c r="AC2" s="86"/>
      <c r="AD2" s="86"/>
    </row>
    <row r="3" spans="1:30" x14ac:dyDescent="0.25">
      <c r="B3" s="81" t="s">
        <v>51</v>
      </c>
      <c r="C3" s="81" t="s">
        <v>52</v>
      </c>
      <c r="D3" s="81" t="s">
        <v>51</v>
      </c>
      <c r="E3" s="81" t="s">
        <v>52</v>
      </c>
      <c r="F3" s="81"/>
      <c r="G3" s="88" t="s">
        <v>51</v>
      </c>
      <c r="H3" s="88" t="s">
        <v>52</v>
      </c>
      <c r="I3" s="89" t="s">
        <v>66</v>
      </c>
      <c r="J3" s="89" t="s">
        <v>67</v>
      </c>
      <c r="K3" s="89" t="s">
        <v>66</v>
      </c>
      <c r="L3" s="89" t="s">
        <v>67</v>
      </c>
      <c r="M3" s="89" t="s">
        <v>66</v>
      </c>
      <c r="N3" s="89" t="s">
        <v>67</v>
      </c>
      <c r="O3" s="89" t="s">
        <v>66</v>
      </c>
      <c r="P3" s="89" t="s">
        <v>67</v>
      </c>
      <c r="Q3" s="89" t="s">
        <v>66</v>
      </c>
      <c r="R3" s="89" t="s">
        <v>67</v>
      </c>
      <c r="S3" s="89" t="s">
        <v>66</v>
      </c>
      <c r="T3" s="89" t="s">
        <v>67</v>
      </c>
      <c r="U3" s="89" t="s">
        <v>66</v>
      </c>
      <c r="V3" s="89" t="s">
        <v>67</v>
      </c>
      <c r="W3" s="90"/>
      <c r="X3" s="89" t="s">
        <v>66</v>
      </c>
      <c r="Y3" s="89" t="s">
        <v>67</v>
      </c>
      <c r="AA3" s="89" t="s">
        <v>66</v>
      </c>
      <c r="AB3" s="89" t="s">
        <v>67</v>
      </c>
      <c r="AC3" s="89" t="s">
        <v>66</v>
      </c>
      <c r="AD3" s="89" t="s">
        <v>67</v>
      </c>
    </row>
    <row r="4" spans="1:30" x14ac:dyDescent="0.25">
      <c r="A4" s="82" t="s">
        <v>53</v>
      </c>
      <c r="B4" s="82">
        <v>37.5</v>
      </c>
      <c r="C4" s="91">
        <f>B4/$B$17</f>
        <v>0.42372881355932202</v>
      </c>
      <c r="D4" s="82">
        <v>36</v>
      </c>
      <c r="E4" s="91">
        <f>D4/$D$17</f>
        <v>0.43373493975903615</v>
      </c>
      <c r="F4" s="82">
        <f>(B4+D4)/2</f>
        <v>36.75</v>
      </c>
      <c r="G4" s="92">
        <f>F4/$F$17*$G$17</f>
        <v>16.045714285714283</v>
      </c>
      <c r="H4" s="93">
        <f>G4/$G$17</f>
        <v>0.42857142857142849</v>
      </c>
      <c r="I4" s="83">
        <f>(18016.1657124044+7.05+43.6)/1000</f>
        <v>18.066815712404399</v>
      </c>
      <c r="J4" s="90">
        <f>G4-I4</f>
        <v>-2.0211014266901159</v>
      </c>
      <c r="K4" s="83">
        <v>49.924668360717369</v>
      </c>
      <c r="L4" s="83">
        <f>G4-K4</f>
        <v>-33.878954075003087</v>
      </c>
      <c r="M4" s="83">
        <v>33.467197155281518</v>
      </c>
      <c r="N4" s="90">
        <f>G4-M4</f>
        <v>-17.421482869567235</v>
      </c>
      <c r="O4" s="90">
        <f>22.4865824831399</f>
        <v>22.486582483139902</v>
      </c>
      <c r="P4" s="90">
        <f>G4-O4</f>
        <v>-6.440868197425619</v>
      </c>
      <c r="Q4" s="83">
        <f>(I4*181+K4*31+M4*31+O4*30)/273</f>
        <v>23.918823990605709</v>
      </c>
      <c r="R4" s="90">
        <f>G4-Q4</f>
        <v>-7.8731097048914265</v>
      </c>
      <c r="S4" s="90">
        <v>5.92807352995065</v>
      </c>
      <c r="T4" s="90">
        <f>G4-S4</f>
        <v>10.117640755763633</v>
      </c>
      <c r="U4" s="90">
        <v>17.299315440687199</v>
      </c>
      <c r="V4" s="90">
        <f>G4-U4</f>
        <v>-1.253601154972916</v>
      </c>
      <c r="X4" s="83">
        <f>(I4*181+K4*31+M4*31+O4*30+S4*31+U4*30)/(181+62+30+31+30)</f>
        <v>21.654457161929475</v>
      </c>
      <c r="Y4" s="90">
        <f>G4-X4</f>
        <v>-5.6087428762151923</v>
      </c>
      <c r="AA4" s="90">
        <f>(O4*30+S4*31)/61</f>
        <v>14.071602523322413</v>
      </c>
      <c r="AB4" s="90">
        <f>G4-AA4</f>
        <v>1.9741117623918694</v>
      </c>
    </row>
    <row r="5" spans="1:30" x14ac:dyDescent="0.25">
      <c r="A5" s="101" t="s">
        <v>54</v>
      </c>
      <c r="B5" s="101">
        <v>30</v>
      </c>
      <c r="C5" s="102">
        <f t="shared" ref="C5:C17" si="0">B5/$B$17</f>
        <v>0.33898305084745761</v>
      </c>
      <c r="D5" s="101">
        <v>27</v>
      </c>
      <c r="E5" s="102">
        <f t="shared" ref="E5:E15" si="1">D5/$D$17</f>
        <v>0.3253012048192771</v>
      </c>
      <c r="F5" s="101">
        <f t="shared" ref="F5:F15" si="2">(B5+D5)/2</f>
        <v>28.5</v>
      </c>
      <c r="G5" s="103">
        <f>F5/$F$17*$G$17*0.5</f>
        <v>6.2218075801749269</v>
      </c>
      <c r="H5" s="102">
        <f t="shared" ref="H5:H15" si="3">G5/$G$17</f>
        <v>0.16618075801749271</v>
      </c>
      <c r="I5" s="104">
        <f>(9617.14208692594+309.09)/1000</f>
        <v>9.9262320869259408</v>
      </c>
      <c r="J5" s="105">
        <f>G5+G6-I5</f>
        <v>2.517383073423936</v>
      </c>
      <c r="K5" s="106">
        <v>4.3913753051415574</v>
      </c>
      <c r="L5" s="106">
        <f>G5+G6-K5</f>
        <v>8.0522398552083203</v>
      </c>
      <c r="M5" s="104">
        <v>2.5932542553073281</v>
      </c>
      <c r="N5" s="106">
        <f>G5+G6-M5</f>
        <v>9.8503609050425496</v>
      </c>
      <c r="O5" s="106">
        <v>2.1296640079669</v>
      </c>
      <c r="P5" s="105">
        <f>G5+G6-O5</f>
        <v>10.313951152382977</v>
      </c>
      <c r="Q5" s="104">
        <f t="shared" ref="Q5:Q16" si="4">(I5*181+K5*31+M5*31+O5*30)/273</f>
        <v>7.6082836789249741</v>
      </c>
      <c r="R5" s="105">
        <f t="shared" ref="R5:R16" si="5">G5-Q5</f>
        <v>-1.3864760987500473</v>
      </c>
      <c r="S5" s="105">
        <f>0.217056635724282+0.115</f>
        <v>0.33205663572428201</v>
      </c>
      <c r="T5" s="105">
        <f>G5+G6-S5</f>
        <v>12.111558524625595</v>
      </c>
      <c r="U5" s="105">
        <v>0.373</v>
      </c>
      <c r="V5" s="105">
        <f>G5+G6-U5</f>
        <v>12.070615160349877</v>
      </c>
      <c r="X5" s="83">
        <f t="shared" ref="X5:X16" si="6">(I5*181+K5*31+M5*31+O5*30+S5*31+U5*30)/(181+62+30+31+30)</f>
        <v>6.2830694612394336</v>
      </c>
      <c r="Y5" s="90">
        <f>G5*2-X5</f>
        <v>6.1605456991104202</v>
      </c>
      <c r="AA5" s="90">
        <f t="shared" ref="AA5:AA16" si="7">(O5*30+S5*31)/61</f>
        <v>1.2161258351878645</v>
      </c>
      <c r="AB5" s="90">
        <f>G5+G6-AA5</f>
        <v>11.227489325162011</v>
      </c>
    </row>
    <row r="6" spans="1:30" x14ac:dyDescent="0.25">
      <c r="A6" s="94" t="s">
        <v>55</v>
      </c>
      <c r="B6" s="94"/>
      <c r="C6" s="95"/>
      <c r="D6" s="94"/>
      <c r="E6" s="95"/>
      <c r="F6" s="94"/>
      <c r="G6" s="96">
        <f>12.4436151603499*0.5</f>
        <v>6.2218075801749499</v>
      </c>
      <c r="H6" s="97">
        <f t="shared" si="3"/>
        <v>0.16618075801749332</v>
      </c>
      <c r="I6" s="83">
        <v>0</v>
      </c>
      <c r="J6" s="90">
        <v>0</v>
      </c>
      <c r="K6" s="83">
        <v>0</v>
      </c>
      <c r="L6" s="83"/>
      <c r="M6" s="83">
        <v>0</v>
      </c>
      <c r="N6" s="90">
        <v>0</v>
      </c>
      <c r="O6" s="90"/>
      <c r="P6" s="90"/>
      <c r="Q6" s="83">
        <f t="shared" si="4"/>
        <v>0</v>
      </c>
      <c r="R6" s="90">
        <f t="shared" si="5"/>
        <v>6.2218075801749499</v>
      </c>
      <c r="S6" s="90"/>
      <c r="T6" s="90">
        <v>0</v>
      </c>
      <c r="U6" s="90"/>
      <c r="V6" s="90"/>
      <c r="X6" s="83">
        <f t="shared" si="6"/>
        <v>0</v>
      </c>
      <c r="Y6" s="90">
        <v>0</v>
      </c>
      <c r="AA6" s="90">
        <f t="shared" si="7"/>
        <v>0</v>
      </c>
      <c r="AB6" s="90">
        <v>0</v>
      </c>
    </row>
    <row r="7" spans="1:30" x14ac:dyDescent="0.25">
      <c r="A7" s="82" t="s">
        <v>56</v>
      </c>
      <c r="B7" s="82">
        <v>9.5</v>
      </c>
      <c r="C7" s="91">
        <f t="shared" si="0"/>
        <v>0.10734463276836158</v>
      </c>
      <c r="D7" s="82">
        <v>6</v>
      </c>
      <c r="E7" s="91">
        <f t="shared" si="1"/>
        <v>7.2289156626506021E-2</v>
      </c>
      <c r="F7" s="82">
        <f t="shared" si="2"/>
        <v>7.75</v>
      </c>
      <c r="G7" s="92">
        <f t="shared" ref="G7:G15" si="8">F7/$F$17*$G$17</f>
        <v>3.3837900874635567</v>
      </c>
      <c r="H7" s="93">
        <f t="shared" si="3"/>
        <v>9.0379008746355682E-2</v>
      </c>
      <c r="I7" s="83">
        <v>3.9211943776465952</v>
      </c>
      <c r="J7" s="90">
        <f t="shared" ref="J7:J16" si="9">G7-I7</f>
        <v>-0.53740429018303848</v>
      </c>
      <c r="K7" s="83">
        <v>7.9399924400810645E-2</v>
      </c>
      <c r="L7" s="83">
        <f t="shared" ref="L7:L15" si="10">G7-K7</f>
        <v>3.3043901630627461</v>
      </c>
      <c r="M7" s="83">
        <v>0.18204481896518709</v>
      </c>
      <c r="N7" s="90">
        <f t="shared" ref="N7:N15" si="11">G7-M7</f>
        <v>3.2017452684983696</v>
      </c>
      <c r="O7" s="90">
        <v>0.18204481896518701</v>
      </c>
      <c r="P7" s="90">
        <f t="shared" ref="P7:P15" si="12">G7-O7</f>
        <v>3.2017452684983696</v>
      </c>
      <c r="Q7" s="83">
        <f t="shared" si="4"/>
        <v>2.6494590255213746</v>
      </c>
      <c r="R7" s="90">
        <f t="shared" si="5"/>
        <v>0.73433106194218212</v>
      </c>
      <c r="S7" s="90">
        <v>3.10534619139268E-2</v>
      </c>
      <c r="T7" s="90">
        <f t="shared" ref="T7:T15" si="13">G7-S7</f>
        <v>3.35273662554963</v>
      </c>
      <c r="U7" s="90"/>
      <c r="V7" s="90">
        <f t="shared" ref="V7:V15" si="14">G7-U7</f>
        <v>3.3837900874635567</v>
      </c>
      <c r="X7" s="83">
        <f t="shared" si="6"/>
        <v>2.1684579978642726</v>
      </c>
      <c r="Y7" s="90">
        <f t="shared" ref="Y7:Y16" si="15">G7-X7</f>
        <v>1.2153320895992841</v>
      </c>
      <c r="AA7" s="90">
        <f t="shared" si="7"/>
        <v>0.10531150636536625</v>
      </c>
      <c r="AB7" s="90">
        <f t="shared" ref="AB7:AB16" si="16">G7-AA7</f>
        <v>3.2784785810981902</v>
      </c>
    </row>
    <row r="8" spans="1:30" x14ac:dyDescent="0.25">
      <c r="A8" s="82" t="s">
        <v>57</v>
      </c>
      <c r="C8" s="91">
        <f t="shared" si="0"/>
        <v>0</v>
      </c>
      <c r="D8" s="82">
        <v>3</v>
      </c>
      <c r="E8" s="91">
        <f t="shared" si="1"/>
        <v>3.614457831325301E-2</v>
      </c>
      <c r="F8" s="82">
        <f t="shared" si="2"/>
        <v>1.5</v>
      </c>
      <c r="G8" s="92">
        <f t="shared" si="8"/>
        <v>0.65492711370262391</v>
      </c>
      <c r="H8" s="93">
        <f t="shared" si="3"/>
        <v>1.7492711370262391E-2</v>
      </c>
      <c r="I8" s="83">
        <v>5.343441501991312</v>
      </c>
      <c r="J8" s="90">
        <f t="shared" si="9"/>
        <v>-4.6885143882886879</v>
      </c>
      <c r="K8" s="83">
        <v>10.971190693495261</v>
      </c>
      <c r="L8" s="83">
        <f t="shared" si="10"/>
        <v>-10.316263579792638</v>
      </c>
      <c r="M8" s="83">
        <v>1.5152294648393798</v>
      </c>
      <c r="N8" s="90">
        <f t="shared" si="11"/>
        <v>-0.86030235113675591</v>
      </c>
      <c r="O8" s="90">
        <v>0.386220090711407</v>
      </c>
      <c r="P8" s="90">
        <f t="shared" si="12"/>
        <v>0.2687070229912169</v>
      </c>
      <c r="Q8" s="83">
        <f t="shared" si="4"/>
        <v>5.0030349431873384</v>
      </c>
      <c r="R8" s="90">
        <f t="shared" si="5"/>
        <v>-4.3481078294847144</v>
      </c>
      <c r="S8" s="90">
        <v>4.3496744535029199</v>
      </c>
      <c r="T8" s="90">
        <f t="shared" si="13"/>
        <v>-3.6947473398002959</v>
      </c>
      <c r="U8" s="90">
        <v>0.35943247339433199</v>
      </c>
      <c r="V8" s="90">
        <f t="shared" si="14"/>
        <v>0.29549464030829192</v>
      </c>
      <c r="X8" s="83">
        <f t="shared" si="6"/>
        <v>4.5253036579358197</v>
      </c>
      <c r="Y8" s="90">
        <f t="shared" si="15"/>
        <v>-3.8703765442331957</v>
      </c>
      <c r="AA8" s="90">
        <f t="shared" si="7"/>
        <v>2.400434602949717</v>
      </c>
      <c r="AB8" s="90">
        <f t="shared" si="16"/>
        <v>-1.745507489247093</v>
      </c>
    </row>
    <row r="9" spans="1:30" x14ac:dyDescent="0.25">
      <c r="A9" s="94" t="s">
        <v>58</v>
      </c>
      <c r="B9" s="94">
        <v>7</v>
      </c>
      <c r="C9" s="95">
        <f t="shared" si="0"/>
        <v>7.909604519774012E-2</v>
      </c>
      <c r="D9" s="94"/>
      <c r="E9" s="95">
        <f t="shared" si="1"/>
        <v>0</v>
      </c>
      <c r="F9" s="94">
        <f t="shared" si="2"/>
        <v>3.5</v>
      </c>
      <c r="G9" s="96">
        <f t="shared" si="8"/>
        <v>1.5281632653061223</v>
      </c>
      <c r="H9" s="97">
        <f t="shared" si="3"/>
        <v>4.0816326530612242E-2</v>
      </c>
      <c r="I9" s="83">
        <v>0</v>
      </c>
      <c r="J9" s="90">
        <f t="shared" si="9"/>
        <v>1.5281632653061223</v>
      </c>
      <c r="K9" s="98">
        <v>0.80809271395903293</v>
      </c>
      <c r="L9" s="98">
        <f t="shared" si="10"/>
        <v>0.72007055134708942</v>
      </c>
      <c r="M9" s="83">
        <v>1.9682017841677641</v>
      </c>
      <c r="N9" s="98">
        <f t="shared" si="11"/>
        <v>-0.4400385188616418</v>
      </c>
      <c r="O9" s="98">
        <v>0</v>
      </c>
      <c r="P9" s="90">
        <f t="shared" si="12"/>
        <v>1.5281632653061223</v>
      </c>
      <c r="Q9" s="83">
        <f t="shared" si="4"/>
        <v>0.31525688440267657</v>
      </c>
      <c r="R9" s="90">
        <f t="shared" si="5"/>
        <v>1.2129063809034457</v>
      </c>
      <c r="S9" s="98">
        <v>0</v>
      </c>
      <c r="T9" s="90">
        <f t="shared" si="13"/>
        <v>1.5281632653061223</v>
      </c>
      <c r="U9" s="90">
        <v>0</v>
      </c>
      <c r="V9" s="90">
        <f t="shared" si="14"/>
        <v>1.5281632653061223</v>
      </c>
      <c r="X9" s="83">
        <f t="shared" si="6"/>
        <v>0.25768002826925362</v>
      </c>
      <c r="Y9" s="90">
        <f t="shared" si="15"/>
        <v>1.2704832370368688</v>
      </c>
      <c r="AA9" s="90">
        <f t="shared" si="7"/>
        <v>0</v>
      </c>
      <c r="AB9" s="90">
        <f t="shared" si="16"/>
        <v>1.5281632653061223</v>
      </c>
    </row>
    <row r="10" spans="1:30" x14ac:dyDescent="0.25">
      <c r="A10" s="82" t="s">
        <v>59</v>
      </c>
      <c r="B10" s="82">
        <v>3.5</v>
      </c>
      <c r="C10" s="91">
        <f t="shared" si="0"/>
        <v>3.954802259887006E-2</v>
      </c>
      <c r="E10" s="91">
        <f t="shared" si="1"/>
        <v>0</v>
      </c>
      <c r="F10" s="82">
        <f t="shared" si="2"/>
        <v>1.75</v>
      </c>
      <c r="G10" s="92">
        <f t="shared" si="8"/>
        <v>0.76408163265306117</v>
      </c>
      <c r="H10" s="93">
        <f t="shared" si="3"/>
        <v>2.0408163265306121E-2</v>
      </c>
      <c r="I10" s="83">
        <v>0</v>
      </c>
      <c r="J10" s="90">
        <f t="shared" si="9"/>
        <v>0.76408163265306117</v>
      </c>
      <c r="K10" s="83">
        <v>0</v>
      </c>
      <c r="L10" s="83">
        <f t="shared" si="10"/>
        <v>0.76408163265306117</v>
      </c>
      <c r="M10" s="83">
        <v>0</v>
      </c>
      <c r="N10" s="90">
        <f t="shared" si="11"/>
        <v>0.76408163265306117</v>
      </c>
      <c r="O10" s="90"/>
      <c r="P10" s="90">
        <f t="shared" si="12"/>
        <v>0.76408163265306117</v>
      </c>
      <c r="Q10" s="83">
        <f t="shared" si="4"/>
        <v>0</v>
      </c>
      <c r="R10" s="90">
        <f t="shared" si="5"/>
        <v>0.76408163265306117</v>
      </c>
      <c r="S10" s="90"/>
      <c r="T10" s="90">
        <f t="shared" si="13"/>
        <v>0.76408163265306117</v>
      </c>
      <c r="U10" s="90"/>
      <c r="V10" s="90">
        <f t="shared" si="14"/>
        <v>0.76408163265306117</v>
      </c>
      <c r="X10" s="83">
        <f t="shared" si="6"/>
        <v>0</v>
      </c>
      <c r="Y10" s="90">
        <f t="shared" si="15"/>
        <v>0.76408163265306117</v>
      </c>
      <c r="AA10" s="90">
        <f t="shared" si="7"/>
        <v>0</v>
      </c>
      <c r="AB10" s="90">
        <f t="shared" si="16"/>
        <v>0.76408163265306117</v>
      </c>
    </row>
    <row r="11" spans="1:30" x14ac:dyDescent="0.25">
      <c r="A11" s="82" t="s">
        <v>60</v>
      </c>
      <c r="B11" s="82">
        <v>1</v>
      </c>
      <c r="C11" s="91">
        <f t="shared" si="0"/>
        <v>1.1299435028248588E-2</v>
      </c>
      <c r="E11" s="91">
        <f t="shared" si="1"/>
        <v>0</v>
      </c>
      <c r="F11" s="82">
        <f t="shared" si="2"/>
        <v>0.5</v>
      </c>
      <c r="G11" s="92">
        <f t="shared" si="8"/>
        <v>0.21830903790087461</v>
      </c>
      <c r="H11" s="93">
        <f t="shared" si="3"/>
        <v>5.8309037900874635E-3</v>
      </c>
      <c r="I11" s="83">
        <v>0</v>
      </c>
      <c r="J11" s="90">
        <f t="shared" si="9"/>
        <v>0.21830903790087461</v>
      </c>
      <c r="K11" s="83">
        <v>0</v>
      </c>
      <c r="L11" s="83">
        <f t="shared" si="10"/>
        <v>0.21830903790087461</v>
      </c>
      <c r="M11" s="83">
        <v>0</v>
      </c>
      <c r="N11" s="90">
        <f t="shared" si="11"/>
        <v>0.21830903790087461</v>
      </c>
      <c r="O11" s="90"/>
      <c r="P11" s="90">
        <f t="shared" si="12"/>
        <v>0.21830903790087461</v>
      </c>
      <c r="Q11" s="83">
        <f t="shared" si="4"/>
        <v>0</v>
      </c>
      <c r="R11" s="90">
        <f t="shared" si="5"/>
        <v>0.21830903790087461</v>
      </c>
      <c r="S11" s="90"/>
      <c r="T11" s="90">
        <f t="shared" si="13"/>
        <v>0.21830903790087461</v>
      </c>
      <c r="U11" s="90"/>
      <c r="V11" s="90">
        <f t="shared" si="14"/>
        <v>0.21830903790087461</v>
      </c>
      <c r="X11" s="83">
        <f t="shared" si="6"/>
        <v>0</v>
      </c>
      <c r="Y11" s="90">
        <f t="shared" si="15"/>
        <v>0.21830903790087461</v>
      </c>
      <c r="AA11" s="90">
        <f t="shared" si="7"/>
        <v>0</v>
      </c>
      <c r="AB11" s="90">
        <f t="shared" si="16"/>
        <v>0.21830903790087461</v>
      </c>
    </row>
    <row r="12" spans="1:30" x14ac:dyDescent="0.25">
      <c r="A12" s="82" t="s">
        <v>61</v>
      </c>
      <c r="C12" s="91">
        <f t="shared" si="0"/>
        <v>0</v>
      </c>
      <c r="D12" s="82">
        <v>5</v>
      </c>
      <c r="E12" s="91">
        <f t="shared" si="1"/>
        <v>6.0240963855421686E-2</v>
      </c>
      <c r="F12" s="82">
        <f t="shared" si="2"/>
        <v>2.5</v>
      </c>
      <c r="G12" s="92">
        <f t="shared" si="8"/>
        <v>1.0915451895043731</v>
      </c>
      <c r="H12" s="93">
        <f t="shared" si="3"/>
        <v>2.9154518950437316E-2</v>
      </c>
      <c r="I12" s="83">
        <v>1.6830534839497191</v>
      </c>
      <c r="J12" s="90">
        <f t="shared" si="9"/>
        <v>-0.59150829444534603</v>
      </c>
      <c r="K12" s="83">
        <v>9.8741868279569892E-2</v>
      </c>
      <c r="L12" s="83">
        <f t="shared" si="10"/>
        <v>0.99280332122480319</v>
      </c>
      <c r="M12" s="83">
        <v>17.825709465032574</v>
      </c>
      <c r="N12" s="90">
        <f t="shared" si="11"/>
        <v>-16.734164275528201</v>
      </c>
      <c r="O12" s="98">
        <v>27.970908197531301</v>
      </c>
      <c r="P12" s="90">
        <f t="shared" si="12"/>
        <v>-26.879363008026928</v>
      </c>
      <c r="Q12" s="83">
        <f t="shared" si="4"/>
        <v>6.2249740580714823</v>
      </c>
      <c r="R12" s="90">
        <f t="shared" si="5"/>
        <v>-5.1334288685671092</v>
      </c>
      <c r="S12" s="98">
        <v>27.970908197531301</v>
      </c>
      <c r="T12" s="90">
        <f t="shared" si="13"/>
        <v>-26.879363008026928</v>
      </c>
      <c r="U12" s="90"/>
      <c r="V12" s="90">
        <f t="shared" si="14"/>
        <v>1.0915451895043731</v>
      </c>
      <c r="X12" s="83">
        <f t="shared" si="6"/>
        <v>7.6841798562185168</v>
      </c>
      <c r="Y12" s="90">
        <f t="shared" si="15"/>
        <v>-6.5926346667141438</v>
      </c>
      <c r="AA12" s="90">
        <f t="shared" si="7"/>
        <v>27.970908197531301</v>
      </c>
      <c r="AB12" s="90">
        <f t="shared" si="16"/>
        <v>-26.879363008026928</v>
      </c>
    </row>
    <row r="13" spans="1:30" x14ac:dyDescent="0.25">
      <c r="A13" s="82" t="s">
        <v>62</v>
      </c>
      <c r="C13" s="91">
        <f t="shared" si="0"/>
        <v>0</v>
      </c>
      <c r="D13" s="82">
        <v>1</v>
      </c>
      <c r="E13" s="91">
        <f t="shared" si="1"/>
        <v>1.2048192771084338E-2</v>
      </c>
      <c r="F13" s="82">
        <f t="shared" si="2"/>
        <v>0.5</v>
      </c>
      <c r="G13" s="92">
        <f t="shared" si="8"/>
        <v>0.21830903790087461</v>
      </c>
      <c r="H13" s="93">
        <f t="shared" si="3"/>
        <v>5.8309037900874635E-3</v>
      </c>
      <c r="I13" s="83">
        <f>(1441.91474583332+1092.60089870434+86.2)/1000</f>
        <v>2.6207156445376594</v>
      </c>
      <c r="J13" s="90">
        <f t="shared" si="9"/>
        <v>-2.4024066066367848</v>
      </c>
      <c r="K13" s="83">
        <v>0</v>
      </c>
      <c r="L13" s="83">
        <f t="shared" si="10"/>
        <v>0.21830903790087461</v>
      </c>
      <c r="M13" s="83">
        <v>0</v>
      </c>
      <c r="N13" s="90">
        <f t="shared" si="11"/>
        <v>0.21830903790087461</v>
      </c>
      <c r="O13" s="90">
        <v>3.1004711463046801</v>
      </c>
      <c r="P13" s="90">
        <f t="shared" si="12"/>
        <v>-2.8821621084038056</v>
      </c>
      <c r="Q13" s="83">
        <f t="shared" si="4"/>
        <v>2.0782551869980104</v>
      </c>
      <c r="R13" s="90">
        <f t="shared" si="5"/>
        <v>-1.8599461490971358</v>
      </c>
      <c r="S13" s="90">
        <v>0.79254682622268502</v>
      </c>
      <c r="T13" s="90">
        <f t="shared" si="13"/>
        <v>-0.57423778832181038</v>
      </c>
      <c r="U13" s="90"/>
      <c r="V13" s="90">
        <f t="shared" si="14"/>
        <v>0.21830903790087461</v>
      </c>
      <c r="X13" s="83">
        <f t="shared" si="6"/>
        <v>1.772253346297485</v>
      </c>
      <c r="Y13" s="90">
        <f t="shared" si="15"/>
        <v>-1.5539443083966105</v>
      </c>
      <c r="AA13" s="90">
        <f t="shared" si="7"/>
        <v>1.9275915738039942</v>
      </c>
      <c r="AB13" s="90">
        <f t="shared" si="16"/>
        <v>-1.7092825359031196</v>
      </c>
    </row>
    <row r="14" spans="1:30" x14ac:dyDescent="0.25">
      <c r="A14" s="82" t="s">
        <v>63</v>
      </c>
      <c r="C14" s="91">
        <f t="shared" si="0"/>
        <v>0</v>
      </c>
      <c r="D14" s="82">
        <v>2</v>
      </c>
      <c r="E14" s="91">
        <f t="shared" si="1"/>
        <v>2.4096385542168676E-2</v>
      </c>
      <c r="F14" s="82">
        <f t="shared" si="2"/>
        <v>1</v>
      </c>
      <c r="G14" s="92">
        <f t="shared" si="8"/>
        <v>0.43661807580174922</v>
      </c>
      <c r="H14" s="93">
        <f t="shared" si="3"/>
        <v>1.1661807580174927E-2</v>
      </c>
      <c r="I14" s="83">
        <v>2.1099335859266342</v>
      </c>
      <c r="J14" s="90">
        <f t="shared" si="9"/>
        <v>-1.6733155101248849</v>
      </c>
      <c r="K14" s="83">
        <v>3.0212200652385723</v>
      </c>
      <c r="L14" s="83">
        <f t="shared" si="10"/>
        <v>-2.5846019894368233</v>
      </c>
      <c r="M14" s="83">
        <v>0.86026826454594574</v>
      </c>
      <c r="N14" s="90">
        <f t="shared" si="11"/>
        <v>-0.42365018874419652</v>
      </c>
      <c r="O14" s="90"/>
      <c r="P14" s="90">
        <f t="shared" si="12"/>
        <v>0.43661807580174922</v>
      </c>
      <c r="Q14" s="83">
        <f t="shared" si="4"/>
        <v>1.8396487812309188</v>
      </c>
      <c r="R14" s="90">
        <f t="shared" si="5"/>
        <v>-1.4030307054291695</v>
      </c>
      <c r="S14" s="90"/>
      <c r="T14" s="90">
        <f t="shared" si="13"/>
        <v>0.43661807580174922</v>
      </c>
      <c r="U14" s="90"/>
      <c r="V14" s="90">
        <f t="shared" si="14"/>
        <v>0.43661807580174922</v>
      </c>
      <c r="X14" s="83">
        <f t="shared" si="6"/>
        <v>1.5036650217845533</v>
      </c>
      <c r="Y14" s="90">
        <f t="shared" si="15"/>
        <v>-1.067046945982804</v>
      </c>
      <c r="AA14" s="90">
        <f t="shared" si="7"/>
        <v>0</v>
      </c>
      <c r="AB14" s="90">
        <f t="shared" si="16"/>
        <v>0.43661807580174922</v>
      </c>
    </row>
    <row r="15" spans="1:30" x14ac:dyDescent="0.25">
      <c r="A15" s="82" t="s">
        <v>64</v>
      </c>
      <c r="C15" s="91">
        <f t="shared" si="0"/>
        <v>0</v>
      </c>
      <c r="D15" s="82">
        <v>3</v>
      </c>
      <c r="E15" s="91">
        <f t="shared" si="1"/>
        <v>3.614457831325301E-2</v>
      </c>
      <c r="F15" s="82">
        <f t="shared" si="2"/>
        <v>1.5</v>
      </c>
      <c r="G15" s="92">
        <f t="shared" si="8"/>
        <v>0.65492711370262391</v>
      </c>
      <c r="H15" s="93">
        <f t="shared" si="3"/>
        <v>1.7492711370262391E-2</v>
      </c>
      <c r="I15" s="83">
        <v>0.36956536765120734</v>
      </c>
      <c r="J15" s="90">
        <f t="shared" si="9"/>
        <v>0.28536174605141656</v>
      </c>
      <c r="K15" s="83">
        <v>4.5802570442571387E-3</v>
      </c>
      <c r="L15" s="83">
        <f t="shared" si="10"/>
        <v>0.65034685665836678</v>
      </c>
      <c r="M15" s="83">
        <v>0</v>
      </c>
      <c r="N15" s="90">
        <f t="shared" si="11"/>
        <v>0.65492711370262391</v>
      </c>
      <c r="O15" s="90"/>
      <c r="P15" s="90">
        <f t="shared" si="12"/>
        <v>0.65492711370262391</v>
      </c>
      <c r="Q15" s="83">
        <f t="shared" si="4"/>
        <v>0.24554329492029486</v>
      </c>
      <c r="R15" s="90">
        <f t="shared" si="5"/>
        <v>0.40938381878232905</v>
      </c>
      <c r="S15" s="90"/>
      <c r="T15" s="90">
        <f t="shared" si="13"/>
        <v>0.65492711370262391</v>
      </c>
      <c r="U15" s="90"/>
      <c r="V15" s="90">
        <f t="shared" si="14"/>
        <v>0.65492711370262391</v>
      </c>
      <c r="X15" s="83">
        <f t="shared" si="6"/>
        <v>0.20069856141688772</v>
      </c>
      <c r="Y15" s="90">
        <f t="shared" si="15"/>
        <v>0.45422855228573622</v>
      </c>
      <c r="AA15" s="90">
        <f t="shared" si="7"/>
        <v>0</v>
      </c>
      <c r="AB15" s="90">
        <f t="shared" si="16"/>
        <v>0.65492711370262391</v>
      </c>
    </row>
    <row r="16" spans="1:30" x14ac:dyDescent="0.25">
      <c r="A16" s="82" t="s">
        <v>65</v>
      </c>
      <c r="C16" s="91"/>
      <c r="E16" s="91"/>
      <c r="G16" s="92"/>
      <c r="H16" s="93"/>
      <c r="I16" s="83">
        <v>59.939812740217</v>
      </c>
      <c r="J16" s="90">
        <f t="shared" si="9"/>
        <v>-59.939812740217</v>
      </c>
      <c r="K16" s="83"/>
      <c r="L16" s="83"/>
      <c r="M16" s="83"/>
      <c r="N16" s="90"/>
      <c r="O16" s="90"/>
      <c r="P16" s="90"/>
      <c r="Q16" s="83">
        <f t="shared" si="4"/>
        <v>39.740315406517496</v>
      </c>
      <c r="R16" s="90">
        <f t="shared" si="5"/>
        <v>-39.740315406517496</v>
      </c>
      <c r="S16" s="90"/>
      <c r="T16" s="90"/>
      <c r="U16" s="90"/>
      <c r="V16" s="90"/>
      <c r="X16" s="83">
        <f t="shared" si="6"/>
        <v>32.482353610716402</v>
      </c>
      <c r="Y16" s="90">
        <f t="shared" si="15"/>
        <v>-32.482353610716402</v>
      </c>
      <c r="AA16" s="90">
        <f t="shared" si="7"/>
        <v>0</v>
      </c>
      <c r="AB16" s="90">
        <f t="shared" si="16"/>
        <v>0</v>
      </c>
    </row>
    <row r="17" spans="2:25" x14ac:dyDescent="0.25">
      <c r="B17" s="81">
        <f>SUM(B4:B15)</f>
        <v>88.5</v>
      </c>
      <c r="C17" s="99">
        <f t="shared" si="0"/>
        <v>1</v>
      </c>
      <c r="D17" s="81">
        <f>SUM(D4:D15)</f>
        <v>83</v>
      </c>
      <c r="E17" s="99">
        <f>SUM(E4:E15)</f>
        <v>1</v>
      </c>
      <c r="F17" s="81">
        <f>SUM(F4:F15)</f>
        <v>85.75</v>
      </c>
      <c r="G17" s="88">
        <v>37.44</v>
      </c>
      <c r="H17" s="100">
        <f>SUM(H4:H15)</f>
        <v>1.0000000000000004</v>
      </c>
      <c r="K17" s="83"/>
      <c r="L17" s="83"/>
      <c r="M17" s="83">
        <v>0</v>
      </c>
      <c r="Q17" s="83">
        <f>SUM(Q4:Q16)</f>
        <v>89.623595250380276</v>
      </c>
      <c r="R17" s="83">
        <f>SUM(R4:R16)</f>
        <v>-52.183595250380257</v>
      </c>
      <c r="X17" s="83">
        <f>SUM(X4:X16)</f>
        <v>78.532118703672097</v>
      </c>
      <c r="Y17" s="83">
        <f>SUM(Y4:Y16)</f>
        <v>-41.092118703672099</v>
      </c>
    </row>
    <row r="18" spans="2:25" x14ac:dyDescent="0.25">
      <c r="K18" s="83"/>
      <c r="L18" s="83"/>
      <c r="M18" s="83"/>
    </row>
    <row r="19" spans="2:25" x14ac:dyDescent="0.25">
      <c r="K19" s="83"/>
      <c r="L19" s="83"/>
      <c r="M19" s="83"/>
    </row>
    <row r="24" spans="2:25" x14ac:dyDescent="0.25">
      <c r="Y24" s="82">
        <v>181</v>
      </c>
    </row>
    <row r="25" spans="2:25" x14ac:dyDescent="0.25">
      <c r="Y25" s="82">
        <v>62</v>
      </c>
    </row>
    <row r="26" spans="2:25" x14ac:dyDescent="0.25">
      <c r="Y26" s="82">
        <v>31</v>
      </c>
    </row>
    <row r="28" spans="2:25" x14ac:dyDescent="0.25">
      <c r="Y28" s="82">
        <f>SUM(Y24:Y27)</f>
        <v>274</v>
      </c>
    </row>
  </sheetData>
  <mergeCells count="13">
    <mergeCell ref="AC2:AD2"/>
    <mergeCell ref="O2:P2"/>
    <mergeCell ref="Q2:R2"/>
    <mergeCell ref="S2:T2"/>
    <mergeCell ref="U2:V2"/>
    <mergeCell ref="X2:Y2"/>
    <mergeCell ref="AA2:AB2"/>
    <mergeCell ref="B2:C2"/>
    <mergeCell ref="D2:E2"/>
    <mergeCell ref="G2:H2"/>
    <mergeCell ref="I2:J2"/>
    <mergeCell ref="K2:L2"/>
    <mergeCell ref="M2:N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zoomScaleNormal="100" workbookViewId="0">
      <selection activeCell="F23" sqref="F23"/>
    </sheetView>
  </sheetViews>
  <sheetFormatPr defaultRowHeight="15" x14ac:dyDescent="0.25"/>
  <cols>
    <col min="1" max="1" width="27" style="53" customWidth="1"/>
    <col min="2" max="5" width="0" style="53" hidden="1" customWidth="1"/>
    <col min="6" max="6" width="13.7109375" style="53" customWidth="1"/>
    <col min="7" max="8" width="9.140625" style="53"/>
    <col min="9" max="9" width="9.140625" style="54" hidden="1" customWidth="1"/>
    <col min="10" max="10" width="7.85546875" style="53" hidden="1" customWidth="1"/>
    <col min="11" max="11" width="9.140625" style="53" hidden="1" customWidth="1"/>
    <col min="12" max="12" width="10" style="53" hidden="1" customWidth="1"/>
    <col min="13" max="14" width="9.140625" style="53" hidden="1" customWidth="1"/>
    <col min="15" max="18" width="9.140625" style="53"/>
    <col min="19" max="21" width="0" style="53" hidden="1" customWidth="1"/>
    <col min="22" max="22" width="2.5703125" style="53" customWidth="1"/>
    <col min="23" max="25" width="9.140625" style="53"/>
    <col min="26" max="26" width="17.85546875" style="53" customWidth="1"/>
    <col min="27" max="27" width="24.140625" style="53" bestFit="1" customWidth="1"/>
    <col min="28" max="16384" width="9.140625" style="53"/>
  </cols>
  <sheetData>
    <row r="1" spans="1:27" x14ac:dyDescent="0.25">
      <c r="A1" s="52" t="s">
        <v>46</v>
      </c>
    </row>
    <row r="2" spans="1:27" x14ac:dyDescent="0.25">
      <c r="B2" s="80">
        <v>2015</v>
      </c>
      <c r="C2" s="80"/>
      <c r="D2" s="80">
        <v>2016</v>
      </c>
      <c r="E2" s="80"/>
      <c r="F2" s="55" t="s">
        <v>47</v>
      </c>
      <c r="G2" s="80" t="s">
        <v>48</v>
      </c>
      <c r="H2" s="80"/>
      <c r="I2" s="79" t="s">
        <v>71</v>
      </c>
      <c r="J2" s="79"/>
      <c r="K2" s="78" t="s">
        <v>49</v>
      </c>
      <c r="L2" s="78"/>
      <c r="M2" s="78" t="s">
        <v>50</v>
      </c>
      <c r="N2" s="78"/>
      <c r="O2" s="78" t="s">
        <v>72</v>
      </c>
      <c r="P2" s="78"/>
      <c r="Q2" s="78" t="s">
        <v>73</v>
      </c>
      <c r="R2" s="78"/>
      <c r="T2" s="79" t="s">
        <v>74</v>
      </c>
      <c r="U2" s="79"/>
      <c r="W2" s="79" t="s">
        <v>75</v>
      </c>
      <c r="X2" s="79"/>
    </row>
    <row r="3" spans="1:27" x14ac:dyDescent="0.25">
      <c r="B3" s="52" t="s">
        <v>51</v>
      </c>
      <c r="C3" s="52" t="s">
        <v>52</v>
      </c>
      <c r="D3" s="52" t="s">
        <v>51</v>
      </c>
      <c r="E3" s="52" t="s">
        <v>52</v>
      </c>
      <c r="F3" s="52"/>
      <c r="G3" s="56" t="s">
        <v>51</v>
      </c>
      <c r="H3" s="56" t="s">
        <v>52</v>
      </c>
      <c r="I3" s="57" t="s">
        <v>66</v>
      </c>
      <c r="J3" s="57" t="s">
        <v>67</v>
      </c>
      <c r="K3" s="57" t="s">
        <v>66</v>
      </c>
      <c r="L3" s="57" t="s">
        <v>67</v>
      </c>
      <c r="M3" s="57" t="s">
        <v>66</v>
      </c>
      <c r="N3" s="57" t="s">
        <v>67</v>
      </c>
      <c r="O3" s="57" t="s">
        <v>66</v>
      </c>
      <c r="P3" s="57" t="s">
        <v>67</v>
      </c>
      <c r="Q3" s="57" t="s">
        <v>66</v>
      </c>
      <c r="R3" s="57" t="s">
        <v>67</v>
      </c>
      <c r="S3" s="58"/>
      <c r="T3" s="57" t="s">
        <v>66</v>
      </c>
      <c r="U3" s="57" t="s">
        <v>67</v>
      </c>
      <c r="W3" s="57" t="s">
        <v>66</v>
      </c>
      <c r="X3" s="57" t="s">
        <v>67</v>
      </c>
      <c r="Z3" s="53" t="s">
        <v>76</v>
      </c>
      <c r="AA3" s="53" t="s">
        <v>77</v>
      </c>
    </row>
    <row r="4" spans="1:27" x14ac:dyDescent="0.25">
      <c r="A4" s="53" t="s">
        <v>53</v>
      </c>
      <c r="B4" s="53">
        <v>37.5</v>
      </c>
      <c r="C4" s="59">
        <f>B4/$B$17</f>
        <v>0.42372881355932202</v>
      </c>
      <c r="D4" s="53">
        <v>36</v>
      </c>
      <c r="E4" s="59">
        <f>D4/$D$17</f>
        <v>0.43373493975903615</v>
      </c>
      <c r="F4" s="53">
        <f>(B4+D4)/2</f>
        <v>36.75</v>
      </c>
      <c r="G4" s="60">
        <f>F4/$F$17*$G$17</f>
        <v>16.045714285714283</v>
      </c>
      <c r="H4" s="61">
        <f>G4/$G$17</f>
        <v>0.42857142857142849</v>
      </c>
      <c r="I4" s="54">
        <f>(18016.1657124044+7.05+43.6)/1000</f>
        <v>18.066815712404399</v>
      </c>
      <c r="J4" s="58">
        <f>G4-I4</f>
        <v>-2.0211014266901159</v>
      </c>
      <c r="K4" s="54">
        <v>49.924668360717369</v>
      </c>
      <c r="L4" s="54">
        <f>G4-K4</f>
        <v>-33.878954075003087</v>
      </c>
      <c r="M4" s="54">
        <v>33.467197155281518</v>
      </c>
      <c r="N4" s="58">
        <f>G4-M4</f>
        <v>-17.421482869567235</v>
      </c>
      <c r="O4" s="58">
        <f>22.4865824831399</f>
        <v>22.486582483139902</v>
      </c>
      <c r="P4" s="58">
        <f>G4-O4</f>
        <v>-6.440868197425619</v>
      </c>
      <c r="Q4" s="58">
        <v>5.92807352995065</v>
      </c>
      <c r="R4" s="58">
        <f>G4-Q4</f>
        <v>10.117640755763633</v>
      </c>
      <c r="T4" s="54">
        <f>(I4*181+K4*31+M4*31+O4*30+Q4*31)/(181+62+31+31)</f>
        <v>22.011833537258457</v>
      </c>
      <c r="U4" s="58">
        <f>G4-T4</f>
        <v>-5.9661192515441748</v>
      </c>
      <c r="W4" s="58">
        <f>(O4*30+Q4*31)/61</f>
        <v>14.071602523322413</v>
      </c>
      <c r="X4" s="58">
        <f>G4-W4</f>
        <v>1.9741117623918694</v>
      </c>
    </row>
    <row r="5" spans="1:27" x14ac:dyDescent="0.25">
      <c r="A5" s="69" t="s">
        <v>54</v>
      </c>
      <c r="B5" s="69">
        <v>30</v>
      </c>
      <c r="C5" s="70">
        <f t="shared" ref="C5:C17" si="0">B5/$B$17</f>
        <v>0.33898305084745761</v>
      </c>
      <c r="D5" s="69">
        <v>27</v>
      </c>
      <c r="E5" s="70">
        <f t="shared" ref="E5:E15" si="1">D5/$D$17</f>
        <v>0.3253012048192771</v>
      </c>
      <c r="F5" s="69">
        <f t="shared" ref="F5:F15" si="2">(B5+D5)/2</f>
        <v>28.5</v>
      </c>
      <c r="G5" s="71">
        <f>F5/$F$17*$G$17</f>
        <v>12.443615160349854</v>
      </c>
      <c r="H5" s="70">
        <f t="shared" ref="H5:H15" si="3">G5/$G$17</f>
        <v>0.33236151603498543</v>
      </c>
      <c r="I5" s="72">
        <f>(9617.14208692594+309.09)/1000</f>
        <v>9.9262320869259408</v>
      </c>
      <c r="J5" s="73">
        <f>G5+G6-I5</f>
        <v>2.5173830734239129</v>
      </c>
      <c r="K5" s="74">
        <v>4.3913753051415574</v>
      </c>
      <c r="L5" s="74">
        <f>G5+G6-K5</f>
        <v>8.0522398552082954</v>
      </c>
      <c r="M5" s="72">
        <v>2.5932542553073281</v>
      </c>
      <c r="N5" s="74">
        <f>G5+G6-M5</f>
        <v>9.8503609050425247</v>
      </c>
      <c r="O5" s="74">
        <v>2.1296640079669</v>
      </c>
      <c r="P5" s="73">
        <f>G5+G6-O5</f>
        <v>10.313951152382954</v>
      </c>
      <c r="Q5" s="73">
        <f>0.217056635724282+0.115</f>
        <v>0.33205663572428201</v>
      </c>
      <c r="R5" s="73">
        <f>G5+G6-Q5</f>
        <v>12.111558524625572</v>
      </c>
      <c r="S5" s="75"/>
      <c r="T5" s="72">
        <f t="shared" ref="T5:T16" si="4">(I5*181+K5*31+M5*31+O5*30+Q5*31)/(181+62+31+31)</f>
        <v>6.8437875411605598</v>
      </c>
      <c r="U5" s="73">
        <f>G5*2-T5</f>
        <v>18.043442779539149</v>
      </c>
      <c r="V5" s="75"/>
      <c r="W5" s="73">
        <f t="shared" ref="W5:W16" si="5">(O5*30+Q5*31)/61</f>
        <v>1.2161258351878645</v>
      </c>
      <c r="X5" s="73">
        <f>G5+G6-W5</f>
        <v>11.22748932516199</v>
      </c>
      <c r="Z5" s="53">
        <f>X5*61/31</f>
        <v>22.092801575318752</v>
      </c>
      <c r="AA5" s="53">
        <f>Z5/3</f>
        <v>7.3642671917729174</v>
      </c>
    </row>
    <row r="6" spans="1:27" x14ac:dyDescent="0.25">
      <c r="A6" s="62" t="s">
        <v>55</v>
      </c>
      <c r="B6" s="62"/>
      <c r="C6" s="63"/>
      <c r="D6" s="62"/>
      <c r="E6" s="63"/>
      <c r="F6" s="62"/>
      <c r="G6" s="64">
        <v>0</v>
      </c>
      <c r="H6" s="65">
        <f t="shared" si="3"/>
        <v>0</v>
      </c>
      <c r="I6" s="54">
        <v>0</v>
      </c>
      <c r="J6" s="58">
        <v>0</v>
      </c>
      <c r="K6" s="54">
        <v>0</v>
      </c>
      <c r="L6" s="54"/>
      <c r="M6" s="54">
        <v>0</v>
      </c>
      <c r="N6" s="58">
        <v>0</v>
      </c>
      <c r="O6" s="58"/>
      <c r="P6" s="58"/>
      <c r="Q6" s="58"/>
      <c r="R6" s="58">
        <v>0</v>
      </c>
      <c r="T6" s="54">
        <f t="shared" si="4"/>
        <v>0</v>
      </c>
      <c r="U6" s="58">
        <v>0</v>
      </c>
      <c r="W6" s="58">
        <f t="shared" si="5"/>
        <v>0</v>
      </c>
      <c r="X6" s="58">
        <v>0</v>
      </c>
    </row>
    <row r="7" spans="1:27" x14ac:dyDescent="0.25">
      <c r="A7" s="53" t="s">
        <v>56</v>
      </c>
      <c r="B7" s="53">
        <v>9.5</v>
      </c>
      <c r="C7" s="59">
        <f t="shared" si="0"/>
        <v>0.10734463276836158</v>
      </c>
      <c r="D7" s="53">
        <v>6</v>
      </c>
      <c r="E7" s="59">
        <f t="shared" si="1"/>
        <v>7.2289156626506021E-2</v>
      </c>
      <c r="F7" s="53">
        <f t="shared" si="2"/>
        <v>7.75</v>
      </c>
      <c r="G7" s="60">
        <f t="shared" ref="G7:G15" si="6">F7/$F$17*$G$17</f>
        <v>3.3837900874635567</v>
      </c>
      <c r="H7" s="61">
        <f t="shared" si="3"/>
        <v>9.0379008746355682E-2</v>
      </c>
      <c r="I7" s="54">
        <v>3.9211943776465952</v>
      </c>
      <c r="J7" s="58">
        <f t="shared" ref="J7:J16" si="7">G7-I7</f>
        <v>-0.53740429018303848</v>
      </c>
      <c r="K7" s="54">
        <v>7.9399924400810645E-2</v>
      </c>
      <c r="L7" s="54">
        <f t="shared" ref="L7:L15" si="8">G7-K7</f>
        <v>3.3043901630627461</v>
      </c>
      <c r="M7" s="54">
        <v>0.18204481896518709</v>
      </c>
      <c r="N7" s="58">
        <f t="shared" ref="N7:N15" si="9">G7-M7</f>
        <v>3.2017452684983696</v>
      </c>
      <c r="O7" s="58">
        <v>0.18204481896518701</v>
      </c>
      <c r="P7" s="58">
        <f t="shared" ref="P7:P15" si="10">G7-O7</f>
        <v>3.2017452684983696</v>
      </c>
      <c r="Q7" s="58">
        <v>3.10534619139268E-2</v>
      </c>
      <c r="R7" s="58">
        <f t="shared" ref="R7:R15" si="11">G7-Q7</f>
        <v>3.35273662554963</v>
      </c>
      <c r="T7" s="54">
        <f t="shared" si="4"/>
        <v>2.3746392501202198</v>
      </c>
      <c r="U7" s="58">
        <f t="shared" ref="U7:U16" si="12">G7-T7</f>
        <v>1.0091508373433369</v>
      </c>
      <c r="W7" s="58">
        <f t="shared" si="5"/>
        <v>0.10531150636536625</v>
      </c>
      <c r="X7" s="58">
        <f t="shared" ref="X7:X16" si="13">G7-W7</f>
        <v>3.2784785810981902</v>
      </c>
    </row>
    <row r="8" spans="1:27" x14ac:dyDescent="0.25">
      <c r="A8" s="53" t="s">
        <v>57</v>
      </c>
      <c r="C8" s="59">
        <f t="shared" si="0"/>
        <v>0</v>
      </c>
      <c r="D8" s="53">
        <v>3</v>
      </c>
      <c r="E8" s="59">
        <f t="shared" si="1"/>
        <v>3.614457831325301E-2</v>
      </c>
      <c r="F8" s="53">
        <f t="shared" si="2"/>
        <v>1.5</v>
      </c>
      <c r="G8" s="60">
        <f t="shared" si="6"/>
        <v>0.65492711370262391</v>
      </c>
      <c r="H8" s="61">
        <f t="shared" si="3"/>
        <v>1.7492711370262391E-2</v>
      </c>
      <c r="I8" s="54">
        <v>5.343441501991312</v>
      </c>
      <c r="J8" s="58">
        <f t="shared" si="7"/>
        <v>-4.6885143882886879</v>
      </c>
      <c r="K8" s="54">
        <v>10.971190693495261</v>
      </c>
      <c r="L8" s="54">
        <f t="shared" si="8"/>
        <v>-10.316263579792638</v>
      </c>
      <c r="M8" s="54">
        <v>1.5152294648393798</v>
      </c>
      <c r="N8" s="58">
        <f t="shared" si="9"/>
        <v>-0.86030235113675591</v>
      </c>
      <c r="O8" s="58">
        <v>0.386220090711407</v>
      </c>
      <c r="P8" s="58">
        <f t="shared" si="10"/>
        <v>0.2687070229912169</v>
      </c>
      <c r="Q8" s="58">
        <v>4.3496744535029199</v>
      </c>
      <c r="R8" s="58">
        <f t="shared" si="11"/>
        <v>-3.6947473398002959</v>
      </c>
      <c r="T8" s="54">
        <f t="shared" si="4"/>
        <v>4.9202244181925696</v>
      </c>
      <c r="U8" s="58">
        <f t="shared" si="12"/>
        <v>-4.2652973044899456</v>
      </c>
      <c r="W8" s="58">
        <f t="shared" si="5"/>
        <v>2.400434602949717</v>
      </c>
      <c r="X8" s="58">
        <f t="shared" si="13"/>
        <v>-1.745507489247093</v>
      </c>
    </row>
    <row r="9" spans="1:27" x14ac:dyDescent="0.25">
      <c r="A9" s="62" t="s">
        <v>58</v>
      </c>
      <c r="B9" s="62">
        <v>7</v>
      </c>
      <c r="C9" s="63">
        <f t="shared" si="0"/>
        <v>7.909604519774012E-2</v>
      </c>
      <c r="D9" s="62"/>
      <c r="E9" s="63">
        <f t="shared" si="1"/>
        <v>0</v>
      </c>
      <c r="F9" s="62">
        <f t="shared" si="2"/>
        <v>3.5</v>
      </c>
      <c r="G9" s="64">
        <f t="shared" si="6"/>
        <v>1.5281632653061223</v>
      </c>
      <c r="H9" s="65">
        <f t="shared" si="3"/>
        <v>4.0816326530612242E-2</v>
      </c>
      <c r="I9" s="54">
        <v>0</v>
      </c>
      <c r="J9" s="58">
        <f t="shared" si="7"/>
        <v>1.5281632653061223</v>
      </c>
      <c r="K9" s="66">
        <v>0.80809271395903293</v>
      </c>
      <c r="L9" s="66">
        <f t="shared" si="8"/>
        <v>0.72007055134708942</v>
      </c>
      <c r="M9" s="54">
        <v>1.9682017841677641</v>
      </c>
      <c r="N9" s="66">
        <f t="shared" si="9"/>
        <v>-0.4400385188616418</v>
      </c>
      <c r="O9" s="66">
        <v>0</v>
      </c>
      <c r="P9" s="58">
        <f t="shared" si="10"/>
        <v>1.5281632653061223</v>
      </c>
      <c r="Q9" s="66">
        <v>0</v>
      </c>
      <c r="R9" s="58">
        <f t="shared" si="11"/>
        <v>1.5281632653061223</v>
      </c>
      <c r="T9" s="54">
        <f t="shared" si="4"/>
        <v>0.28218075226862527</v>
      </c>
      <c r="U9" s="58">
        <f t="shared" si="12"/>
        <v>1.2459825130374971</v>
      </c>
      <c r="W9" s="58">
        <f t="shared" si="5"/>
        <v>0</v>
      </c>
      <c r="X9" s="58">
        <f t="shared" si="13"/>
        <v>1.5281632653061223</v>
      </c>
    </row>
    <row r="10" spans="1:27" x14ac:dyDescent="0.25">
      <c r="A10" s="53" t="s">
        <v>59</v>
      </c>
      <c r="B10" s="53">
        <v>3.5</v>
      </c>
      <c r="C10" s="59">
        <f t="shared" si="0"/>
        <v>3.954802259887006E-2</v>
      </c>
      <c r="E10" s="59">
        <f t="shared" si="1"/>
        <v>0</v>
      </c>
      <c r="F10" s="53">
        <f t="shared" si="2"/>
        <v>1.75</v>
      </c>
      <c r="G10" s="60">
        <f t="shared" si="6"/>
        <v>0.76408163265306117</v>
      </c>
      <c r="H10" s="61">
        <f t="shared" si="3"/>
        <v>2.0408163265306121E-2</v>
      </c>
      <c r="I10" s="54">
        <v>0</v>
      </c>
      <c r="J10" s="58">
        <f t="shared" si="7"/>
        <v>0.76408163265306117</v>
      </c>
      <c r="K10" s="54">
        <v>0</v>
      </c>
      <c r="L10" s="54">
        <f t="shared" si="8"/>
        <v>0.76408163265306117</v>
      </c>
      <c r="M10" s="54">
        <v>0</v>
      </c>
      <c r="N10" s="58">
        <f t="shared" si="9"/>
        <v>0.76408163265306117</v>
      </c>
      <c r="O10" s="58"/>
      <c r="P10" s="58">
        <f t="shared" si="10"/>
        <v>0.76408163265306117</v>
      </c>
      <c r="Q10" s="58"/>
      <c r="R10" s="58">
        <f t="shared" si="11"/>
        <v>0.76408163265306117</v>
      </c>
      <c r="T10" s="54">
        <f t="shared" si="4"/>
        <v>0</v>
      </c>
      <c r="U10" s="58">
        <f t="shared" si="12"/>
        <v>0.76408163265306117</v>
      </c>
      <c r="W10" s="58">
        <f t="shared" si="5"/>
        <v>0</v>
      </c>
      <c r="X10" s="58">
        <f t="shared" si="13"/>
        <v>0.76408163265306117</v>
      </c>
    </row>
    <row r="11" spans="1:27" x14ac:dyDescent="0.25">
      <c r="A11" s="53" t="s">
        <v>60</v>
      </c>
      <c r="B11" s="53">
        <v>1</v>
      </c>
      <c r="C11" s="59">
        <f t="shared" si="0"/>
        <v>1.1299435028248588E-2</v>
      </c>
      <c r="E11" s="59">
        <f t="shared" si="1"/>
        <v>0</v>
      </c>
      <c r="F11" s="53">
        <f t="shared" si="2"/>
        <v>0.5</v>
      </c>
      <c r="G11" s="60">
        <f t="shared" si="6"/>
        <v>0.21830903790087461</v>
      </c>
      <c r="H11" s="61">
        <f t="shared" si="3"/>
        <v>5.8309037900874635E-3</v>
      </c>
      <c r="I11" s="54">
        <v>0</v>
      </c>
      <c r="J11" s="58">
        <f t="shared" si="7"/>
        <v>0.21830903790087461</v>
      </c>
      <c r="K11" s="54">
        <v>0</v>
      </c>
      <c r="L11" s="54">
        <f t="shared" si="8"/>
        <v>0.21830903790087461</v>
      </c>
      <c r="M11" s="54">
        <v>0</v>
      </c>
      <c r="N11" s="58">
        <f t="shared" si="9"/>
        <v>0.21830903790087461</v>
      </c>
      <c r="O11" s="58"/>
      <c r="P11" s="58">
        <f t="shared" si="10"/>
        <v>0.21830903790087461</v>
      </c>
      <c r="Q11" s="58"/>
      <c r="R11" s="58">
        <f t="shared" si="11"/>
        <v>0.21830903790087461</v>
      </c>
      <c r="T11" s="54">
        <f t="shared" si="4"/>
        <v>0</v>
      </c>
      <c r="U11" s="58">
        <f t="shared" si="12"/>
        <v>0.21830903790087461</v>
      </c>
      <c r="W11" s="58">
        <f t="shared" si="5"/>
        <v>0</v>
      </c>
      <c r="X11" s="58">
        <f t="shared" si="13"/>
        <v>0.21830903790087461</v>
      </c>
    </row>
    <row r="12" spans="1:27" x14ac:dyDescent="0.25">
      <c r="A12" s="53" t="s">
        <v>61</v>
      </c>
      <c r="C12" s="59">
        <f t="shared" si="0"/>
        <v>0</v>
      </c>
      <c r="D12" s="53">
        <v>5</v>
      </c>
      <c r="E12" s="59">
        <f t="shared" si="1"/>
        <v>6.0240963855421686E-2</v>
      </c>
      <c r="F12" s="53">
        <f t="shared" si="2"/>
        <v>2.5</v>
      </c>
      <c r="G12" s="60">
        <f t="shared" si="6"/>
        <v>1.0915451895043731</v>
      </c>
      <c r="H12" s="61">
        <f t="shared" si="3"/>
        <v>2.9154518950437316E-2</v>
      </c>
      <c r="I12" s="54">
        <v>1.6830534839497191</v>
      </c>
      <c r="J12" s="58">
        <f t="shared" si="7"/>
        <v>-0.59150829444534603</v>
      </c>
      <c r="K12" s="54">
        <v>9.8741868279569892E-2</v>
      </c>
      <c r="L12" s="54">
        <f t="shared" si="8"/>
        <v>0.99280332122480319</v>
      </c>
      <c r="M12" s="54">
        <v>17.825709465032574</v>
      </c>
      <c r="N12" s="58">
        <f t="shared" si="9"/>
        <v>-16.734164275528201</v>
      </c>
      <c r="O12" s="66">
        <v>27.970908197531301</v>
      </c>
      <c r="P12" s="58">
        <f t="shared" si="10"/>
        <v>-26.879363008026928</v>
      </c>
      <c r="Q12" s="66">
        <v>27.970908197531301</v>
      </c>
      <c r="R12" s="58">
        <f t="shared" si="11"/>
        <v>-26.879363008026928</v>
      </c>
      <c r="T12" s="54">
        <f t="shared" si="4"/>
        <v>8.4148067933671626</v>
      </c>
      <c r="U12" s="58">
        <f t="shared" si="12"/>
        <v>-7.3232616038627896</v>
      </c>
      <c r="W12" s="58">
        <f t="shared" si="5"/>
        <v>27.970908197531301</v>
      </c>
      <c r="X12" s="58">
        <f t="shared" si="13"/>
        <v>-26.879363008026928</v>
      </c>
    </row>
    <row r="13" spans="1:27" x14ac:dyDescent="0.25">
      <c r="A13" s="53" t="s">
        <v>62</v>
      </c>
      <c r="C13" s="59">
        <f t="shared" si="0"/>
        <v>0</v>
      </c>
      <c r="D13" s="53">
        <v>1</v>
      </c>
      <c r="E13" s="59">
        <f t="shared" si="1"/>
        <v>1.2048192771084338E-2</v>
      </c>
      <c r="F13" s="53">
        <f t="shared" si="2"/>
        <v>0.5</v>
      </c>
      <c r="G13" s="60">
        <f t="shared" si="6"/>
        <v>0.21830903790087461</v>
      </c>
      <c r="H13" s="61">
        <f t="shared" si="3"/>
        <v>5.8309037900874635E-3</v>
      </c>
      <c r="I13" s="54">
        <f>(1441.91474583332+1092.60089870434+86.2)/1000</f>
        <v>2.6207156445376594</v>
      </c>
      <c r="J13" s="58">
        <f t="shared" si="7"/>
        <v>-2.4024066066367848</v>
      </c>
      <c r="K13" s="54">
        <v>0</v>
      </c>
      <c r="L13" s="54">
        <f t="shared" si="8"/>
        <v>0.21830903790087461</v>
      </c>
      <c r="M13" s="54">
        <v>0</v>
      </c>
      <c r="N13" s="58">
        <f t="shared" si="9"/>
        <v>0.21830903790087461</v>
      </c>
      <c r="O13" s="58">
        <v>3.1004711463046801</v>
      </c>
      <c r="P13" s="58">
        <f t="shared" si="10"/>
        <v>-2.8821621084038056</v>
      </c>
      <c r="Q13" s="58">
        <v>0.79254682622268502</v>
      </c>
      <c r="R13" s="58">
        <f t="shared" si="11"/>
        <v>-0.57423778832181038</v>
      </c>
      <c r="T13" s="54">
        <f t="shared" si="4"/>
        <v>1.9407626808634755</v>
      </c>
      <c r="U13" s="58">
        <f t="shared" si="12"/>
        <v>-1.722453642962601</v>
      </c>
      <c r="W13" s="58">
        <f t="shared" si="5"/>
        <v>1.9275915738039942</v>
      </c>
      <c r="X13" s="58">
        <f t="shared" si="13"/>
        <v>-1.7092825359031196</v>
      </c>
    </row>
    <row r="14" spans="1:27" x14ac:dyDescent="0.25">
      <c r="A14" s="53" t="s">
        <v>63</v>
      </c>
      <c r="C14" s="59">
        <f t="shared" si="0"/>
        <v>0</v>
      </c>
      <c r="D14" s="53">
        <v>2</v>
      </c>
      <c r="E14" s="59">
        <f t="shared" si="1"/>
        <v>2.4096385542168676E-2</v>
      </c>
      <c r="F14" s="53">
        <f t="shared" si="2"/>
        <v>1</v>
      </c>
      <c r="G14" s="60">
        <f t="shared" si="6"/>
        <v>0.43661807580174922</v>
      </c>
      <c r="H14" s="61">
        <f t="shared" si="3"/>
        <v>1.1661807580174927E-2</v>
      </c>
      <c r="I14" s="54">
        <v>2.1099335859266342</v>
      </c>
      <c r="J14" s="58">
        <f t="shared" si="7"/>
        <v>-1.6733155101248849</v>
      </c>
      <c r="K14" s="54">
        <v>3.0212200652385723</v>
      </c>
      <c r="L14" s="54">
        <f t="shared" si="8"/>
        <v>-2.5846019894368233</v>
      </c>
      <c r="M14" s="54">
        <v>0.86026826454594574</v>
      </c>
      <c r="N14" s="58">
        <f t="shared" si="9"/>
        <v>-0.42365018874419652</v>
      </c>
      <c r="O14" s="58"/>
      <c r="P14" s="58">
        <f t="shared" si="10"/>
        <v>0.43661807580174922</v>
      </c>
      <c r="Q14" s="58"/>
      <c r="R14" s="58">
        <f t="shared" si="11"/>
        <v>0.43661807580174922</v>
      </c>
      <c r="T14" s="54">
        <f t="shared" si="4"/>
        <v>1.6466364500853798</v>
      </c>
      <c r="U14" s="58">
        <f t="shared" si="12"/>
        <v>-1.2100183742836306</v>
      </c>
      <c r="W14" s="58">
        <f t="shared" si="5"/>
        <v>0</v>
      </c>
      <c r="X14" s="58">
        <f t="shared" si="13"/>
        <v>0.43661807580174922</v>
      </c>
    </row>
    <row r="15" spans="1:27" x14ac:dyDescent="0.25">
      <c r="A15" s="53" t="s">
        <v>64</v>
      </c>
      <c r="C15" s="59">
        <f t="shared" si="0"/>
        <v>0</v>
      </c>
      <c r="D15" s="53">
        <v>3</v>
      </c>
      <c r="E15" s="59">
        <f t="shared" si="1"/>
        <v>3.614457831325301E-2</v>
      </c>
      <c r="F15" s="53">
        <f t="shared" si="2"/>
        <v>1.5</v>
      </c>
      <c r="G15" s="60">
        <f t="shared" si="6"/>
        <v>0.65492711370262391</v>
      </c>
      <c r="H15" s="61">
        <f t="shared" si="3"/>
        <v>1.7492711370262391E-2</v>
      </c>
      <c r="I15" s="54">
        <v>0.36956536765120734</v>
      </c>
      <c r="J15" s="58">
        <f t="shared" si="7"/>
        <v>0.28536174605141656</v>
      </c>
      <c r="K15" s="54">
        <v>4.5802570442571387E-3</v>
      </c>
      <c r="L15" s="54">
        <f t="shared" si="8"/>
        <v>0.65034685665836678</v>
      </c>
      <c r="M15" s="54">
        <v>0</v>
      </c>
      <c r="N15" s="58">
        <f t="shared" si="9"/>
        <v>0.65492711370262391</v>
      </c>
      <c r="O15" s="58"/>
      <c r="P15" s="58">
        <f t="shared" si="10"/>
        <v>0.65492711370262391</v>
      </c>
      <c r="Q15" s="58"/>
      <c r="R15" s="58">
        <f t="shared" si="11"/>
        <v>0.65492711370262391</v>
      </c>
      <c r="T15" s="54">
        <f t="shared" si="4"/>
        <v>0.21978137545324755</v>
      </c>
      <c r="U15" s="58">
        <f t="shared" si="12"/>
        <v>0.43514573824937636</v>
      </c>
      <c r="W15" s="58">
        <f t="shared" si="5"/>
        <v>0</v>
      </c>
      <c r="X15" s="58">
        <f t="shared" si="13"/>
        <v>0.65492711370262391</v>
      </c>
    </row>
    <row r="16" spans="1:27" x14ac:dyDescent="0.25">
      <c r="A16" s="53" t="s">
        <v>65</v>
      </c>
      <c r="C16" s="59"/>
      <c r="E16" s="59"/>
      <c r="G16" s="60"/>
      <c r="H16" s="61"/>
      <c r="I16" s="54">
        <v>59.939812740217</v>
      </c>
      <c r="J16" s="58">
        <f t="shared" si="7"/>
        <v>-59.939812740217</v>
      </c>
      <c r="K16" s="54"/>
      <c r="L16" s="54"/>
      <c r="M16" s="54"/>
      <c r="N16" s="58"/>
      <c r="O16" s="58"/>
      <c r="P16" s="58"/>
      <c r="Q16" s="58"/>
      <c r="R16" s="58"/>
      <c r="T16" s="54">
        <f t="shared" si="4"/>
        <v>35.570839691735337</v>
      </c>
      <c r="U16" s="58">
        <f t="shared" si="12"/>
        <v>-35.570839691735337</v>
      </c>
      <c r="W16" s="58">
        <f t="shared" si="5"/>
        <v>0</v>
      </c>
      <c r="X16" s="58">
        <f t="shared" si="13"/>
        <v>0</v>
      </c>
    </row>
    <row r="17" spans="2:21" x14ac:dyDescent="0.25">
      <c r="B17" s="52">
        <f>SUM(B4:B15)</f>
        <v>88.5</v>
      </c>
      <c r="C17" s="67">
        <f t="shared" si="0"/>
        <v>1</v>
      </c>
      <c r="D17" s="52">
        <f>SUM(D4:D15)</f>
        <v>83</v>
      </c>
      <c r="E17" s="67">
        <f>SUM(E4:E15)</f>
        <v>1</v>
      </c>
      <c r="F17" s="52">
        <f>SUM(F4:F15)</f>
        <v>85.75</v>
      </c>
      <c r="G17" s="56">
        <v>37.44</v>
      </c>
      <c r="H17" s="68">
        <f>SUM(H4:H15)</f>
        <v>0.99999999999999989</v>
      </c>
      <c r="K17" s="54"/>
      <c r="L17" s="54"/>
      <c r="M17" s="54">
        <v>0</v>
      </c>
      <c r="T17" s="54">
        <f>SUM(T4:T16)</f>
        <v>84.225492490505033</v>
      </c>
      <c r="U17" s="54">
        <f>SUM(U4:U16)</f>
        <v>-34.341877330155185</v>
      </c>
    </row>
    <row r="18" spans="2:21" x14ac:dyDescent="0.25">
      <c r="K18" s="54"/>
      <c r="L18" s="54"/>
      <c r="M18" s="54"/>
    </row>
    <row r="19" spans="2:21" x14ac:dyDescent="0.25">
      <c r="K19" s="54"/>
      <c r="L19" s="54"/>
      <c r="M19" s="54"/>
    </row>
  </sheetData>
  <mergeCells count="10">
    <mergeCell ref="O2:P2"/>
    <mergeCell ref="Q2:R2"/>
    <mergeCell ref="T2:U2"/>
    <mergeCell ref="W2:X2"/>
    <mergeCell ref="B2:C2"/>
    <mergeCell ref="D2:E2"/>
    <mergeCell ref="G2:H2"/>
    <mergeCell ref="I2:J2"/>
    <mergeCell ref="K2:L2"/>
    <mergeCell ref="M2:N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CSD</vt:lpstr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Falaye, Olatunbosun M SPDC-UPO/G/PC</cp:lastModifiedBy>
  <dcterms:created xsi:type="dcterms:W3CDTF">2017-07-13T12:14:59Z</dcterms:created>
  <dcterms:modified xsi:type="dcterms:W3CDTF">2017-12-13T13:37:27Z</dcterms:modified>
</cp:coreProperties>
</file>