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00A65421-863D-4621-9415-586E92705D9A}" xr6:coauthVersionLast="31" xr6:coauthVersionMax="31" xr10:uidLastSave="{00000000-0000-0000-0000-000000000000}"/>
  <bookViews>
    <workbookView xWindow="0" yWindow="0" windowWidth="19200" windowHeight="6390" xr2:uid="{FF9B8E57-B727-43BB-A63A-A8696AA40007}"/>
  </bookViews>
  <sheets>
    <sheet name="FCF" sheetId="1" r:id="rId1"/>
    <sheet name="Detail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3" l="1"/>
  <c r="Q27" i="3"/>
  <c r="Q28" i="3"/>
  <c r="P29" i="3"/>
  <c r="O29" i="3"/>
  <c r="N29" i="3"/>
  <c r="M29" i="3"/>
  <c r="L29" i="3"/>
  <c r="K29" i="3"/>
  <c r="P28" i="3"/>
  <c r="O28" i="3"/>
  <c r="N28" i="3"/>
  <c r="M28" i="3"/>
  <c r="L28" i="3"/>
  <c r="K28" i="3"/>
  <c r="C171" i="1"/>
  <c r="C172" i="1" s="1"/>
  <c r="C141" i="1"/>
  <c r="C142" i="1" s="1"/>
  <c r="C111" i="1"/>
  <c r="C112" i="1" s="1"/>
  <c r="C185" i="1"/>
  <c r="J176" i="1"/>
  <c r="J173" i="1"/>
  <c r="J177" i="1" s="1"/>
  <c r="J172" i="1"/>
  <c r="F172" i="1"/>
  <c r="J171" i="1"/>
  <c r="F171" i="1"/>
  <c r="C167" i="1"/>
  <c r="D166" i="1"/>
  <c r="C155" i="1"/>
  <c r="J146" i="1"/>
  <c r="J143" i="1"/>
  <c r="J147" i="1" s="1"/>
  <c r="J142" i="1"/>
  <c r="F142" i="1"/>
  <c r="J141" i="1"/>
  <c r="F141" i="1"/>
  <c r="C137" i="1"/>
  <c r="D136" i="1"/>
  <c r="C125" i="1"/>
  <c r="J116" i="1"/>
  <c r="J113" i="1"/>
  <c r="J117" i="1" s="1"/>
  <c r="J112" i="1"/>
  <c r="F112" i="1"/>
  <c r="J111" i="1"/>
  <c r="F111" i="1"/>
  <c r="C107" i="1"/>
  <c r="D106" i="1"/>
  <c r="C81" i="1"/>
  <c r="C45" i="1"/>
  <c r="C9" i="1"/>
  <c r="H49" i="3"/>
  <c r="H44" i="3"/>
  <c r="H42" i="3"/>
  <c r="H34" i="3"/>
  <c r="K34" i="3" s="1"/>
  <c r="P25" i="3"/>
  <c r="O25" i="3"/>
  <c r="N25" i="3"/>
  <c r="M25" i="3"/>
  <c r="M27" i="3" s="1"/>
  <c r="L25" i="3"/>
  <c r="K25" i="3"/>
  <c r="J25" i="3"/>
  <c r="I25" i="3"/>
  <c r="H25" i="3"/>
  <c r="P15" i="3"/>
  <c r="P16" i="3" s="1"/>
  <c r="O15" i="3"/>
  <c r="O16" i="3" s="1"/>
  <c r="N15" i="3"/>
  <c r="N16" i="3" s="1"/>
  <c r="M15" i="3"/>
  <c r="M16" i="3" s="1"/>
  <c r="L15" i="3"/>
  <c r="L16" i="3" s="1"/>
  <c r="K15" i="3"/>
  <c r="K16" i="3" s="1"/>
  <c r="J15" i="3"/>
  <c r="J16" i="3" s="1"/>
  <c r="I15" i="3"/>
  <c r="I16" i="3" s="1"/>
  <c r="H15" i="3"/>
  <c r="H16" i="3" s="1"/>
  <c r="G15" i="3"/>
  <c r="G16" i="3" s="1"/>
  <c r="F15" i="3"/>
  <c r="F16" i="3" s="1"/>
  <c r="E15" i="3"/>
  <c r="E16" i="3" s="1"/>
  <c r="E17" i="3" s="1"/>
  <c r="J178" i="1" l="1"/>
  <c r="J180" i="1"/>
  <c r="J182" i="1" s="1"/>
  <c r="J187" i="1" s="1"/>
  <c r="C173" i="1"/>
  <c r="C177" i="1" s="1"/>
  <c r="F173" i="1"/>
  <c r="F177" i="1" s="1"/>
  <c r="J148" i="1"/>
  <c r="J150" i="1"/>
  <c r="J152" i="1" s="1"/>
  <c r="J157" i="1" s="1"/>
  <c r="C143" i="1"/>
  <c r="C147" i="1" s="1"/>
  <c r="F143" i="1"/>
  <c r="F147" i="1" s="1"/>
  <c r="J118" i="1"/>
  <c r="J120" i="1"/>
  <c r="J122" i="1" s="1"/>
  <c r="J127" i="1" s="1"/>
  <c r="C113" i="1"/>
  <c r="C117" i="1" s="1"/>
  <c r="F113" i="1"/>
  <c r="F117" i="1" s="1"/>
  <c r="J42" i="3"/>
  <c r="J34" i="3"/>
  <c r="F17" i="3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N27" i="3"/>
  <c r="O27" i="3"/>
  <c r="L27" i="3"/>
  <c r="P27" i="3"/>
  <c r="Q25" i="3"/>
  <c r="H26" i="3"/>
  <c r="I26" i="3" s="1"/>
  <c r="J26" i="3" s="1"/>
  <c r="K26" i="3" s="1"/>
  <c r="Q16" i="3"/>
  <c r="C95" i="1"/>
  <c r="J86" i="1"/>
  <c r="J82" i="1"/>
  <c r="J81" i="1"/>
  <c r="F81" i="1"/>
  <c r="F82" i="1" s="1"/>
  <c r="C77" i="1"/>
  <c r="D76" i="1"/>
  <c r="C59" i="1"/>
  <c r="J50" i="1"/>
  <c r="J46" i="1"/>
  <c r="J45" i="1"/>
  <c r="F45" i="1"/>
  <c r="F46" i="1" s="1"/>
  <c r="C41" i="1"/>
  <c r="D40" i="1"/>
  <c r="F178" i="1" l="1"/>
  <c r="F180" i="1"/>
  <c r="F182" i="1" s="1"/>
  <c r="F187" i="1" s="1"/>
  <c r="C178" i="1"/>
  <c r="C180" i="1"/>
  <c r="C182" i="1" s="1"/>
  <c r="C186" i="1" s="1"/>
  <c r="C187" i="1" s="1"/>
  <c r="C189" i="1" s="1"/>
  <c r="F148" i="1"/>
  <c r="F150" i="1" s="1"/>
  <c r="F152" i="1" s="1"/>
  <c r="F157" i="1" s="1"/>
  <c r="C148" i="1"/>
  <c r="C150" i="1" s="1"/>
  <c r="C152" i="1" s="1"/>
  <c r="C156" i="1" s="1"/>
  <c r="C157" i="1" s="1"/>
  <c r="F118" i="1"/>
  <c r="F120" i="1" s="1"/>
  <c r="F122" i="1" s="1"/>
  <c r="F127" i="1" s="1"/>
  <c r="C118" i="1"/>
  <c r="C120" i="1" s="1"/>
  <c r="C122" i="1" s="1"/>
  <c r="C126" i="1" s="1"/>
  <c r="C127" i="1" s="1"/>
  <c r="J44" i="3"/>
  <c r="K42" i="3"/>
  <c r="L26" i="3"/>
  <c r="M26" i="3" s="1"/>
  <c r="N26" i="3" s="1"/>
  <c r="O26" i="3" s="1"/>
  <c r="P26" i="3" s="1"/>
  <c r="K27" i="3"/>
  <c r="R25" i="3"/>
  <c r="F87" i="1"/>
  <c r="F83" i="1"/>
  <c r="J83" i="1"/>
  <c r="J87" i="1" s="1"/>
  <c r="F47" i="1"/>
  <c r="F51" i="1" s="1"/>
  <c r="J47" i="1"/>
  <c r="J51" i="1" s="1"/>
  <c r="C159" i="1" l="1"/>
  <c r="C129" i="1"/>
  <c r="K44" i="3"/>
  <c r="K45" i="3" s="1"/>
  <c r="J49" i="3"/>
  <c r="J88" i="1"/>
  <c r="J90" i="1" s="1"/>
  <c r="J92" i="1" s="1"/>
  <c r="J97" i="1" s="1"/>
  <c r="F88" i="1"/>
  <c r="F90" i="1"/>
  <c r="F92" i="1" s="1"/>
  <c r="F97" i="1" s="1"/>
  <c r="J52" i="1"/>
  <c r="J54" i="1"/>
  <c r="J56" i="1" s="1"/>
  <c r="J61" i="1" s="1"/>
  <c r="F52" i="1"/>
  <c r="F54" i="1" s="1"/>
  <c r="F56" i="1" s="1"/>
  <c r="F61" i="1" s="1"/>
  <c r="C23" i="1" l="1"/>
  <c r="J14" i="1" l="1"/>
  <c r="J9" i="1"/>
  <c r="J10" i="1" s="1"/>
  <c r="F9" i="1"/>
  <c r="F10" i="1" s="1"/>
  <c r="F11" i="1" s="1"/>
  <c r="C5" i="1"/>
  <c r="D4" i="1"/>
  <c r="C46" i="1" l="1"/>
  <c r="C47" i="1" s="1"/>
  <c r="C51" i="1" s="1"/>
  <c r="C10" i="1"/>
  <c r="C11" i="1" s="1"/>
  <c r="C15" i="1" s="1"/>
  <c r="C82" i="1"/>
  <c r="C83" i="1" s="1"/>
  <c r="C87" i="1" s="1"/>
  <c r="C88" i="1" s="1"/>
  <c r="C90" i="1" s="1"/>
  <c r="C92" i="1" s="1"/>
  <c r="C96" i="1" s="1"/>
  <c r="C97" i="1" s="1"/>
  <c r="C99" i="1" s="1"/>
  <c r="J11" i="1"/>
  <c r="J15" i="1" s="1"/>
  <c r="F15" i="1"/>
  <c r="C52" i="1" l="1"/>
  <c r="C54" i="1" s="1"/>
  <c r="C56" i="1" s="1"/>
  <c r="C60" i="1" s="1"/>
  <c r="C61" i="1" s="1"/>
  <c r="C63" i="1" s="1"/>
  <c r="C16" i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<sst xmlns="http://schemas.openxmlformats.org/spreadsheetml/2006/main" count="491" uniqueCount="76">
  <si>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</si>
  <si>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</si>
  <si>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</si>
  <si>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</si>
  <si>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</si>
  <si>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</si>
  <si>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</si>
  <si>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</si>
  <si>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</si>
  <si>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</si>
  <si>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</si>
  <si>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</si>
  <si>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</si>
  <si>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</si>
  <si>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</si>
  <si>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</si>
  <si>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</si>
  <si>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</si>
  <si>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</si>
  <si>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</si>
  <si>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</si>
  <si>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</si>
  <si>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</si>
  <si>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</si>
  <si>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</si>
  <si>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</si>
  <si>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</si>
  <si>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</si>
  <si>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</si>
  <si>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</si>
  <si>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</si>
  <si>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</si>
  <si>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</si>
  <si>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</si>
  <si>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</si>
  <si>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Cluster</t>
  </si>
  <si>
    <t>Conduit</t>
  </si>
  <si>
    <t>String</t>
  </si>
  <si>
    <t>OSDs</t>
  </si>
  <si>
    <t>Potential</t>
  </si>
  <si>
    <t>51A</t>
  </si>
  <si>
    <t>FORC130</t>
  </si>
  <si>
    <t>S</t>
  </si>
  <si>
    <t>L</t>
  </si>
  <si>
    <t>3A</t>
  </si>
  <si>
    <t>FORC141</t>
  </si>
  <si>
    <t>FORC142</t>
  </si>
  <si>
    <t>FORC143</t>
  </si>
  <si>
    <t>T</t>
  </si>
  <si>
    <t>FORC144</t>
  </si>
  <si>
    <t>FORC145</t>
  </si>
  <si>
    <t>FORC146</t>
  </si>
  <si>
    <t>52A</t>
  </si>
  <si>
    <t>FORC129</t>
  </si>
  <si>
    <t>JB</t>
  </si>
  <si>
    <t>FORC147</t>
  </si>
  <si>
    <t>FORC148</t>
  </si>
  <si>
    <t>FORC150</t>
  </si>
  <si>
    <t>FORC151</t>
  </si>
  <si>
    <t>From</t>
  </si>
  <si>
    <t>bbl/d</t>
  </si>
  <si>
    <t>Cumm bbl/d</t>
  </si>
  <si>
    <t>Cumm Prod to 30-Jun</t>
  </si>
  <si>
    <t>OP18</t>
  </si>
  <si>
    <t>Current Forcast</t>
  </si>
  <si>
    <t>Days</t>
  </si>
  <si>
    <t>Total bbl/d</t>
  </si>
  <si>
    <t>Total Monthly</t>
  </si>
  <si>
    <t>Cummulative</t>
  </si>
  <si>
    <t>Incremental volumes for each month</t>
  </si>
  <si>
    <t>Jul</t>
  </si>
  <si>
    <t>August</t>
  </si>
  <si>
    <t>September</t>
  </si>
  <si>
    <t>December</t>
  </si>
  <si>
    <t>November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</si>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</sst>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72" formatCode="#,##0_ ;\-#,##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AEEF8"/>
      </left>
      <right style="medium">
        <color rgb="FFDAEEF8"/>
      </right>
      <top style="medium">
        <color rgb="FFDAEEF8"/>
      </top>
      <bottom style="medium">
        <color rgb="FFDAEEF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" fontId="0" fillId="0" borderId="0" xfId="0" applyNumberFormat="1"/>
    <xf numFmtId="0" fontId="8" fillId="0" borderId="0" xfId="0" applyFont="1"/>
    <xf numFmtId="0" fontId="9" fillId="0" borderId="0" xfId="0" applyFont="1" applyFill="1"/>
    <xf numFmtId="17" fontId="10" fillId="6" borderId="0" xfId="0" applyNumberFormat="1" applyFont="1" applyFill="1"/>
    <xf numFmtId="43" fontId="11" fillId="0" borderId="0" xfId="1" applyNumberFormat="1" applyFont="1"/>
    <xf numFmtId="0" fontId="12" fillId="0" borderId="11" xfId="0" applyFont="1" applyBorder="1" applyAlignment="1">
      <alignment horizontal="right" vertical="center" wrapText="1" indent="1"/>
    </xf>
    <xf numFmtId="4" fontId="0" fillId="0" borderId="0" xfId="0" applyNumberFormat="1"/>
    <xf numFmtId="4" fontId="12" fillId="0" borderId="11" xfId="0" applyNumberFormat="1" applyFont="1" applyBorder="1" applyAlignment="1">
      <alignment horizontal="right" vertical="center" wrapText="1" indent="1"/>
    </xf>
    <xf numFmtId="172" fontId="11" fillId="0" borderId="0" xfId="1" applyNumberFormat="1" applyFont="1"/>
    <xf numFmtId="17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189"/>
  <sheetViews>
    <sheetView tabSelected="1" zoomScale="85" zoomScaleNormal="85" workbookViewId="0">
      <selection activeCell="D35" sqref="D35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3">
      <c r="B1" s="34" t="s">
        <v>70</v>
      </c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/>
      <c r="E7" s="7" t="s">
        <v>9</v>
      </c>
      <c r="F7" s="11">
        <v>365</v>
      </c>
      <c r="I7" s="7" t="s">
        <v>9</v>
      </c>
      <c r="J7" s="11">
        <v>365</v>
      </c>
    </row>
    <row r="8" spans="2:11" x14ac:dyDescent="0.25">
      <c r="B8" s="7" t="s">
        <v>10</v>
      </c>
      <c r="C8" s="12"/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Details!K27</f>
        <v>1847.5700000000652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122395.96979000432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-24479.193958000866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97916.775832003463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-12484.388918580442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85432.386913423019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85432.386913423019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>
        <v>0</v>
      </c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85432.386913423019</v>
      </c>
      <c r="D24" s="4"/>
    </row>
    <row r="25" spans="2:11" x14ac:dyDescent="0.25">
      <c r="B25" t="s">
        <v>34</v>
      </c>
      <c r="C25" s="26">
        <f>C24*0.3</f>
        <v>25629.716074026906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25629.716074026906</v>
      </c>
    </row>
    <row r="29" spans="2:11" x14ac:dyDescent="0.25">
      <c r="C29" s="4"/>
    </row>
    <row r="30" spans="2:11" x14ac:dyDescent="0.25">
      <c r="C30" s="4"/>
    </row>
    <row r="31" spans="2:11" x14ac:dyDescent="0.25">
      <c r="B31" t="s">
        <v>70</v>
      </c>
      <c r="C31" s="4">
        <f>C27</f>
        <v>25629.716074026906</v>
      </c>
    </row>
    <row r="34" spans="2:11" x14ac:dyDescent="0.25">
      <c r="C34" s="26"/>
    </row>
    <row r="35" spans="2:11" x14ac:dyDescent="0.25">
      <c r="C35" s="26"/>
    </row>
    <row r="36" spans="2:11" x14ac:dyDescent="0.25">
      <c r="C36" s="26"/>
    </row>
    <row r="37" spans="2:11" ht="22.5" customHeight="1" x14ac:dyDescent="0.3">
      <c r="B37" s="34" t="s">
        <v>71</v>
      </c>
      <c r="C37" s="1"/>
      <c r="F37" s="1"/>
      <c r="J37" s="1"/>
    </row>
    <row r="38" spans="2:11" ht="18.75" x14ac:dyDescent="0.3">
      <c r="B38" s="2" t="s">
        <v>0</v>
      </c>
      <c r="C38" s="3">
        <v>2019</v>
      </c>
      <c r="D38" s="4"/>
      <c r="E38" s="2" t="s">
        <v>1</v>
      </c>
      <c r="F38" s="3">
        <v>2019</v>
      </c>
      <c r="I38" s="2" t="s">
        <v>2</v>
      </c>
      <c r="J38" s="3">
        <v>2019</v>
      </c>
    </row>
    <row r="39" spans="2:11" x14ac:dyDescent="0.25">
      <c r="B39" s="5" t="s">
        <v>3</v>
      </c>
      <c r="E39" s="5" t="s">
        <v>3</v>
      </c>
      <c r="G39" s="4"/>
      <c r="I39" s="5" t="s">
        <v>3</v>
      </c>
    </row>
    <row r="40" spans="2:11" x14ac:dyDescent="0.25">
      <c r="B40" s="5" t="s">
        <v>4</v>
      </c>
      <c r="C40" s="6">
        <v>0</v>
      </c>
      <c r="D40">
        <f>680000*0.15*0.3</f>
        <v>30600</v>
      </c>
      <c r="E40" s="5"/>
      <c r="F40" s="6"/>
      <c r="G40" s="4"/>
      <c r="I40" s="5"/>
    </row>
    <row r="41" spans="2:11" x14ac:dyDescent="0.25">
      <c r="B41" s="5" t="s">
        <v>5</v>
      </c>
      <c r="C41" s="6">
        <f>C40*0.2</f>
        <v>0</v>
      </c>
      <c r="E41" s="5"/>
      <c r="F41" s="6"/>
      <c r="G41" s="4"/>
      <c r="I41" s="5"/>
    </row>
    <row r="42" spans="2:11" x14ac:dyDescent="0.25">
      <c r="B42" s="7" t="s">
        <v>6</v>
      </c>
      <c r="C42" s="8">
        <v>66.247</v>
      </c>
      <c r="D42" t="s">
        <v>7</v>
      </c>
      <c r="E42" s="7" t="s">
        <v>8</v>
      </c>
      <c r="F42" s="9">
        <v>1.637</v>
      </c>
      <c r="G42" t="s">
        <v>7</v>
      </c>
      <c r="I42" s="7" t="s">
        <v>8</v>
      </c>
      <c r="J42" s="10">
        <v>2.5299999999999998</v>
      </c>
      <c r="K42" t="s">
        <v>7</v>
      </c>
    </row>
    <row r="43" spans="2:11" x14ac:dyDescent="0.25">
      <c r="B43" s="7" t="s">
        <v>9</v>
      </c>
      <c r="C43" s="11"/>
      <c r="E43" s="7" t="s">
        <v>9</v>
      </c>
      <c r="F43" s="11">
        <v>365</v>
      </c>
      <c r="I43" s="7" t="s">
        <v>9</v>
      </c>
      <c r="J43" s="11">
        <v>365</v>
      </c>
    </row>
    <row r="44" spans="2:11" x14ac:dyDescent="0.25">
      <c r="B44" s="7" t="s">
        <v>10</v>
      </c>
      <c r="C44" s="12"/>
      <c r="D44" t="s">
        <v>11</v>
      </c>
      <c r="E44" s="7" t="s">
        <v>10</v>
      </c>
      <c r="F44" s="13"/>
      <c r="G44" t="s">
        <v>11</v>
      </c>
      <c r="I44" s="7" t="s">
        <v>10</v>
      </c>
      <c r="J44" s="13"/>
      <c r="K44" t="s">
        <v>11</v>
      </c>
    </row>
    <row r="45" spans="2:11" x14ac:dyDescent="0.25">
      <c r="B45" s="7" t="s">
        <v>12</v>
      </c>
      <c r="C45" s="15">
        <f>Details!L27</f>
        <v>77412.530399999989</v>
      </c>
      <c r="E45" s="7" t="s">
        <v>13</v>
      </c>
      <c r="F45" s="15">
        <f>F44*F43*1000</f>
        <v>0</v>
      </c>
      <c r="I45" s="7" t="s">
        <v>13</v>
      </c>
      <c r="J45" s="14">
        <f t="shared" ref="J45" si="6">J44*J43*1000</f>
        <v>0</v>
      </c>
    </row>
    <row r="46" spans="2:11" x14ac:dyDescent="0.25">
      <c r="B46" s="7" t="s">
        <v>14</v>
      </c>
      <c r="C46" s="17">
        <f t="shared" ref="C46" si="7">+C45*C42</f>
        <v>5128347.901408799</v>
      </c>
      <c r="E46" s="7" t="s">
        <v>14</v>
      </c>
      <c r="F46" s="17">
        <f>+F45*F42*5.8</f>
        <v>0</v>
      </c>
      <c r="I46" s="7" t="s">
        <v>14</v>
      </c>
      <c r="J46" s="17">
        <f>+J45*J42*5.8</f>
        <v>0</v>
      </c>
    </row>
    <row r="47" spans="2:11" x14ac:dyDescent="0.25">
      <c r="B47" s="7" t="s">
        <v>15</v>
      </c>
      <c r="C47" s="19">
        <f t="shared" ref="C47" si="8">-C46*0.2</f>
        <v>-1025669.5802817598</v>
      </c>
      <c r="D47" t="s">
        <v>16</v>
      </c>
      <c r="E47" s="7" t="s">
        <v>17</v>
      </c>
      <c r="F47" s="19">
        <f>-F46*0.07</f>
        <v>0</v>
      </c>
      <c r="G47" t="s">
        <v>18</v>
      </c>
      <c r="I47" s="7" t="s">
        <v>17</v>
      </c>
      <c r="J47" s="19">
        <f>-J46*0.07</f>
        <v>0</v>
      </c>
      <c r="K47" t="s">
        <v>18</v>
      </c>
    </row>
    <row r="48" spans="2:11" x14ac:dyDescent="0.25">
      <c r="B48" s="7" t="s">
        <v>19</v>
      </c>
      <c r="C48" s="18"/>
      <c r="E48" s="7" t="s">
        <v>19</v>
      </c>
      <c r="F48" s="18">
        <v>0</v>
      </c>
      <c r="I48" s="7" t="s">
        <v>19</v>
      </c>
      <c r="J48" s="18">
        <v>0</v>
      </c>
    </row>
    <row r="49" spans="2:11" x14ac:dyDescent="0.25">
      <c r="B49" s="7" t="s">
        <v>20</v>
      </c>
      <c r="C49" s="18"/>
      <c r="E49" s="7" t="s">
        <v>20</v>
      </c>
      <c r="F49" s="18"/>
      <c r="I49" s="7" t="s">
        <v>20</v>
      </c>
      <c r="J49" s="18"/>
    </row>
    <row r="50" spans="2:11" x14ac:dyDescent="0.25">
      <c r="B50" s="7" t="s">
        <v>21</v>
      </c>
      <c r="C50" s="18"/>
      <c r="E50" s="7" t="s">
        <v>21</v>
      </c>
      <c r="F50" s="18"/>
      <c r="I50" s="7" t="s">
        <v>21</v>
      </c>
      <c r="J50" s="18">
        <f>-J44*J43*2706</f>
        <v>0</v>
      </c>
    </row>
    <row r="51" spans="2:11" x14ac:dyDescent="0.25">
      <c r="B51" s="7" t="s">
        <v>22</v>
      </c>
      <c r="C51" s="20">
        <f>+C46+C47+C48+C49+C50</f>
        <v>4102678.3211270394</v>
      </c>
      <c r="E51" s="7" t="s">
        <v>22</v>
      </c>
      <c r="F51" s="20">
        <f>+F46+F47+F48+F49+F50</f>
        <v>0</v>
      </c>
      <c r="I51" s="7" t="s">
        <v>22</v>
      </c>
      <c r="J51" s="20">
        <f>+J46+J47+J48+J49+J50</f>
        <v>0</v>
      </c>
    </row>
    <row r="52" spans="2:11" x14ac:dyDescent="0.25">
      <c r="B52" s="7" t="s">
        <v>23</v>
      </c>
      <c r="C52" s="18">
        <f>-C51*0.1275</f>
        <v>-523091.48594369751</v>
      </c>
      <c r="D52" t="s">
        <v>31</v>
      </c>
      <c r="E52" s="7" t="s">
        <v>24</v>
      </c>
      <c r="F52" s="18">
        <f>-F51*0.3</f>
        <v>0</v>
      </c>
      <c r="I52" s="7" t="s">
        <v>24</v>
      </c>
      <c r="J52" s="18">
        <f>-J51*0.3</f>
        <v>0</v>
      </c>
    </row>
    <row r="53" spans="2:11" x14ac:dyDescent="0.25">
      <c r="B53" s="21"/>
      <c r="C53" s="22"/>
      <c r="E53" s="21"/>
      <c r="F53" s="22"/>
      <c r="I53" s="21"/>
      <c r="J53" s="22"/>
    </row>
    <row r="54" spans="2:11" ht="15.75" thickBot="1" x14ac:dyDescent="0.3">
      <c r="B54" s="23" t="s">
        <v>25</v>
      </c>
      <c r="C54" s="16">
        <f t="shared" ref="C54" si="9">+C51+C52</f>
        <v>3579586.835183342</v>
      </c>
      <c r="E54" s="23" t="s">
        <v>25</v>
      </c>
      <c r="F54" s="16">
        <f t="shared" ref="F54" si="10">+F51+F52</f>
        <v>0</v>
      </c>
      <c r="I54" s="23" t="s">
        <v>25</v>
      </c>
      <c r="J54" s="16">
        <f t="shared" ref="J54" si="11">+J51+J52</f>
        <v>0</v>
      </c>
    </row>
    <row r="55" spans="2:11" ht="15.75" thickTop="1" x14ac:dyDescent="0.25"/>
    <row r="56" spans="2:11" ht="15.75" thickBot="1" x14ac:dyDescent="0.3">
      <c r="B56" t="s">
        <v>26</v>
      </c>
      <c r="C56" s="24">
        <f>C54-C50</f>
        <v>3579586.835183342</v>
      </c>
      <c r="D56" t="s">
        <v>27</v>
      </c>
      <c r="E56" t="s">
        <v>26</v>
      </c>
      <c r="F56" s="24">
        <f>F54-F50</f>
        <v>0</v>
      </c>
      <c r="G56" t="s">
        <v>27</v>
      </c>
      <c r="I56" t="s">
        <v>26</v>
      </c>
      <c r="J56" s="24">
        <f>J54-J50</f>
        <v>0</v>
      </c>
      <c r="K56" t="s">
        <v>27</v>
      </c>
    </row>
    <row r="57" spans="2:11" ht="15.75" thickTop="1" x14ac:dyDescent="0.25"/>
    <row r="58" spans="2:11" x14ac:dyDescent="0.25">
      <c r="B58" s="5" t="s">
        <v>4</v>
      </c>
      <c r="C58" s="6">
        <v>0</v>
      </c>
    </row>
    <row r="59" spans="2:11" x14ac:dyDescent="0.25">
      <c r="B59" s="5" t="s">
        <v>28</v>
      </c>
      <c r="C59" s="6">
        <f>(-0.2*C58*0.1275)</f>
        <v>0</v>
      </c>
    </row>
    <row r="60" spans="2:11" x14ac:dyDescent="0.25">
      <c r="B60" t="s">
        <v>33</v>
      </c>
      <c r="C60" s="25">
        <f>C59+C58+C56</f>
        <v>3579586.835183342</v>
      </c>
    </row>
    <row r="61" spans="2:11" x14ac:dyDescent="0.25">
      <c r="B61" t="s">
        <v>34</v>
      </c>
      <c r="C61" s="26">
        <f>C60*0.3</f>
        <v>1073876.0505550026</v>
      </c>
      <c r="E61" t="s">
        <v>30</v>
      </c>
      <c r="F61" s="26">
        <f>F56*0.3</f>
        <v>0</v>
      </c>
      <c r="I61" t="s">
        <v>29</v>
      </c>
      <c r="J61" s="26">
        <f>J56*0.3</f>
        <v>0</v>
      </c>
    </row>
    <row r="63" spans="2:11" x14ac:dyDescent="0.25">
      <c r="B63" t="s">
        <v>32</v>
      </c>
      <c r="C63" s="4">
        <f>C61+F61+J61</f>
        <v>1073876.0505550026</v>
      </c>
    </row>
    <row r="65" spans="2:11" x14ac:dyDescent="0.25">
      <c r="C65" s="4"/>
    </row>
    <row r="66" spans="2:11" x14ac:dyDescent="0.25">
      <c r="C66" s="4"/>
    </row>
    <row r="67" spans="2:11" x14ac:dyDescent="0.25">
      <c r="C67" s="4"/>
    </row>
    <row r="73" spans="2:11" ht="22.5" customHeight="1" x14ac:dyDescent="0.3">
      <c r="B73" s="34" t="s">
        <v>72</v>
      </c>
      <c r="C73" s="1"/>
      <c r="F73" s="1"/>
      <c r="J73" s="1"/>
    </row>
    <row r="74" spans="2:11" ht="18.75" x14ac:dyDescent="0.3">
      <c r="B74" s="2" t="s">
        <v>0</v>
      </c>
      <c r="C74" s="3">
        <v>2019</v>
      </c>
      <c r="D74" s="4"/>
      <c r="E74" s="2" t="s">
        <v>1</v>
      </c>
      <c r="F74" s="3">
        <v>2019</v>
      </c>
      <c r="I74" s="2" t="s">
        <v>2</v>
      </c>
      <c r="J74" s="3">
        <v>2019</v>
      </c>
    </row>
    <row r="75" spans="2:11" x14ac:dyDescent="0.25">
      <c r="B75" s="5" t="s">
        <v>3</v>
      </c>
      <c r="E75" s="5" t="s">
        <v>3</v>
      </c>
      <c r="G75" s="4"/>
      <c r="I75" s="5" t="s">
        <v>3</v>
      </c>
    </row>
    <row r="76" spans="2:11" x14ac:dyDescent="0.25">
      <c r="B76" s="5" t="s">
        <v>4</v>
      </c>
      <c r="C76" s="6">
        <v>0</v>
      </c>
      <c r="D76">
        <f>680000*0.15*0.3</f>
        <v>30600</v>
      </c>
      <c r="E76" s="5"/>
      <c r="F76" s="6"/>
      <c r="G76" s="4"/>
      <c r="I76" s="5"/>
    </row>
    <row r="77" spans="2:11" x14ac:dyDescent="0.25">
      <c r="B77" s="5" t="s">
        <v>5</v>
      </c>
      <c r="C77" s="6">
        <f>C76*0.2</f>
        <v>0</v>
      </c>
      <c r="E77" s="5"/>
      <c r="F77" s="6"/>
      <c r="G77" s="4"/>
      <c r="I77" s="5"/>
    </row>
    <row r="78" spans="2:11" x14ac:dyDescent="0.25">
      <c r="B78" s="7" t="s">
        <v>6</v>
      </c>
      <c r="C78" s="8">
        <v>66.247</v>
      </c>
      <c r="D78" t="s">
        <v>7</v>
      </c>
      <c r="E78" s="7" t="s">
        <v>8</v>
      </c>
      <c r="F78" s="9">
        <v>1.637</v>
      </c>
      <c r="G78" t="s">
        <v>7</v>
      </c>
      <c r="I78" s="7" t="s">
        <v>8</v>
      </c>
      <c r="J78" s="10">
        <v>2.5299999999999998</v>
      </c>
      <c r="K78" t="s">
        <v>7</v>
      </c>
    </row>
    <row r="79" spans="2:11" x14ac:dyDescent="0.25">
      <c r="B79" s="7" t="s">
        <v>9</v>
      </c>
      <c r="C79" s="11"/>
      <c r="E79" s="7" t="s">
        <v>9</v>
      </c>
      <c r="F79" s="11">
        <v>365</v>
      </c>
      <c r="I79" s="7" t="s">
        <v>9</v>
      </c>
      <c r="J79" s="11">
        <v>365</v>
      </c>
    </row>
    <row r="80" spans="2:11" x14ac:dyDescent="0.25">
      <c r="B80" s="7" t="s">
        <v>10</v>
      </c>
      <c r="C80" s="12"/>
      <c r="D80" t="s">
        <v>11</v>
      </c>
      <c r="E80" s="7" t="s">
        <v>10</v>
      </c>
      <c r="F80" s="13"/>
      <c r="G80" t="s">
        <v>11</v>
      </c>
      <c r="I80" s="7" t="s">
        <v>10</v>
      </c>
      <c r="J80" s="13"/>
      <c r="K80" t="s">
        <v>11</v>
      </c>
    </row>
    <row r="81" spans="2:11" x14ac:dyDescent="0.25">
      <c r="B81" s="7" t="s">
        <v>12</v>
      </c>
      <c r="C81" s="15">
        <f>Details!M27</f>
        <v>213812.7</v>
      </c>
      <c r="E81" s="7" t="s">
        <v>13</v>
      </c>
      <c r="F81" s="15">
        <f>F80*F79*1000</f>
        <v>0</v>
      </c>
      <c r="I81" s="7" t="s">
        <v>13</v>
      </c>
      <c r="J81" s="14">
        <f t="shared" ref="J81" si="12">J80*J79*1000</f>
        <v>0</v>
      </c>
    </row>
    <row r="82" spans="2:11" x14ac:dyDescent="0.25">
      <c r="B82" s="7" t="s">
        <v>14</v>
      </c>
      <c r="C82" s="17">
        <f t="shared" ref="C82" si="13">+C81*C78</f>
        <v>14164449.936900001</v>
      </c>
      <c r="E82" s="7" t="s">
        <v>14</v>
      </c>
      <c r="F82" s="17">
        <f>+F81*F78*5.8</f>
        <v>0</v>
      </c>
      <c r="I82" s="7" t="s">
        <v>14</v>
      </c>
      <c r="J82" s="17">
        <f>+J81*J78*5.8</f>
        <v>0</v>
      </c>
    </row>
    <row r="83" spans="2:11" x14ac:dyDescent="0.25">
      <c r="B83" s="7" t="s">
        <v>15</v>
      </c>
      <c r="C83" s="19">
        <f t="shared" ref="C83" si="14">-C82*0.2</f>
        <v>-2832889.9873800003</v>
      </c>
      <c r="D83" t="s">
        <v>16</v>
      </c>
      <c r="E83" s="7" t="s">
        <v>17</v>
      </c>
      <c r="F83" s="19">
        <f>-F82*0.07</f>
        <v>0</v>
      </c>
      <c r="G83" t="s">
        <v>18</v>
      </c>
      <c r="I83" s="7" t="s">
        <v>17</v>
      </c>
      <c r="J83" s="19">
        <f>-J82*0.07</f>
        <v>0</v>
      </c>
      <c r="K83" t="s">
        <v>18</v>
      </c>
    </row>
    <row r="84" spans="2:11" x14ac:dyDescent="0.25">
      <c r="B84" s="7" t="s">
        <v>19</v>
      </c>
      <c r="C84" s="18"/>
      <c r="E84" s="7" t="s">
        <v>19</v>
      </c>
      <c r="F84" s="18">
        <v>0</v>
      </c>
      <c r="I84" s="7" t="s">
        <v>19</v>
      </c>
      <c r="J84" s="18">
        <v>0</v>
      </c>
    </row>
    <row r="85" spans="2:11" x14ac:dyDescent="0.25">
      <c r="B85" s="7" t="s">
        <v>20</v>
      </c>
      <c r="C85" s="18"/>
      <c r="E85" s="7" t="s">
        <v>20</v>
      </c>
      <c r="F85" s="18"/>
      <c r="I85" s="7" t="s">
        <v>20</v>
      </c>
      <c r="J85" s="18"/>
    </row>
    <row r="86" spans="2:11" x14ac:dyDescent="0.25">
      <c r="B86" s="7" t="s">
        <v>21</v>
      </c>
      <c r="C86" s="18"/>
      <c r="E86" s="7" t="s">
        <v>21</v>
      </c>
      <c r="F86" s="18"/>
      <c r="I86" s="7" t="s">
        <v>21</v>
      </c>
      <c r="J86" s="18">
        <f>-J80*J79*2706</f>
        <v>0</v>
      </c>
    </row>
    <row r="87" spans="2:11" x14ac:dyDescent="0.25">
      <c r="B87" s="7" t="s">
        <v>22</v>
      </c>
      <c r="C87" s="20">
        <f>+C82+C83+C84+C85+C86</f>
        <v>11331559.949520001</v>
      </c>
      <c r="E87" s="7" t="s">
        <v>22</v>
      </c>
      <c r="F87" s="20">
        <f>+F82+F83+F84+F85+F86</f>
        <v>0</v>
      </c>
      <c r="I87" s="7" t="s">
        <v>22</v>
      </c>
      <c r="J87" s="20">
        <f>+J82+J83+J84+J85+J86</f>
        <v>0</v>
      </c>
    </row>
    <row r="88" spans="2:11" x14ac:dyDescent="0.25">
      <c r="B88" s="7" t="s">
        <v>23</v>
      </c>
      <c r="C88" s="18">
        <f>-C87*0.1275</f>
        <v>-1444773.8935638003</v>
      </c>
      <c r="D88" t="s">
        <v>31</v>
      </c>
      <c r="E88" s="7" t="s">
        <v>24</v>
      </c>
      <c r="F88" s="18">
        <f>-F87*0.3</f>
        <v>0</v>
      </c>
      <c r="I88" s="7" t="s">
        <v>24</v>
      </c>
      <c r="J88" s="18">
        <f>-J87*0.3</f>
        <v>0</v>
      </c>
    </row>
    <row r="89" spans="2:11" x14ac:dyDescent="0.25">
      <c r="B89" s="21"/>
      <c r="C89" s="22"/>
      <c r="E89" s="21"/>
      <c r="F89" s="22"/>
      <c r="I89" s="21"/>
      <c r="J89" s="22"/>
    </row>
    <row r="90" spans="2:11" ht="15.75" thickBot="1" x14ac:dyDescent="0.3">
      <c r="B90" s="23" t="s">
        <v>25</v>
      </c>
      <c r="C90" s="16">
        <f t="shared" ref="C90" si="15">+C87+C88</f>
        <v>9886786.0559562016</v>
      </c>
      <c r="E90" s="23" t="s">
        <v>25</v>
      </c>
      <c r="F90" s="16">
        <f t="shared" ref="F90" si="16">+F87+F88</f>
        <v>0</v>
      </c>
      <c r="I90" s="23" t="s">
        <v>25</v>
      </c>
      <c r="J90" s="16">
        <f t="shared" ref="J90" si="17">+J87+J88</f>
        <v>0</v>
      </c>
    </row>
    <row r="91" spans="2:11" ht="15.75" thickTop="1" x14ac:dyDescent="0.25"/>
    <row r="92" spans="2:11" ht="15.75" thickBot="1" x14ac:dyDescent="0.3">
      <c r="B92" t="s">
        <v>26</v>
      </c>
      <c r="C92" s="24">
        <f>C90-C86</f>
        <v>9886786.0559562016</v>
      </c>
      <c r="D92" t="s">
        <v>27</v>
      </c>
      <c r="E92" t="s">
        <v>26</v>
      </c>
      <c r="F92" s="24">
        <f>F90-F86</f>
        <v>0</v>
      </c>
      <c r="G92" t="s">
        <v>27</v>
      </c>
      <c r="I92" t="s">
        <v>26</v>
      </c>
      <c r="J92" s="24">
        <f>J90-J86</f>
        <v>0</v>
      </c>
      <c r="K92" t="s">
        <v>27</v>
      </c>
    </row>
    <row r="93" spans="2:11" ht="15.75" thickTop="1" x14ac:dyDescent="0.25"/>
    <row r="94" spans="2:11" x14ac:dyDescent="0.25">
      <c r="B94" s="5" t="s">
        <v>4</v>
      </c>
      <c r="C94" s="6">
        <v>0</v>
      </c>
    </row>
    <row r="95" spans="2:11" x14ac:dyDescent="0.25">
      <c r="B95" s="5" t="s">
        <v>28</v>
      </c>
      <c r="C95" s="6">
        <f>(-0.2*C94*0.1275)</f>
        <v>0</v>
      </c>
    </row>
    <row r="96" spans="2:11" x14ac:dyDescent="0.25">
      <c r="B96" t="s">
        <v>33</v>
      </c>
      <c r="C96" s="25">
        <f>C95+C94+C92</f>
        <v>9886786.0559562016</v>
      </c>
    </row>
    <row r="97" spans="2:11" x14ac:dyDescent="0.25">
      <c r="B97" t="s">
        <v>34</v>
      </c>
      <c r="C97" s="26">
        <f>C96*0.3</f>
        <v>2966035.8167868606</v>
      </c>
      <c r="E97" t="s">
        <v>30</v>
      </c>
      <c r="F97" s="26">
        <f>F92*0.3</f>
        <v>0</v>
      </c>
      <c r="I97" t="s">
        <v>29</v>
      </c>
      <c r="J97" s="26">
        <f>J92*0.3</f>
        <v>0</v>
      </c>
    </row>
    <row r="99" spans="2:11" x14ac:dyDescent="0.25">
      <c r="B99" t="s">
        <v>32</v>
      </c>
      <c r="C99" s="4">
        <f>C97+F97+J97</f>
        <v>2966035.8167868606</v>
      </c>
    </row>
    <row r="101" spans="2:11" x14ac:dyDescent="0.25">
      <c r="C101" s="4"/>
    </row>
    <row r="102" spans="2:11" x14ac:dyDescent="0.25">
      <c r="C102" s="4"/>
    </row>
    <row r="103" spans="2:11" ht="22.5" customHeight="1" x14ac:dyDescent="0.3">
      <c r="B103" s="34" t="s">
        <v>75</v>
      </c>
      <c r="C103" s="1"/>
      <c r="F103" s="1"/>
      <c r="J103" s="1"/>
    </row>
    <row r="104" spans="2:11" ht="18.75" x14ac:dyDescent="0.3">
      <c r="B104" s="2" t="s">
        <v>0</v>
      </c>
      <c r="C104" s="3">
        <v>2019</v>
      </c>
      <c r="D104" s="4"/>
      <c r="E104" s="2" t="s">
        <v>1</v>
      </c>
      <c r="F104" s="3">
        <v>2019</v>
      </c>
      <c r="I104" s="2" t="s">
        <v>2</v>
      </c>
      <c r="J104" s="3">
        <v>2019</v>
      </c>
    </row>
    <row r="105" spans="2:11" x14ac:dyDescent="0.25">
      <c r="B105" s="5" t="s">
        <v>3</v>
      </c>
      <c r="E105" s="5" t="s">
        <v>3</v>
      </c>
      <c r="G105" s="4"/>
      <c r="I105" s="5" t="s">
        <v>3</v>
      </c>
    </row>
    <row r="106" spans="2:11" x14ac:dyDescent="0.25">
      <c r="B106" s="5" t="s">
        <v>4</v>
      </c>
      <c r="C106" s="6">
        <v>0</v>
      </c>
      <c r="D106">
        <f>680000*0.15*0.3</f>
        <v>30600</v>
      </c>
      <c r="E106" s="5"/>
      <c r="F106" s="6"/>
      <c r="G106" s="4"/>
      <c r="I106" s="5"/>
    </row>
    <row r="107" spans="2:11" x14ac:dyDescent="0.25">
      <c r="B107" s="5" t="s">
        <v>5</v>
      </c>
      <c r="C107" s="6">
        <f>C106*0.2</f>
        <v>0</v>
      </c>
      <c r="E107" s="5"/>
      <c r="F107" s="6"/>
      <c r="G107" s="4"/>
      <c r="I107" s="5"/>
    </row>
    <row r="108" spans="2:11" x14ac:dyDescent="0.25">
      <c r="B108" s="7" t="s">
        <v>6</v>
      </c>
      <c r="C108" s="8">
        <v>66.247</v>
      </c>
      <c r="D108" t="s">
        <v>7</v>
      </c>
      <c r="E108" s="7" t="s">
        <v>8</v>
      </c>
      <c r="F108" s="9">
        <v>1.637</v>
      </c>
      <c r="G108" t="s">
        <v>7</v>
      </c>
      <c r="I108" s="7" t="s">
        <v>8</v>
      </c>
      <c r="J108" s="10">
        <v>2.5299999999999998</v>
      </c>
      <c r="K108" t="s">
        <v>7</v>
      </c>
    </row>
    <row r="109" spans="2:11" x14ac:dyDescent="0.25">
      <c r="B109" s="7" t="s">
        <v>9</v>
      </c>
      <c r="C109" s="11"/>
      <c r="E109" s="7" t="s">
        <v>9</v>
      </c>
      <c r="F109" s="11">
        <v>365</v>
      </c>
      <c r="I109" s="7" t="s">
        <v>9</v>
      </c>
      <c r="J109" s="11">
        <v>365</v>
      </c>
    </row>
    <row r="110" spans="2:11" x14ac:dyDescent="0.25">
      <c r="B110" s="7" t="s">
        <v>10</v>
      </c>
      <c r="C110" s="12"/>
      <c r="D110" t="s">
        <v>11</v>
      </c>
      <c r="E110" s="7" t="s">
        <v>10</v>
      </c>
      <c r="F110" s="13"/>
      <c r="G110" t="s">
        <v>11</v>
      </c>
      <c r="I110" s="7" t="s">
        <v>10</v>
      </c>
      <c r="J110" s="13"/>
      <c r="K110" t="s">
        <v>11</v>
      </c>
    </row>
    <row r="111" spans="2:11" x14ac:dyDescent="0.25">
      <c r="B111" s="7" t="s">
        <v>12</v>
      </c>
      <c r="C111" s="15">
        <f>Details!N27</f>
        <v>314425.87000000005</v>
      </c>
      <c r="E111" s="7" t="s">
        <v>13</v>
      </c>
      <c r="F111" s="15">
        <f>F110*F109*1000</f>
        <v>0</v>
      </c>
      <c r="I111" s="7" t="s">
        <v>13</v>
      </c>
      <c r="J111" s="14">
        <f t="shared" ref="J111" si="18">J110*J109*1000</f>
        <v>0</v>
      </c>
    </row>
    <row r="112" spans="2:11" x14ac:dyDescent="0.25">
      <c r="B112" s="7" t="s">
        <v>14</v>
      </c>
      <c r="C112" s="17">
        <f t="shared" ref="C112" si="19">+C111*C108</f>
        <v>20829770.609890003</v>
      </c>
      <c r="E112" s="7" t="s">
        <v>14</v>
      </c>
      <c r="F112" s="17">
        <f>+F111*F108*5.8</f>
        <v>0</v>
      </c>
      <c r="I112" s="7" t="s">
        <v>14</v>
      </c>
      <c r="J112" s="17">
        <f>+J111*J108*5.8</f>
        <v>0</v>
      </c>
    </row>
    <row r="113" spans="2:11" x14ac:dyDescent="0.25">
      <c r="B113" s="7" t="s">
        <v>15</v>
      </c>
      <c r="C113" s="19">
        <f t="shared" ref="C113" si="20">-C112*0.2</f>
        <v>-4165954.1219780007</v>
      </c>
      <c r="D113" t="s">
        <v>16</v>
      </c>
      <c r="E113" s="7" t="s">
        <v>17</v>
      </c>
      <c r="F113" s="19">
        <f>-F112*0.07</f>
        <v>0</v>
      </c>
      <c r="G113" t="s">
        <v>18</v>
      </c>
      <c r="I113" s="7" t="s">
        <v>17</v>
      </c>
      <c r="J113" s="19">
        <f>-J112*0.07</f>
        <v>0</v>
      </c>
      <c r="K113" t="s">
        <v>18</v>
      </c>
    </row>
    <row r="114" spans="2:11" x14ac:dyDescent="0.25">
      <c r="B114" s="7" t="s">
        <v>19</v>
      </c>
      <c r="C114" s="18"/>
      <c r="E114" s="7" t="s">
        <v>19</v>
      </c>
      <c r="F114" s="18">
        <v>0</v>
      </c>
      <c r="I114" s="7" t="s">
        <v>19</v>
      </c>
      <c r="J114" s="18">
        <v>0</v>
      </c>
    </row>
    <row r="115" spans="2:11" x14ac:dyDescent="0.25">
      <c r="B115" s="7" t="s">
        <v>20</v>
      </c>
      <c r="C115" s="18"/>
      <c r="E115" s="7" t="s">
        <v>20</v>
      </c>
      <c r="F115" s="18"/>
      <c r="I115" s="7" t="s">
        <v>20</v>
      </c>
      <c r="J115" s="18"/>
    </row>
    <row r="116" spans="2:11" x14ac:dyDescent="0.25">
      <c r="B116" s="7" t="s">
        <v>21</v>
      </c>
      <c r="C116" s="18"/>
      <c r="E116" s="7" t="s">
        <v>21</v>
      </c>
      <c r="F116" s="18"/>
      <c r="I116" s="7" t="s">
        <v>21</v>
      </c>
      <c r="J116" s="18">
        <f>-J110*J109*2706</f>
        <v>0</v>
      </c>
    </row>
    <row r="117" spans="2:11" x14ac:dyDescent="0.25">
      <c r="B117" s="7" t="s">
        <v>22</v>
      </c>
      <c r="C117" s="20">
        <f>+C112+C113+C114+C115+C116</f>
        <v>16663816.487912003</v>
      </c>
      <c r="E117" s="7" t="s">
        <v>22</v>
      </c>
      <c r="F117" s="20">
        <f>+F112+F113+F114+F115+F116</f>
        <v>0</v>
      </c>
      <c r="I117" s="7" t="s">
        <v>22</v>
      </c>
      <c r="J117" s="20">
        <f>+J112+J113+J114+J115+J116</f>
        <v>0</v>
      </c>
    </row>
    <row r="118" spans="2:11" x14ac:dyDescent="0.25">
      <c r="B118" s="7" t="s">
        <v>23</v>
      </c>
      <c r="C118" s="18">
        <f>-C117*0.1275</f>
        <v>-2124636.6022087806</v>
      </c>
      <c r="D118" t="s">
        <v>31</v>
      </c>
      <c r="E118" s="7" t="s">
        <v>24</v>
      </c>
      <c r="F118" s="18">
        <f>-F117*0.3</f>
        <v>0</v>
      </c>
      <c r="I118" s="7" t="s">
        <v>24</v>
      </c>
      <c r="J118" s="18">
        <f>-J117*0.3</f>
        <v>0</v>
      </c>
    </row>
    <row r="119" spans="2:11" x14ac:dyDescent="0.25">
      <c r="B119" s="21"/>
      <c r="C119" s="22"/>
      <c r="E119" s="21"/>
      <c r="F119" s="22"/>
      <c r="I119" s="21"/>
      <c r="J119" s="22"/>
    </row>
    <row r="120" spans="2:11" ht="15.75" thickBot="1" x14ac:dyDescent="0.3">
      <c r="B120" s="23" t="s">
        <v>25</v>
      </c>
      <c r="C120" s="16">
        <f t="shared" ref="C120" si="21">+C117+C118</f>
        <v>14539179.885703223</v>
      </c>
      <c r="E120" s="23" t="s">
        <v>25</v>
      </c>
      <c r="F120" s="16">
        <f t="shared" ref="F120" si="22">+F117+F118</f>
        <v>0</v>
      </c>
      <c r="I120" s="23" t="s">
        <v>25</v>
      </c>
      <c r="J120" s="16">
        <f t="shared" ref="J120" si="23">+J117+J118</f>
        <v>0</v>
      </c>
    </row>
    <row r="121" spans="2:11" ht="15.75" thickTop="1" x14ac:dyDescent="0.25"/>
    <row r="122" spans="2:11" ht="15.75" thickBot="1" x14ac:dyDescent="0.3">
      <c r="B122" t="s">
        <v>26</v>
      </c>
      <c r="C122" s="24">
        <f>C120-C116</f>
        <v>14539179.885703223</v>
      </c>
      <c r="D122" t="s">
        <v>27</v>
      </c>
      <c r="E122" t="s">
        <v>26</v>
      </c>
      <c r="F122" s="24">
        <f>F120-F116</f>
        <v>0</v>
      </c>
      <c r="G122" t="s">
        <v>27</v>
      </c>
      <c r="I122" t="s">
        <v>26</v>
      </c>
      <c r="J122" s="24">
        <f>J120-J116</f>
        <v>0</v>
      </c>
      <c r="K122" t="s">
        <v>27</v>
      </c>
    </row>
    <row r="123" spans="2:11" ht="15.75" thickTop="1" x14ac:dyDescent="0.25"/>
    <row r="124" spans="2:11" x14ac:dyDescent="0.25">
      <c r="B124" s="5" t="s">
        <v>4</v>
      </c>
      <c r="C124" s="6">
        <v>0</v>
      </c>
    </row>
    <row r="125" spans="2:11" x14ac:dyDescent="0.25">
      <c r="B125" s="5" t="s">
        <v>28</v>
      </c>
      <c r="C125" s="6">
        <f>(-0.2*C124*0.1275)</f>
        <v>0</v>
      </c>
    </row>
    <row r="126" spans="2:11" x14ac:dyDescent="0.25">
      <c r="B126" t="s">
        <v>33</v>
      </c>
      <c r="C126" s="25">
        <f>C125+C124+C122</f>
        <v>14539179.885703223</v>
      </c>
    </row>
    <row r="127" spans="2:11" x14ac:dyDescent="0.25">
      <c r="B127" t="s">
        <v>34</v>
      </c>
      <c r="C127" s="26">
        <f>C126*0.3</f>
        <v>4361753.9657109668</v>
      </c>
      <c r="E127" t="s">
        <v>30</v>
      </c>
      <c r="F127" s="26">
        <f>F122*0.3</f>
        <v>0</v>
      </c>
      <c r="I127" t="s">
        <v>29</v>
      </c>
      <c r="J127" s="26">
        <f>J122*0.3</f>
        <v>0</v>
      </c>
    </row>
    <row r="129" spans="2:11" x14ac:dyDescent="0.25">
      <c r="B129" t="s">
        <v>32</v>
      </c>
      <c r="C129" s="4">
        <f>C127+F127+J127</f>
        <v>4361753.9657109668</v>
      </c>
    </row>
    <row r="133" spans="2:11" ht="22.5" customHeight="1" x14ac:dyDescent="0.3">
      <c r="B133" s="34" t="s">
        <v>74</v>
      </c>
      <c r="C133" s="1"/>
      <c r="F133" s="1"/>
      <c r="J133" s="1"/>
    </row>
    <row r="134" spans="2:11" ht="18.75" x14ac:dyDescent="0.3">
      <c r="B134" s="2" t="s">
        <v>0</v>
      </c>
      <c r="C134" s="3">
        <v>2019</v>
      </c>
      <c r="D134" s="4"/>
      <c r="E134" s="2" t="s">
        <v>1</v>
      </c>
      <c r="F134" s="3">
        <v>2019</v>
      </c>
      <c r="I134" s="2" t="s">
        <v>2</v>
      </c>
      <c r="J134" s="3">
        <v>2019</v>
      </c>
    </row>
    <row r="135" spans="2:11" x14ac:dyDescent="0.25">
      <c r="B135" s="5" t="s">
        <v>3</v>
      </c>
      <c r="E135" s="5" t="s">
        <v>3</v>
      </c>
      <c r="G135" s="4"/>
      <c r="I135" s="5" t="s">
        <v>3</v>
      </c>
    </row>
    <row r="136" spans="2:11" x14ac:dyDescent="0.25">
      <c r="B136" s="5" t="s">
        <v>4</v>
      </c>
      <c r="C136" s="6">
        <v>0</v>
      </c>
      <c r="D136">
        <f>680000*0.15*0.3</f>
        <v>30600</v>
      </c>
      <c r="E136" s="5"/>
      <c r="F136" s="6"/>
      <c r="G136" s="4"/>
      <c r="I136" s="5"/>
    </row>
    <row r="137" spans="2:11" x14ac:dyDescent="0.25">
      <c r="B137" s="5" t="s">
        <v>5</v>
      </c>
      <c r="C137" s="6">
        <f>C136*0.2</f>
        <v>0</v>
      </c>
      <c r="E137" s="5"/>
      <c r="F137" s="6"/>
      <c r="G137" s="4"/>
      <c r="I137" s="5"/>
    </row>
    <row r="138" spans="2:11" x14ac:dyDescent="0.25">
      <c r="B138" s="7" t="s">
        <v>6</v>
      </c>
      <c r="C138" s="8">
        <v>66.247</v>
      </c>
      <c r="D138" t="s">
        <v>7</v>
      </c>
      <c r="E138" s="7" t="s">
        <v>8</v>
      </c>
      <c r="F138" s="9">
        <v>1.637</v>
      </c>
      <c r="G138" t="s">
        <v>7</v>
      </c>
      <c r="I138" s="7" t="s">
        <v>8</v>
      </c>
      <c r="J138" s="10">
        <v>2.5299999999999998</v>
      </c>
      <c r="K138" t="s">
        <v>7</v>
      </c>
    </row>
    <row r="139" spans="2:11" x14ac:dyDescent="0.25">
      <c r="B139" s="7" t="s">
        <v>9</v>
      </c>
      <c r="C139" s="11"/>
      <c r="E139" s="7" t="s">
        <v>9</v>
      </c>
      <c r="F139" s="11">
        <v>365</v>
      </c>
      <c r="I139" s="7" t="s">
        <v>9</v>
      </c>
      <c r="J139" s="11">
        <v>365</v>
      </c>
    </row>
    <row r="140" spans="2:11" x14ac:dyDescent="0.25">
      <c r="B140" s="7" t="s">
        <v>10</v>
      </c>
      <c r="C140" s="12"/>
      <c r="D140" t="s">
        <v>11</v>
      </c>
      <c r="E140" s="7" t="s">
        <v>10</v>
      </c>
      <c r="F140" s="13"/>
      <c r="G140" t="s">
        <v>11</v>
      </c>
      <c r="I140" s="7" t="s">
        <v>10</v>
      </c>
      <c r="J140" s="13"/>
      <c r="K140" t="s">
        <v>11</v>
      </c>
    </row>
    <row r="141" spans="2:11" x14ac:dyDescent="0.25">
      <c r="B141" s="7" t="s">
        <v>12</v>
      </c>
      <c r="C141" s="15">
        <f>Details!O27</f>
        <v>144039.29999999999</v>
      </c>
      <c r="E141" s="7" t="s">
        <v>13</v>
      </c>
      <c r="F141" s="15">
        <f>F140*F139*1000</f>
        <v>0</v>
      </c>
      <c r="I141" s="7" t="s">
        <v>13</v>
      </c>
      <c r="J141" s="14">
        <f t="shared" ref="J141" si="24">J140*J139*1000</f>
        <v>0</v>
      </c>
    </row>
    <row r="142" spans="2:11" x14ac:dyDescent="0.25">
      <c r="B142" s="7" t="s">
        <v>14</v>
      </c>
      <c r="C142" s="17">
        <f t="shared" ref="C142" si="25">+C141*C138</f>
        <v>9542171.5070999991</v>
      </c>
      <c r="E142" s="7" t="s">
        <v>14</v>
      </c>
      <c r="F142" s="17">
        <f>+F141*F138*5.8</f>
        <v>0</v>
      </c>
      <c r="I142" s="7" t="s">
        <v>14</v>
      </c>
      <c r="J142" s="17">
        <f>+J141*J138*5.8</f>
        <v>0</v>
      </c>
    </row>
    <row r="143" spans="2:11" x14ac:dyDescent="0.25">
      <c r="B143" s="7" t="s">
        <v>15</v>
      </c>
      <c r="C143" s="19">
        <f t="shared" ref="C143" si="26">-C142*0.2</f>
        <v>-1908434.3014199999</v>
      </c>
      <c r="D143" t="s">
        <v>16</v>
      </c>
      <c r="E143" s="7" t="s">
        <v>17</v>
      </c>
      <c r="F143" s="19">
        <f>-F142*0.07</f>
        <v>0</v>
      </c>
      <c r="G143" t="s">
        <v>18</v>
      </c>
      <c r="I143" s="7" t="s">
        <v>17</v>
      </c>
      <c r="J143" s="19">
        <f>-J142*0.07</f>
        <v>0</v>
      </c>
      <c r="K143" t="s">
        <v>18</v>
      </c>
    </row>
    <row r="144" spans="2:11" x14ac:dyDescent="0.25">
      <c r="B144" s="7" t="s">
        <v>19</v>
      </c>
      <c r="C144" s="18"/>
      <c r="E144" s="7" t="s">
        <v>19</v>
      </c>
      <c r="F144" s="18">
        <v>0</v>
      </c>
      <c r="I144" s="7" t="s">
        <v>19</v>
      </c>
      <c r="J144" s="18">
        <v>0</v>
      </c>
    </row>
    <row r="145" spans="2:11" x14ac:dyDescent="0.25">
      <c r="B145" s="7" t="s">
        <v>20</v>
      </c>
      <c r="C145" s="18"/>
      <c r="E145" s="7" t="s">
        <v>20</v>
      </c>
      <c r="F145" s="18"/>
      <c r="I145" s="7" t="s">
        <v>20</v>
      </c>
      <c r="J145" s="18"/>
    </row>
    <row r="146" spans="2:11" x14ac:dyDescent="0.25">
      <c r="B146" s="7" t="s">
        <v>21</v>
      </c>
      <c r="C146" s="18"/>
      <c r="E146" s="7" t="s">
        <v>21</v>
      </c>
      <c r="F146" s="18"/>
      <c r="I146" s="7" t="s">
        <v>21</v>
      </c>
      <c r="J146" s="18">
        <f>-J140*J139*2706</f>
        <v>0</v>
      </c>
    </row>
    <row r="147" spans="2:11" x14ac:dyDescent="0.25">
      <c r="B147" s="7" t="s">
        <v>22</v>
      </c>
      <c r="C147" s="20">
        <f>+C142+C143+C144+C145+C146</f>
        <v>7633737.2056799997</v>
      </c>
      <c r="E147" s="7" t="s">
        <v>22</v>
      </c>
      <c r="F147" s="20">
        <f>+F142+F143+F144+F145+F146</f>
        <v>0</v>
      </c>
      <c r="I147" s="7" t="s">
        <v>22</v>
      </c>
      <c r="J147" s="20">
        <f>+J142+J143+J144+J145+J146</f>
        <v>0</v>
      </c>
    </row>
    <row r="148" spans="2:11" x14ac:dyDescent="0.25">
      <c r="B148" s="7" t="s">
        <v>23</v>
      </c>
      <c r="C148" s="18">
        <f>-C147*0.1275</f>
        <v>-973301.49372419994</v>
      </c>
      <c r="D148" t="s">
        <v>31</v>
      </c>
      <c r="E148" s="7" t="s">
        <v>24</v>
      </c>
      <c r="F148" s="18">
        <f>-F147*0.3</f>
        <v>0</v>
      </c>
      <c r="I148" s="7" t="s">
        <v>24</v>
      </c>
      <c r="J148" s="18">
        <f>-J147*0.3</f>
        <v>0</v>
      </c>
    </row>
    <row r="149" spans="2:11" x14ac:dyDescent="0.25">
      <c r="B149" s="21"/>
      <c r="C149" s="22"/>
      <c r="E149" s="21"/>
      <c r="F149" s="22"/>
      <c r="I149" s="21"/>
      <c r="J149" s="22"/>
    </row>
    <row r="150" spans="2:11" ht="15.75" thickBot="1" x14ac:dyDescent="0.3">
      <c r="B150" s="23" t="s">
        <v>25</v>
      </c>
      <c r="C150" s="16">
        <f t="shared" ref="C150" si="27">+C147+C148</f>
        <v>6660435.7119557997</v>
      </c>
      <c r="E150" s="23" t="s">
        <v>25</v>
      </c>
      <c r="F150" s="16">
        <f t="shared" ref="F150" si="28">+F147+F148</f>
        <v>0</v>
      </c>
      <c r="I150" s="23" t="s">
        <v>25</v>
      </c>
      <c r="J150" s="16">
        <f t="shared" ref="J150" si="29">+J147+J148</f>
        <v>0</v>
      </c>
    </row>
    <row r="151" spans="2:11" ht="15.75" thickTop="1" x14ac:dyDescent="0.25"/>
    <row r="152" spans="2:11" ht="15.75" thickBot="1" x14ac:dyDescent="0.3">
      <c r="B152" t="s">
        <v>26</v>
      </c>
      <c r="C152" s="24">
        <f>C150-C146</f>
        <v>6660435.7119557997</v>
      </c>
      <c r="D152" t="s">
        <v>27</v>
      </c>
      <c r="E152" t="s">
        <v>26</v>
      </c>
      <c r="F152" s="24">
        <f>F150-F146</f>
        <v>0</v>
      </c>
      <c r="G152" t="s">
        <v>27</v>
      </c>
      <c r="I152" t="s">
        <v>26</v>
      </c>
      <c r="J152" s="24">
        <f>J150-J146</f>
        <v>0</v>
      </c>
      <c r="K152" t="s">
        <v>27</v>
      </c>
    </row>
    <row r="153" spans="2:11" ht="15.75" thickTop="1" x14ac:dyDescent="0.25"/>
    <row r="154" spans="2:11" x14ac:dyDescent="0.25">
      <c r="B154" s="5" t="s">
        <v>4</v>
      </c>
      <c r="C154" s="6">
        <v>0</v>
      </c>
    </row>
    <row r="155" spans="2:11" x14ac:dyDescent="0.25">
      <c r="B155" s="5" t="s">
        <v>28</v>
      </c>
      <c r="C155" s="6">
        <f>(-0.2*C154*0.1275)</f>
        <v>0</v>
      </c>
    </row>
    <row r="156" spans="2:11" x14ac:dyDescent="0.25">
      <c r="B156" t="s">
        <v>33</v>
      </c>
      <c r="C156" s="25">
        <f>C155+C154+C152</f>
        <v>6660435.7119557997</v>
      </c>
    </row>
    <row r="157" spans="2:11" x14ac:dyDescent="0.25">
      <c r="B157" t="s">
        <v>34</v>
      </c>
      <c r="C157" s="26">
        <f>C156*0.3</f>
        <v>1998130.7135867397</v>
      </c>
      <c r="E157" t="s">
        <v>30</v>
      </c>
      <c r="F157" s="26">
        <f>F152*0.3</f>
        <v>0</v>
      </c>
      <c r="I157" t="s">
        <v>29</v>
      </c>
      <c r="J157" s="26">
        <f>J152*0.3</f>
        <v>0</v>
      </c>
    </row>
    <row r="159" spans="2:11" x14ac:dyDescent="0.25">
      <c r="B159" t="s">
        <v>32</v>
      </c>
      <c r="C159" s="4">
        <f>C157+F157+J157</f>
        <v>1998130.7135867397</v>
      </c>
    </row>
    <row r="163" spans="2:11" ht="22.5" customHeight="1" x14ac:dyDescent="0.3">
      <c r="B163" s="34" t="s">
        <v>73</v>
      </c>
      <c r="C163" s="1"/>
      <c r="F163" s="1"/>
      <c r="J163" s="1"/>
    </row>
    <row r="164" spans="2:11" ht="18.75" x14ac:dyDescent="0.3">
      <c r="B164" s="2" t="s">
        <v>0</v>
      </c>
      <c r="C164" s="3">
        <v>2019</v>
      </c>
      <c r="D164" s="4"/>
      <c r="E164" s="2" t="s">
        <v>1</v>
      </c>
      <c r="F164" s="3">
        <v>2019</v>
      </c>
      <c r="I164" s="2" t="s">
        <v>2</v>
      </c>
      <c r="J164" s="3">
        <v>2019</v>
      </c>
    </row>
    <row r="165" spans="2:11" x14ac:dyDescent="0.25">
      <c r="B165" s="5" t="s">
        <v>3</v>
      </c>
      <c r="E165" s="5" t="s">
        <v>3</v>
      </c>
      <c r="G165" s="4"/>
      <c r="I165" s="5" t="s">
        <v>3</v>
      </c>
    </row>
    <row r="166" spans="2:11" x14ac:dyDescent="0.25">
      <c r="B166" s="5" t="s">
        <v>4</v>
      </c>
      <c r="C166" s="6">
        <v>0</v>
      </c>
      <c r="D166">
        <f>680000*0.15*0.3</f>
        <v>30600</v>
      </c>
      <c r="E166" s="5"/>
      <c r="F166" s="6"/>
      <c r="G166" s="4"/>
      <c r="I166" s="5"/>
    </row>
    <row r="167" spans="2:11" x14ac:dyDescent="0.25">
      <c r="B167" s="5" t="s">
        <v>5</v>
      </c>
      <c r="C167" s="6">
        <f>C166*0.2</f>
        <v>0</v>
      </c>
      <c r="E167" s="5"/>
      <c r="F167" s="6"/>
      <c r="G167" s="4"/>
      <c r="I167" s="5"/>
    </row>
    <row r="168" spans="2:11" x14ac:dyDescent="0.25">
      <c r="B168" s="7" t="s">
        <v>6</v>
      </c>
      <c r="C168" s="8">
        <v>66.247</v>
      </c>
      <c r="D168" t="s">
        <v>7</v>
      </c>
      <c r="E168" s="7" t="s">
        <v>8</v>
      </c>
      <c r="F168" s="9">
        <v>1.637</v>
      </c>
      <c r="G168" t="s">
        <v>7</v>
      </c>
      <c r="I168" s="7" t="s">
        <v>8</v>
      </c>
      <c r="J168" s="10">
        <v>2.5299999999999998</v>
      </c>
      <c r="K168" t="s">
        <v>7</v>
      </c>
    </row>
    <row r="169" spans="2:11" x14ac:dyDescent="0.25">
      <c r="B169" s="7" t="s">
        <v>9</v>
      </c>
      <c r="C169" s="11"/>
      <c r="E169" s="7" t="s">
        <v>9</v>
      </c>
      <c r="F169" s="11">
        <v>365</v>
      </c>
      <c r="I169" s="7" t="s">
        <v>9</v>
      </c>
      <c r="J169" s="11">
        <v>365</v>
      </c>
    </row>
    <row r="170" spans="2:11" x14ac:dyDescent="0.25">
      <c r="B170" s="7" t="s">
        <v>10</v>
      </c>
      <c r="C170" s="12"/>
      <c r="D170" t="s">
        <v>11</v>
      </c>
      <c r="E170" s="7" t="s">
        <v>10</v>
      </c>
      <c r="F170" s="13"/>
      <c r="G170" t="s">
        <v>11</v>
      </c>
      <c r="I170" s="7" t="s">
        <v>10</v>
      </c>
      <c r="J170" s="13"/>
      <c r="K170" t="s">
        <v>11</v>
      </c>
    </row>
    <row r="171" spans="2:11" x14ac:dyDescent="0.25">
      <c r="B171" s="7" t="s">
        <v>12</v>
      </c>
      <c r="C171" s="15">
        <f>Details!P27</f>
        <v>148340.89000000001</v>
      </c>
      <c r="E171" s="7" t="s">
        <v>13</v>
      </c>
      <c r="F171" s="15">
        <f>F170*F169*1000</f>
        <v>0</v>
      </c>
      <c r="I171" s="7" t="s">
        <v>13</v>
      </c>
      <c r="J171" s="14">
        <f t="shared" ref="J171" si="30">J170*J169*1000</f>
        <v>0</v>
      </c>
    </row>
    <row r="172" spans="2:11" x14ac:dyDescent="0.25">
      <c r="B172" s="7" t="s">
        <v>14</v>
      </c>
      <c r="C172" s="17">
        <f t="shared" ref="C172" si="31">+C171*C168</f>
        <v>9827138.9398300014</v>
      </c>
      <c r="E172" s="7" t="s">
        <v>14</v>
      </c>
      <c r="F172" s="17">
        <f>+F171*F168*5.8</f>
        <v>0</v>
      </c>
      <c r="I172" s="7" t="s">
        <v>14</v>
      </c>
      <c r="J172" s="17">
        <f>+J171*J168*5.8</f>
        <v>0</v>
      </c>
    </row>
    <row r="173" spans="2:11" x14ac:dyDescent="0.25">
      <c r="B173" s="7" t="s">
        <v>15</v>
      </c>
      <c r="C173" s="19">
        <f t="shared" ref="C173" si="32">-C172*0.2</f>
        <v>-1965427.7879660004</v>
      </c>
      <c r="D173" t="s">
        <v>16</v>
      </c>
      <c r="E173" s="7" t="s">
        <v>17</v>
      </c>
      <c r="F173" s="19">
        <f>-F172*0.07</f>
        <v>0</v>
      </c>
      <c r="G173" t="s">
        <v>18</v>
      </c>
      <c r="I173" s="7" t="s">
        <v>17</v>
      </c>
      <c r="J173" s="19">
        <f>-J172*0.07</f>
        <v>0</v>
      </c>
      <c r="K173" t="s">
        <v>18</v>
      </c>
    </row>
    <row r="174" spans="2:11" x14ac:dyDescent="0.25">
      <c r="B174" s="7" t="s">
        <v>19</v>
      </c>
      <c r="C174" s="18"/>
      <c r="E174" s="7" t="s">
        <v>19</v>
      </c>
      <c r="F174" s="18">
        <v>0</v>
      </c>
      <c r="I174" s="7" t="s">
        <v>19</v>
      </c>
      <c r="J174" s="18">
        <v>0</v>
      </c>
    </row>
    <row r="175" spans="2:11" x14ac:dyDescent="0.25">
      <c r="B175" s="7" t="s">
        <v>20</v>
      </c>
      <c r="C175" s="18"/>
      <c r="E175" s="7" t="s">
        <v>20</v>
      </c>
      <c r="F175" s="18"/>
      <c r="I175" s="7" t="s">
        <v>20</v>
      </c>
      <c r="J175" s="18"/>
    </row>
    <row r="176" spans="2:11" x14ac:dyDescent="0.25">
      <c r="B176" s="7" t="s">
        <v>21</v>
      </c>
      <c r="C176" s="18"/>
      <c r="E176" s="7" t="s">
        <v>21</v>
      </c>
      <c r="F176" s="18"/>
      <c r="I176" s="7" t="s">
        <v>21</v>
      </c>
      <c r="J176" s="18">
        <f>-J170*J169*2706</f>
        <v>0</v>
      </c>
    </row>
    <row r="177" spans="2:11" x14ac:dyDescent="0.25">
      <c r="B177" s="7" t="s">
        <v>22</v>
      </c>
      <c r="C177" s="20">
        <f>+C172+C173+C174+C175+C176</f>
        <v>7861711.1518640015</v>
      </c>
      <c r="E177" s="7" t="s">
        <v>22</v>
      </c>
      <c r="F177" s="20">
        <f>+F172+F173+F174+F175+F176</f>
        <v>0</v>
      </c>
      <c r="I177" s="7" t="s">
        <v>22</v>
      </c>
      <c r="J177" s="20">
        <f>+J172+J173+J174+J175+J176</f>
        <v>0</v>
      </c>
    </row>
    <row r="178" spans="2:11" x14ac:dyDescent="0.25">
      <c r="B178" s="7" t="s">
        <v>23</v>
      </c>
      <c r="C178" s="18">
        <f>-C177*0.1275</f>
        <v>-1002368.1718626602</v>
      </c>
      <c r="D178" t="s">
        <v>31</v>
      </c>
      <c r="E178" s="7" t="s">
        <v>24</v>
      </c>
      <c r="F178" s="18">
        <f>-F177*0.3</f>
        <v>0</v>
      </c>
      <c r="I178" s="7" t="s">
        <v>24</v>
      </c>
      <c r="J178" s="18">
        <f>-J177*0.3</f>
        <v>0</v>
      </c>
    </row>
    <row r="179" spans="2:11" x14ac:dyDescent="0.25">
      <c r="B179" s="21"/>
      <c r="C179" s="22"/>
      <c r="E179" s="21"/>
      <c r="F179" s="22"/>
      <c r="I179" s="21"/>
      <c r="J179" s="22"/>
    </row>
    <row r="180" spans="2:11" ht="15.75" thickBot="1" x14ac:dyDescent="0.3">
      <c r="B180" s="23" t="s">
        <v>25</v>
      </c>
      <c r="C180" s="16">
        <f t="shared" ref="C180" si="33">+C177+C178</f>
        <v>6859342.9800013416</v>
      </c>
      <c r="E180" s="23" t="s">
        <v>25</v>
      </c>
      <c r="F180" s="16">
        <f t="shared" ref="F180" si="34">+F177+F178</f>
        <v>0</v>
      </c>
      <c r="I180" s="23" t="s">
        <v>25</v>
      </c>
      <c r="J180" s="16">
        <f t="shared" ref="J180" si="35">+J177+J178</f>
        <v>0</v>
      </c>
    </row>
    <row r="181" spans="2:11" ht="15.75" thickTop="1" x14ac:dyDescent="0.25"/>
    <row r="182" spans="2:11" ht="15.75" thickBot="1" x14ac:dyDescent="0.3">
      <c r="B182" t="s">
        <v>26</v>
      </c>
      <c r="C182" s="24">
        <f>C180-C176</f>
        <v>6859342.9800013416</v>
      </c>
      <c r="D182" t="s">
        <v>27</v>
      </c>
      <c r="E182" t="s">
        <v>26</v>
      </c>
      <c r="F182" s="24">
        <f>F180-F176</f>
        <v>0</v>
      </c>
      <c r="G182" t="s">
        <v>27</v>
      </c>
      <c r="I182" t="s">
        <v>26</v>
      </c>
      <c r="J182" s="24">
        <f>J180-J176</f>
        <v>0</v>
      </c>
      <c r="K182" t="s">
        <v>27</v>
      </c>
    </row>
    <row r="183" spans="2:11" ht="15.75" thickTop="1" x14ac:dyDescent="0.25"/>
    <row r="184" spans="2:11" x14ac:dyDescent="0.25">
      <c r="B184" s="5" t="s">
        <v>4</v>
      </c>
      <c r="C184" s="6">
        <v>0</v>
      </c>
    </row>
    <row r="185" spans="2:11" x14ac:dyDescent="0.25">
      <c r="B185" s="5" t="s">
        <v>28</v>
      </c>
      <c r="C185" s="6">
        <f>(-0.2*C184*0.1275)</f>
        <v>0</v>
      </c>
    </row>
    <row r="186" spans="2:11" x14ac:dyDescent="0.25">
      <c r="B186" t="s">
        <v>33</v>
      </c>
      <c r="C186" s="25">
        <f>C185+C184+C182</f>
        <v>6859342.9800013416</v>
      </c>
    </row>
    <row r="187" spans="2:11" x14ac:dyDescent="0.25">
      <c r="B187" t="s">
        <v>34</v>
      </c>
      <c r="C187" s="26">
        <f>C186*0.3</f>
        <v>2057802.8940004024</v>
      </c>
      <c r="E187" t="s">
        <v>30</v>
      </c>
      <c r="F187" s="26">
        <f>F182*0.3</f>
        <v>0</v>
      </c>
      <c r="I187" t="s">
        <v>29</v>
      </c>
      <c r="J187" s="26">
        <f>J182*0.3</f>
        <v>0</v>
      </c>
    </row>
    <row r="189" spans="2:11" x14ac:dyDescent="0.25">
      <c r="B189" t="s">
        <v>32</v>
      </c>
      <c r="C189" s="4">
        <f>C187+F187+J187</f>
        <v>2057802.8940004024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E685-B20C-438E-949F-C6458FEBE140}">
  <dimension ref="B1:R50"/>
  <sheetViews>
    <sheetView workbookViewId="0">
      <selection activeCell="Q29" sqref="Q29"/>
    </sheetView>
  </sheetViews>
  <sheetFormatPr defaultRowHeight="15" x14ac:dyDescent="0.25"/>
  <cols>
    <col min="5" max="5" width="9.7109375" bestFit="1" customWidth="1"/>
    <col min="6" max="7" width="10.140625" bestFit="1" customWidth="1"/>
    <col min="8" max="8" width="10.7109375" bestFit="1" customWidth="1"/>
    <col min="9" max="16" width="11.7109375" bestFit="1" customWidth="1"/>
    <col min="17" max="17" width="13.42578125" bestFit="1" customWidth="1"/>
    <col min="18" max="18" width="10.140625" bestFit="1" customWidth="1"/>
  </cols>
  <sheetData>
    <row r="1" spans="2:17" x14ac:dyDescent="0.25">
      <c r="B1" s="5" t="s">
        <v>63</v>
      </c>
      <c r="D1" t="s">
        <v>65</v>
      </c>
      <c r="E1" s="41">
        <v>31</v>
      </c>
      <c r="F1" s="41">
        <v>28</v>
      </c>
      <c r="G1" s="41">
        <v>31</v>
      </c>
      <c r="H1" s="41">
        <v>30</v>
      </c>
      <c r="I1" s="41">
        <v>31</v>
      </c>
      <c r="J1" s="41">
        <v>30</v>
      </c>
      <c r="K1" s="41">
        <v>31</v>
      </c>
      <c r="L1" s="41">
        <v>31</v>
      </c>
      <c r="M1" s="41">
        <v>30</v>
      </c>
      <c r="N1" s="41">
        <v>31</v>
      </c>
      <c r="O1" s="41">
        <v>30</v>
      </c>
      <c r="P1" s="41">
        <v>31</v>
      </c>
    </row>
    <row r="2" spans="2:17" x14ac:dyDescent="0.25">
      <c r="E2" s="36">
        <v>43466</v>
      </c>
      <c r="F2" s="36">
        <v>43497</v>
      </c>
      <c r="G2" s="36">
        <v>43525</v>
      </c>
      <c r="H2" s="36">
        <v>43556</v>
      </c>
      <c r="I2" s="36">
        <v>43586</v>
      </c>
      <c r="J2" s="36">
        <v>43617</v>
      </c>
      <c r="K2" s="36">
        <v>43647</v>
      </c>
      <c r="L2" s="36">
        <v>43678</v>
      </c>
      <c r="M2" s="36">
        <v>43709</v>
      </c>
      <c r="N2" s="36">
        <v>43739</v>
      </c>
      <c r="O2" s="36">
        <v>43770</v>
      </c>
      <c r="P2" s="36">
        <v>43800</v>
      </c>
    </row>
    <row r="3" spans="2:17" x14ac:dyDescent="0.25">
      <c r="C3" s="35" t="s">
        <v>45</v>
      </c>
      <c r="E3" s="37">
        <v>471.86</v>
      </c>
      <c r="F3" s="37">
        <v>474.09000000000003</v>
      </c>
      <c r="G3" s="37">
        <v>631.58999999999992</v>
      </c>
      <c r="H3" s="37">
        <v>947.77</v>
      </c>
      <c r="I3" s="37">
        <v>1421.6599999999999</v>
      </c>
      <c r="J3" s="37">
        <v>1421.6599999999999</v>
      </c>
      <c r="K3" s="37">
        <v>1896.3899999999999</v>
      </c>
      <c r="L3" s="37">
        <v>1896.29</v>
      </c>
      <c r="M3" s="37">
        <v>1895.54</v>
      </c>
      <c r="N3" s="37">
        <v>1397.79</v>
      </c>
      <c r="O3" s="37">
        <v>1896.3899999999999</v>
      </c>
      <c r="P3" s="37">
        <v>1895.6799999999998</v>
      </c>
    </row>
    <row r="4" spans="2:17" x14ac:dyDescent="0.25">
      <c r="C4" s="35" t="s">
        <v>46</v>
      </c>
      <c r="E4" s="37">
        <v>405.79</v>
      </c>
      <c r="F4" s="37">
        <v>407.71000000000004</v>
      </c>
      <c r="G4" s="37">
        <v>543.16000000000008</v>
      </c>
      <c r="H4" s="37">
        <v>815.07999999999993</v>
      </c>
      <c r="I4" s="37">
        <v>1222.6199999999999</v>
      </c>
      <c r="J4" s="37">
        <v>1222.6199999999999</v>
      </c>
      <c r="K4" s="37">
        <v>1630.85</v>
      </c>
      <c r="L4" s="37">
        <v>1630.85</v>
      </c>
      <c r="M4" s="37">
        <v>1630.17</v>
      </c>
      <c r="N4" s="37">
        <v>1202.0999999999999</v>
      </c>
      <c r="O4" s="37">
        <v>1630.85</v>
      </c>
      <c r="P4" s="37">
        <v>1630.24</v>
      </c>
    </row>
    <row r="5" spans="2:17" x14ac:dyDescent="0.25">
      <c r="C5" s="35" t="s">
        <v>47</v>
      </c>
      <c r="E5" s="37">
        <v>679.47</v>
      </c>
      <c r="F5" s="37">
        <v>682.68</v>
      </c>
      <c r="G5" s="37">
        <v>909.49</v>
      </c>
      <c r="H5" s="37">
        <v>1364.8</v>
      </c>
      <c r="I5" s="37">
        <v>2047.2</v>
      </c>
      <c r="J5" s="37">
        <v>2047.2</v>
      </c>
      <c r="K5" s="37">
        <v>2730.7</v>
      </c>
      <c r="L5" s="37">
        <v>2730.7</v>
      </c>
      <c r="M5" s="37">
        <v>2729.6</v>
      </c>
      <c r="N5" s="37">
        <v>2012.8</v>
      </c>
      <c r="O5" s="37">
        <v>2730.7</v>
      </c>
      <c r="P5" s="37">
        <v>2729.7</v>
      </c>
    </row>
    <row r="6" spans="2:17" x14ac:dyDescent="0.25">
      <c r="C6" s="35" t="s">
        <v>49</v>
      </c>
      <c r="E6" s="37">
        <v>339.74</v>
      </c>
      <c r="F6" s="37">
        <v>341.34</v>
      </c>
      <c r="G6" s="37">
        <v>454.74</v>
      </c>
      <c r="H6" s="37">
        <v>682.39</v>
      </c>
      <c r="I6" s="37">
        <v>1023.6</v>
      </c>
      <c r="J6" s="37">
        <v>1023.6</v>
      </c>
      <c r="K6" s="37">
        <v>1365.4</v>
      </c>
      <c r="L6" s="37">
        <v>1365.4</v>
      </c>
      <c r="M6" s="37">
        <v>1364.8</v>
      </c>
      <c r="N6" s="37">
        <v>1006.4</v>
      </c>
      <c r="O6" s="37">
        <v>1365.4</v>
      </c>
      <c r="P6" s="37">
        <v>1364.9</v>
      </c>
    </row>
    <row r="7" spans="2:17" x14ac:dyDescent="0.25">
      <c r="C7" s="35" t="s">
        <v>50</v>
      </c>
      <c r="E7" s="37">
        <v>339.74</v>
      </c>
      <c r="F7" s="37">
        <v>341.34</v>
      </c>
      <c r="G7" s="37">
        <v>454.74</v>
      </c>
      <c r="H7" s="37">
        <v>682.39</v>
      </c>
      <c r="I7" s="37">
        <v>1023.6</v>
      </c>
      <c r="J7" s="37">
        <v>1023.6</v>
      </c>
      <c r="K7" s="37">
        <v>1365.4</v>
      </c>
      <c r="L7" s="37">
        <v>1365.4</v>
      </c>
      <c r="M7" s="37">
        <v>1364.8</v>
      </c>
      <c r="N7" s="37">
        <v>1006.4</v>
      </c>
      <c r="O7" s="37">
        <v>1365.4</v>
      </c>
      <c r="P7" s="37">
        <v>1364.9</v>
      </c>
    </row>
    <row r="8" spans="2:17" x14ac:dyDescent="0.25">
      <c r="C8" s="35" t="s">
        <v>51</v>
      </c>
      <c r="E8" s="37">
        <v>345.4</v>
      </c>
      <c r="F8" s="37">
        <v>347.03</v>
      </c>
      <c r="G8" s="37">
        <v>462.32</v>
      </c>
      <c r="H8" s="37">
        <v>693.77</v>
      </c>
      <c r="I8" s="37">
        <v>1040.7</v>
      </c>
      <c r="J8" s="37">
        <v>1040.7</v>
      </c>
      <c r="K8" s="37">
        <v>1388.1</v>
      </c>
      <c r="L8" s="37">
        <v>1388.1</v>
      </c>
      <c r="M8" s="37">
        <v>1387.5</v>
      </c>
      <c r="N8" s="37">
        <v>1023.2</v>
      </c>
      <c r="O8" s="37">
        <v>1388.1</v>
      </c>
      <c r="P8" s="37">
        <v>1387.6</v>
      </c>
    </row>
    <row r="9" spans="2:17" x14ac:dyDescent="0.25">
      <c r="C9" s="35" t="s">
        <v>55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2.8003999999999998</v>
      </c>
      <c r="M9" s="37">
        <v>255.9</v>
      </c>
      <c r="N9" s="37">
        <v>191.53</v>
      </c>
      <c r="O9" s="37">
        <v>512.01</v>
      </c>
      <c r="P9" s="37">
        <v>514.69000000000005</v>
      </c>
    </row>
    <row r="10" spans="2:17" x14ac:dyDescent="0.25">
      <c r="C10" s="35" t="s">
        <v>56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5.3933999999999997</v>
      </c>
      <c r="M10" s="37">
        <v>492.84</v>
      </c>
      <c r="N10" s="37">
        <v>368.87</v>
      </c>
      <c r="O10" s="37">
        <v>986.1</v>
      </c>
      <c r="P10" s="37">
        <v>991.25</v>
      </c>
    </row>
    <row r="11" spans="2:17" x14ac:dyDescent="0.25">
      <c r="C11" s="35" t="s">
        <v>57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4.6673999999999998</v>
      </c>
      <c r="M11" s="37">
        <v>426.5</v>
      </c>
      <c r="N11" s="37">
        <v>319.22000000000003</v>
      </c>
      <c r="O11" s="37">
        <v>853.35</v>
      </c>
      <c r="P11" s="37">
        <v>857.81</v>
      </c>
    </row>
    <row r="12" spans="2:17" x14ac:dyDescent="0.25">
      <c r="C12" s="35" t="s">
        <v>58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4.5636999999999999</v>
      </c>
      <c r="M12" s="37">
        <v>417.01</v>
      </c>
      <c r="N12" s="37">
        <v>312.12</v>
      </c>
      <c r="O12" s="37">
        <v>834.39</v>
      </c>
      <c r="P12" s="37">
        <v>838.75</v>
      </c>
    </row>
    <row r="13" spans="2:17" x14ac:dyDescent="0.25">
      <c r="C13" s="35" t="s">
        <v>53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3.0967000000000002</v>
      </c>
      <c r="M13" s="37">
        <v>282.97000000000003</v>
      </c>
      <c r="N13" s="37">
        <v>286.22000000000003</v>
      </c>
      <c r="O13" s="37">
        <v>566.18000000000006</v>
      </c>
      <c r="P13" s="37">
        <v>569.38</v>
      </c>
    </row>
    <row r="14" spans="2:17" x14ac:dyDescent="0.25">
      <c r="C14" s="35" t="s">
        <v>41</v>
      </c>
      <c r="E14" s="37">
        <v>0</v>
      </c>
      <c r="F14" s="37">
        <v>0</v>
      </c>
      <c r="G14" s="37">
        <v>0</v>
      </c>
      <c r="H14" s="37">
        <v>0</v>
      </c>
      <c r="I14" s="37">
        <v>343.45</v>
      </c>
      <c r="J14" s="37">
        <v>343.45</v>
      </c>
      <c r="K14" s="37">
        <v>687.2</v>
      </c>
      <c r="L14" s="37">
        <v>689.56</v>
      </c>
      <c r="M14" s="37">
        <v>929.28</v>
      </c>
      <c r="N14" s="37">
        <v>1034.58</v>
      </c>
      <c r="O14" s="37">
        <v>1373.82</v>
      </c>
      <c r="P14" s="37">
        <v>1373.91</v>
      </c>
    </row>
    <row r="15" spans="2:17" x14ac:dyDescent="0.25">
      <c r="C15" s="35" t="s">
        <v>66</v>
      </c>
      <c r="E15" s="4">
        <f>SUM(E3:E14)</f>
        <v>2582.0000000000005</v>
      </c>
      <c r="F15" s="4">
        <f>SUM(F3:F14)</f>
        <v>2594.1899999999996</v>
      </c>
      <c r="G15" s="4">
        <f>SUM(G3:G14)</f>
        <v>3456.0399999999995</v>
      </c>
      <c r="H15" s="4">
        <f>SUM(H3:H14)</f>
        <v>5186.1999999999989</v>
      </c>
      <c r="I15" s="4">
        <f>SUM(I3:I14)</f>
        <v>8122.83</v>
      </c>
      <c r="J15" s="4">
        <f>SUM(J3:J14)</f>
        <v>8122.83</v>
      </c>
      <c r="K15" s="4">
        <f>SUM(K3:K14)</f>
        <v>11064.04</v>
      </c>
      <c r="L15" s="4">
        <f>SUM(L3:L14)</f>
        <v>11086.821600000001</v>
      </c>
      <c r="M15" s="4">
        <f>SUM(M3:M14)</f>
        <v>13176.91</v>
      </c>
      <c r="N15" s="4">
        <f>SUM(N3:N14)</f>
        <v>10161.229999999998</v>
      </c>
      <c r="O15" s="4">
        <f>SUM(O3:O14)</f>
        <v>15502.69</v>
      </c>
      <c r="P15" s="4">
        <f>SUM(P3:P14)</f>
        <v>15518.81</v>
      </c>
    </row>
    <row r="16" spans="2:17" s="39" customFormat="1" x14ac:dyDescent="0.25">
      <c r="C16" s="39" t="s">
        <v>67</v>
      </c>
      <c r="E16" s="39">
        <f>E1*E15</f>
        <v>80042.000000000015</v>
      </c>
      <c r="F16" s="39">
        <f>F1*F15</f>
        <v>72637.319999999992</v>
      </c>
      <c r="G16" s="39">
        <f>G1*G15</f>
        <v>107137.23999999999</v>
      </c>
      <c r="H16" s="39">
        <f>H1*H15</f>
        <v>155585.99999999997</v>
      </c>
      <c r="I16" s="39">
        <f>I1*I15</f>
        <v>251807.73</v>
      </c>
      <c r="J16" s="39">
        <f>J1*J15</f>
        <v>243684.9</v>
      </c>
      <c r="K16" s="39">
        <f>K1*K15</f>
        <v>342985.24000000005</v>
      </c>
      <c r="L16" s="39">
        <f>L1*L15</f>
        <v>343691.46960000001</v>
      </c>
      <c r="M16" s="39">
        <f>M1*M15</f>
        <v>395307.3</v>
      </c>
      <c r="N16" s="39">
        <f>N1*N15</f>
        <v>314998.12999999995</v>
      </c>
      <c r="O16" s="39">
        <f>O1*O15</f>
        <v>465080.7</v>
      </c>
      <c r="P16" s="39">
        <f>P1*P15</f>
        <v>481083.11</v>
      </c>
      <c r="Q16" s="39">
        <f>SUM(E16:P16)</f>
        <v>3254041.1395999999</v>
      </c>
    </row>
    <row r="17" spans="2:18" x14ac:dyDescent="0.25">
      <c r="C17" s="35" t="s">
        <v>68</v>
      </c>
      <c r="E17" s="39">
        <f>E16</f>
        <v>80042.000000000015</v>
      </c>
      <c r="F17" s="39">
        <f>E17+F16</f>
        <v>152679.32</v>
      </c>
      <c r="G17" s="39">
        <f t="shared" ref="G17:P17" si="0">F17+G16</f>
        <v>259816.56</v>
      </c>
      <c r="H17" s="39">
        <f t="shared" si="0"/>
        <v>415402.55999999994</v>
      </c>
      <c r="I17" s="39">
        <f t="shared" si="0"/>
        <v>667210.28999999992</v>
      </c>
      <c r="J17" s="39">
        <f t="shared" si="0"/>
        <v>910895.19</v>
      </c>
      <c r="K17" s="39">
        <f t="shared" si="0"/>
        <v>1253880.43</v>
      </c>
      <c r="L17" s="39">
        <f t="shared" si="0"/>
        <v>1597571.8995999999</v>
      </c>
      <c r="M17" s="39">
        <f t="shared" si="0"/>
        <v>1992879.1995999999</v>
      </c>
      <c r="N17" s="39">
        <f t="shared" si="0"/>
        <v>2307877.3295999998</v>
      </c>
      <c r="O17" s="39">
        <f t="shared" si="0"/>
        <v>2772958.0296</v>
      </c>
      <c r="P17" s="39">
        <f t="shared" si="0"/>
        <v>3254041.1395999999</v>
      </c>
    </row>
    <row r="18" spans="2:18" x14ac:dyDescent="0.25"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2:18" x14ac:dyDescent="0.25"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2:18" x14ac:dyDescent="0.25"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2:18" x14ac:dyDescent="0.25"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2:18" x14ac:dyDescent="0.25"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2:18" x14ac:dyDescent="0.25">
      <c r="B23" s="5" t="s">
        <v>64</v>
      </c>
    </row>
    <row r="24" spans="2:18" s="39" customFormat="1" ht="15.75" thickBot="1" x14ac:dyDescent="0.3">
      <c r="C24" s="35" t="s">
        <v>66</v>
      </c>
      <c r="H24" s="39">
        <v>1440</v>
      </c>
      <c r="I24" s="39">
        <v>12384</v>
      </c>
      <c r="J24" s="39">
        <v>13584</v>
      </c>
      <c r="K24" s="39">
        <v>13584</v>
      </c>
      <c r="L24" s="39">
        <v>13584</v>
      </c>
      <c r="M24" s="39">
        <v>20304</v>
      </c>
      <c r="N24" s="39">
        <v>20304</v>
      </c>
      <c r="O24" s="39">
        <v>20304</v>
      </c>
      <c r="P24" s="39">
        <v>20304</v>
      </c>
    </row>
    <row r="25" spans="2:18" s="39" customFormat="1" ht="15.75" thickBot="1" x14ac:dyDescent="0.3">
      <c r="C25" s="39" t="s">
        <v>67</v>
      </c>
      <c r="E25" s="40"/>
      <c r="H25" s="39">
        <f>H1*H24</f>
        <v>43200</v>
      </c>
      <c r="I25" s="39">
        <f>I1*I24</f>
        <v>383904</v>
      </c>
      <c r="J25" s="39">
        <f>J1*J24</f>
        <v>407520</v>
      </c>
      <c r="K25" s="39">
        <f>K1*K24</f>
        <v>421104</v>
      </c>
      <c r="L25" s="39">
        <f>L1*L24</f>
        <v>421104</v>
      </c>
      <c r="M25" s="39">
        <f>M1*M24</f>
        <v>609120</v>
      </c>
      <c r="N25" s="39">
        <f>N1*N24</f>
        <v>629424</v>
      </c>
      <c r="O25" s="39">
        <f>O1*O24</f>
        <v>609120</v>
      </c>
      <c r="P25" s="39">
        <f>P1*P24</f>
        <v>629424</v>
      </c>
      <c r="Q25" s="39">
        <f>SUM(H25:P25)</f>
        <v>4153920</v>
      </c>
      <c r="R25" s="39">
        <f>Q25-Q16</f>
        <v>899878.86040000012</v>
      </c>
    </row>
    <row r="26" spans="2:18" ht="15.75" thickBot="1" x14ac:dyDescent="0.3">
      <c r="C26" s="35" t="s">
        <v>68</v>
      </c>
      <c r="E26" s="38"/>
      <c r="H26" s="39">
        <f>H25</f>
        <v>43200</v>
      </c>
      <c r="I26" s="39">
        <f>H26+I25</f>
        <v>427104</v>
      </c>
      <c r="J26" s="39">
        <f t="shared" ref="J26:P26" si="1">I26+J25</f>
        <v>834624</v>
      </c>
      <c r="K26" s="39">
        <f t="shared" si="1"/>
        <v>1255728</v>
      </c>
      <c r="L26" s="39">
        <f t="shared" si="1"/>
        <v>1676832</v>
      </c>
      <c r="M26" s="39">
        <f t="shared" si="1"/>
        <v>2285952</v>
      </c>
      <c r="N26" s="39">
        <f t="shared" si="1"/>
        <v>2915376</v>
      </c>
      <c r="O26" s="39">
        <f t="shared" si="1"/>
        <v>3524496</v>
      </c>
      <c r="P26" s="39">
        <f t="shared" si="1"/>
        <v>4153920</v>
      </c>
    </row>
    <row r="27" spans="2:18" ht="15.75" thickBot="1" x14ac:dyDescent="0.3">
      <c r="C27" t="s">
        <v>69</v>
      </c>
      <c r="E27" s="38"/>
      <c r="K27" s="39">
        <f>K26-K17</f>
        <v>1847.5700000000652</v>
      </c>
      <c r="L27" s="39">
        <f>L25-L16</f>
        <v>77412.530399999989</v>
      </c>
      <c r="M27" s="39">
        <f t="shared" ref="M27:P27" si="2">M25-M16</f>
        <v>213812.7</v>
      </c>
      <c r="N27" s="39">
        <f t="shared" si="2"/>
        <v>314425.87000000005</v>
      </c>
      <c r="O27" s="39">
        <f t="shared" si="2"/>
        <v>144039.29999999999</v>
      </c>
      <c r="P27" s="39">
        <f t="shared" si="2"/>
        <v>148340.89000000001</v>
      </c>
      <c r="Q27" s="39">
        <f>SUM(K27:P27)</f>
        <v>899878.86040000024</v>
      </c>
    </row>
    <row r="28" spans="2:18" ht="15.75" thickBot="1" x14ac:dyDescent="0.3">
      <c r="E28" s="38"/>
      <c r="K28" s="39">
        <f>K27/K1</f>
        <v>59.599032258066622</v>
      </c>
      <c r="L28" s="39">
        <f t="shared" ref="L28:P28" si="3">L27/L1</f>
        <v>2497.1783999999998</v>
      </c>
      <c r="M28" s="39">
        <f t="shared" si="3"/>
        <v>7127.09</v>
      </c>
      <c r="N28" s="39">
        <f t="shared" si="3"/>
        <v>10142.770000000002</v>
      </c>
      <c r="O28" s="39">
        <f t="shared" si="3"/>
        <v>4801.3099999999995</v>
      </c>
      <c r="P28" s="39">
        <f t="shared" si="3"/>
        <v>4785.1900000000005</v>
      </c>
      <c r="Q28" s="42">
        <f>SUM(K1:P1)</f>
        <v>184</v>
      </c>
    </row>
    <row r="29" spans="2:18" ht="15.75" thickBot="1" x14ac:dyDescent="0.3">
      <c r="E29" s="38"/>
      <c r="K29" s="39">
        <f>K28/1000</f>
        <v>5.959903225806662E-2</v>
      </c>
      <c r="L29" s="39">
        <f t="shared" ref="L29:P29" si="4">L28/1000</f>
        <v>2.4971783999999997</v>
      </c>
      <c r="M29" s="39">
        <f t="shared" si="4"/>
        <v>7.1270899999999999</v>
      </c>
      <c r="N29" s="39">
        <f t="shared" si="4"/>
        <v>10.142770000000002</v>
      </c>
      <c r="O29" s="39">
        <f t="shared" si="4"/>
        <v>4.8013099999999991</v>
      </c>
      <c r="P29" s="39">
        <f t="shared" si="4"/>
        <v>4.7851900000000009</v>
      </c>
      <c r="Q29" s="39">
        <f>Q27/Q28</f>
        <v>4890.6459804347842</v>
      </c>
    </row>
    <row r="30" spans="2:18" x14ac:dyDescent="0.25">
      <c r="H30" s="6"/>
    </row>
    <row r="31" spans="2:18" ht="15.75" thickBot="1" x14ac:dyDescent="0.3">
      <c r="H31" s="6" t="s">
        <v>60</v>
      </c>
      <c r="I31" t="s">
        <v>59</v>
      </c>
      <c r="J31" t="s">
        <v>61</v>
      </c>
    </row>
    <row r="32" spans="2:18" ht="15.75" thickBot="1" x14ac:dyDescent="0.3">
      <c r="C32" s="27" t="s">
        <v>35</v>
      </c>
      <c r="D32" s="28" t="s">
        <v>36</v>
      </c>
      <c r="E32" s="28" t="s">
        <v>37</v>
      </c>
      <c r="F32" s="28" t="s">
        <v>38</v>
      </c>
      <c r="G32" s="28" t="s">
        <v>39</v>
      </c>
      <c r="H32" s="6"/>
      <c r="J32" s="6"/>
    </row>
    <row r="33" spans="3:12" ht="15.75" thickBot="1" x14ac:dyDescent="0.3">
      <c r="C33" s="29" t="s">
        <v>40</v>
      </c>
      <c r="D33" s="30" t="s">
        <v>41</v>
      </c>
      <c r="E33" s="30" t="s">
        <v>42</v>
      </c>
      <c r="F33" s="31">
        <v>43554</v>
      </c>
      <c r="G33" s="32">
        <v>960</v>
      </c>
      <c r="H33" s="6"/>
      <c r="J33" s="6"/>
    </row>
    <row r="34" spans="3:12" ht="15.75" thickBot="1" x14ac:dyDescent="0.3">
      <c r="C34" s="29" t="s">
        <v>40</v>
      </c>
      <c r="D34" s="30" t="s">
        <v>41</v>
      </c>
      <c r="E34" s="30" t="s">
        <v>43</v>
      </c>
      <c r="F34" s="31">
        <v>43554</v>
      </c>
      <c r="G34" s="32">
        <v>480</v>
      </c>
      <c r="H34" s="6">
        <f>SUM(G33:G34)</f>
        <v>1440</v>
      </c>
      <c r="I34" s="33">
        <v>43554</v>
      </c>
      <c r="J34" s="6">
        <f>H34</f>
        <v>1440</v>
      </c>
      <c r="K34" s="6">
        <f>H34*31</f>
        <v>44640</v>
      </c>
    </row>
    <row r="35" spans="3:12" ht="15.75" thickBot="1" x14ac:dyDescent="0.3">
      <c r="C35" s="29" t="s">
        <v>44</v>
      </c>
      <c r="D35" s="30" t="s">
        <v>45</v>
      </c>
      <c r="E35" s="30" t="s">
        <v>42</v>
      </c>
      <c r="F35" s="31">
        <v>43585</v>
      </c>
      <c r="G35" s="32">
        <v>1120</v>
      </c>
      <c r="H35" s="6"/>
      <c r="J35" s="6"/>
    </row>
    <row r="36" spans="3:12" ht="15.75" thickBot="1" x14ac:dyDescent="0.3">
      <c r="C36" s="29" t="s">
        <v>44</v>
      </c>
      <c r="D36" s="30" t="s">
        <v>45</v>
      </c>
      <c r="E36" s="30" t="s">
        <v>43</v>
      </c>
      <c r="F36" s="31">
        <v>43585</v>
      </c>
      <c r="G36" s="32">
        <v>880</v>
      </c>
      <c r="H36" s="6"/>
      <c r="J36" s="6"/>
    </row>
    <row r="37" spans="3:12" ht="15.75" thickBot="1" x14ac:dyDescent="0.3">
      <c r="C37" s="29" t="s">
        <v>44</v>
      </c>
      <c r="D37" s="30" t="s">
        <v>46</v>
      </c>
      <c r="E37" s="30" t="s">
        <v>42</v>
      </c>
      <c r="F37" s="31">
        <v>43585</v>
      </c>
      <c r="G37" s="32">
        <v>760</v>
      </c>
      <c r="H37" s="6"/>
      <c r="J37" s="6"/>
    </row>
    <row r="38" spans="3:12" ht="15.75" thickBot="1" x14ac:dyDescent="0.3">
      <c r="C38" s="29" t="s">
        <v>44</v>
      </c>
      <c r="D38" s="30" t="s">
        <v>46</v>
      </c>
      <c r="E38" s="30" t="s">
        <v>43</v>
      </c>
      <c r="F38" s="31">
        <v>43585</v>
      </c>
      <c r="G38" s="32">
        <v>960</v>
      </c>
      <c r="H38" s="6"/>
      <c r="J38" s="6"/>
    </row>
    <row r="39" spans="3:12" ht="15.75" thickBot="1" x14ac:dyDescent="0.3">
      <c r="C39" s="29" t="s">
        <v>44</v>
      </c>
      <c r="D39" s="30" t="s">
        <v>47</v>
      </c>
      <c r="E39" s="30" t="s">
        <v>48</v>
      </c>
      <c r="F39" s="31">
        <v>43585</v>
      </c>
      <c r="G39" s="32">
        <v>2880</v>
      </c>
      <c r="H39" s="6"/>
      <c r="J39" s="6"/>
    </row>
    <row r="40" spans="3:12" ht="15.75" thickBot="1" x14ac:dyDescent="0.3">
      <c r="C40" s="29" t="s">
        <v>44</v>
      </c>
      <c r="D40" s="30" t="s">
        <v>49</v>
      </c>
      <c r="E40" s="30" t="s">
        <v>48</v>
      </c>
      <c r="F40" s="31">
        <v>43585</v>
      </c>
      <c r="G40" s="32">
        <v>1440</v>
      </c>
      <c r="H40" s="6"/>
      <c r="J40" s="6"/>
    </row>
    <row r="41" spans="3:12" ht="15.75" thickBot="1" x14ac:dyDescent="0.3">
      <c r="C41" s="29" t="s">
        <v>44</v>
      </c>
      <c r="D41" s="30" t="s">
        <v>50</v>
      </c>
      <c r="E41" s="30" t="s">
        <v>48</v>
      </c>
      <c r="F41" s="31">
        <v>43585</v>
      </c>
      <c r="G41" s="32">
        <v>1440</v>
      </c>
      <c r="H41" s="6"/>
      <c r="J41" s="6"/>
    </row>
    <row r="42" spans="3:12" ht="15.75" thickBot="1" x14ac:dyDescent="0.3">
      <c r="C42" s="29" t="s">
        <v>44</v>
      </c>
      <c r="D42" s="30" t="s">
        <v>51</v>
      </c>
      <c r="E42" s="30" t="s">
        <v>48</v>
      </c>
      <c r="F42" s="31">
        <v>43585</v>
      </c>
      <c r="G42" s="32">
        <v>1464</v>
      </c>
      <c r="H42" s="6">
        <f>SUM(G35:G42)</f>
        <v>10944</v>
      </c>
      <c r="I42" s="33">
        <v>43585</v>
      </c>
      <c r="J42" s="6">
        <f>H42+H34</f>
        <v>12384</v>
      </c>
      <c r="K42" s="6">
        <f>J42*30</f>
        <v>371520</v>
      </c>
    </row>
    <row r="43" spans="3:12" ht="15.75" thickBot="1" x14ac:dyDescent="0.3">
      <c r="C43" s="29" t="s">
        <v>52</v>
      </c>
      <c r="D43" s="30" t="s">
        <v>53</v>
      </c>
      <c r="E43" s="30" t="s">
        <v>42</v>
      </c>
      <c r="F43" s="31">
        <v>43615</v>
      </c>
      <c r="G43" s="32">
        <v>640</v>
      </c>
      <c r="H43" s="6"/>
      <c r="K43" s="6"/>
    </row>
    <row r="44" spans="3:12" ht="15.75" thickBot="1" x14ac:dyDescent="0.3">
      <c r="C44" s="29" t="s">
        <v>52</v>
      </c>
      <c r="D44" s="30" t="s">
        <v>53</v>
      </c>
      <c r="E44" s="30" t="s">
        <v>43</v>
      </c>
      <c r="F44" s="31">
        <v>43615</v>
      </c>
      <c r="G44" s="32">
        <v>560</v>
      </c>
      <c r="H44" s="6">
        <f>SUM(G43:G44)</f>
        <v>1200</v>
      </c>
      <c r="I44" s="33">
        <v>43615</v>
      </c>
      <c r="J44" s="6">
        <f>J42+H44</f>
        <v>13584</v>
      </c>
      <c r="K44" s="6">
        <f>J44*32</f>
        <v>434688</v>
      </c>
    </row>
    <row r="45" spans="3:12" ht="15.75" thickBot="1" x14ac:dyDescent="0.3">
      <c r="C45" s="29" t="s">
        <v>54</v>
      </c>
      <c r="D45" s="30" t="s">
        <v>55</v>
      </c>
      <c r="E45" s="30" t="s">
        <v>48</v>
      </c>
      <c r="F45" s="31">
        <v>43738</v>
      </c>
      <c r="G45" s="32">
        <v>1080</v>
      </c>
      <c r="H45" s="6"/>
      <c r="K45" s="6">
        <f>SUM(K34:K44)</f>
        <v>850848</v>
      </c>
      <c r="L45" t="s">
        <v>62</v>
      </c>
    </row>
    <row r="46" spans="3:12" ht="15.75" thickBot="1" x14ac:dyDescent="0.3">
      <c r="C46" s="29" t="s">
        <v>54</v>
      </c>
      <c r="D46" s="30" t="s">
        <v>56</v>
      </c>
      <c r="E46" s="30" t="s">
        <v>48</v>
      </c>
      <c r="F46" s="31">
        <v>43738</v>
      </c>
      <c r="G46" s="32">
        <v>2080</v>
      </c>
      <c r="H46" s="6"/>
      <c r="J46" s="6"/>
    </row>
    <row r="47" spans="3:12" ht="15.75" thickBot="1" x14ac:dyDescent="0.3">
      <c r="C47" s="29" t="s">
        <v>54</v>
      </c>
      <c r="D47" s="30" t="s">
        <v>57</v>
      </c>
      <c r="E47" s="30" t="s">
        <v>48</v>
      </c>
      <c r="F47" s="31">
        <v>43738</v>
      </c>
      <c r="G47" s="32">
        <v>1800</v>
      </c>
      <c r="H47" s="6"/>
      <c r="J47" s="6"/>
    </row>
    <row r="48" spans="3:12" ht="15.75" thickBot="1" x14ac:dyDescent="0.3">
      <c r="C48" s="29" t="s">
        <v>54</v>
      </c>
      <c r="D48" s="30" t="s">
        <v>58</v>
      </c>
      <c r="E48" s="30" t="s">
        <v>42</v>
      </c>
      <c r="F48" s="31">
        <v>43738</v>
      </c>
      <c r="G48" s="32">
        <v>800</v>
      </c>
      <c r="H48" s="6"/>
      <c r="J48" s="6"/>
    </row>
    <row r="49" spans="3:10" ht="15.75" thickBot="1" x14ac:dyDescent="0.3">
      <c r="C49" s="29" t="s">
        <v>54</v>
      </c>
      <c r="D49" s="30" t="s">
        <v>58</v>
      </c>
      <c r="E49" s="30" t="s">
        <v>43</v>
      </c>
      <c r="F49" s="31">
        <v>43738</v>
      </c>
      <c r="G49" s="32">
        <v>960</v>
      </c>
      <c r="H49" s="6">
        <f>SUM(G45:G49)</f>
        <v>6720</v>
      </c>
      <c r="I49" s="33">
        <v>43738</v>
      </c>
      <c r="J49" s="6">
        <f>H49+J44</f>
        <v>20304</v>
      </c>
    </row>
    <row r="50" spans="3:10" x14ac:dyDescent="0.25">
      <c r="H5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2019-01-23T14:03:59Z</dcterms:created>
  <dcterms:modified xsi:type="dcterms:W3CDTF">2019-02-07T12:37:06Z</dcterms:modified>
</cp:coreProperties>
</file>