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1481CD56-BA4A-46B9-A146-87BB686218F0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Jun 2019 Production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[26]Indicators!#REF!</definedName>
    <definedName name="eerttn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[18]R8_fld!#REF!</definedName>
    <definedName name="EXP_APPR_TOT">[33]Sheet1!$D$55:$AZ$55</definedName>
    <definedName name="EXP_IIP">[18]R8_fld!#REF!</definedName>
    <definedName name="EXP_RES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>[18]R8_fld!#REF!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[26]Indicators!#REF!</definedName>
    <definedName name="GCT_ACCRUAL___DIRECTORATE" localSheetId="0">#REF!</definedName>
    <definedName name="GCT_ACCRUAL___DIRECTORATE">#REF!</definedName>
    <definedName name="gggg">[26]Indicators!#REF!</definedName>
    <definedName name="gghbdj">[26]Indicators!#REF!</definedName>
    <definedName name="gghfgad">[26]Indicators!#REF!</definedName>
    <definedName name="ghgadf">[26]Indicators!#REF!</definedName>
    <definedName name="ghj.dfkm">[26]Indicators!#REF!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>[26]Indicators!#REF!</definedName>
    <definedName name="gvhdcnggvzx">[26]Indicators!#REF!</definedName>
    <definedName name="gvjdbjnf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[26]Indicators!#REF!</definedName>
    <definedName name="hgfr">[26]Indicators!#REF!</definedName>
    <definedName name="hghhbjd">[26]Indicators!#REF!</definedName>
    <definedName name="hghvchbv">[26]Indicators!#REF!</definedName>
    <definedName name="hgtrt">#REF!</definedName>
    <definedName name="hhdsnkj">[26]Indicators!#REF!</definedName>
    <definedName name="hhhdfhv">[26]Indicators!#REF!</definedName>
    <definedName name="hhhh">[26]Indicators!#REF!</definedName>
    <definedName name="hhhhhh">[26]Indicators!#REF!</definedName>
    <definedName name="hhjdfjghd">[26]Indicators!#REF!</definedName>
    <definedName name="HIGH">[18]R8_fld!#REF!</definedName>
    <definedName name="HIGH_IIP">[18]R8_fld!#REF!</definedName>
    <definedName name="HIGH_RES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>[26]Indicators!#REF!</definedName>
    <definedName name="jkgxht">[26]Indicators!#REF!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[18]R8_fld!#REF!</definedName>
    <definedName name="LOW_IIP">[18]R8_fld!#REF!</definedName>
    <definedName name="LOW_RES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>[18]R8_fld!#REF!</definedName>
    <definedName name="MED_IIP">[18]R8_fld!#REF!</definedName>
    <definedName name="MED_RES">[18]R8_fld!#REF!</definedName>
    <definedName name="MED_URT">[18]R8_fld!#REF!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[26]Indicators!#REF!</definedName>
    <definedName name="mmm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>#REF!</definedName>
    <definedName name="nn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'[63]Ultimate Recovery and Reserves'!#REF!</definedName>
    <definedName name="OIL_REC_RES">'[63]Ultimate Recovery and Reserves'!#REF!</definedName>
    <definedName name="OIL_REC_URD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>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[26]Indicators!#REF!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[26]Indicators!#REF!</definedName>
    <definedName name="YTDadj">'[77]Shell Adj YTD'!$U$6:$AF$105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35" i="1" l="1"/>
  <c r="M17" i="8" l="1"/>
  <c r="J17" i="8"/>
  <c r="H17" i="8"/>
  <c r="G17" i="8"/>
  <c r="C8" i="1" l="1"/>
  <c r="X18" i="8"/>
  <c r="J18" i="8"/>
  <c r="H18" i="8"/>
  <c r="Y14" i="8"/>
  <c r="X14" i="8"/>
  <c r="W14" i="8"/>
  <c r="J14" i="8"/>
  <c r="J16" i="8" s="1"/>
  <c r="J19" i="8" s="1"/>
  <c r="G14" i="8"/>
  <c r="L13" i="8"/>
  <c r="K13" i="8"/>
  <c r="J13" i="8"/>
  <c r="I13" i="8"/>
  <c r="H13" i="8"/>
  <c r="H14" i="8" s="1"/>
  <c r="G13" i="8"/>
  <c r="F13" i="8"/>
  <c r="E13" i="8"/>
  <c r="D13" i="8"/>
  <c r="C13" i="8"/>
  <c r="M12" i="8"/>
  <c r="M11" i="8"/>
  <c r="M13" i="8" s="1"/>
  <c r="M5" i="8"/>
  <c r="M18" i="8" s="1"/>
  <c r="J5" i="8"/>
  <c r="H5" i="8"/>
  <c r="G5" i="8"/>
  <c r="G18" i="8" s="1"/>
  <c r="M4" i="8"/>
  <c r="M3" i="8"/>
  <c r="M14" i="8" l="1"/>
  <c r="H16" i="8"/>
  <c r="H19" i="8" s="1"/>
  <c r="G16" i="8"/>
  <c r="M16" i="8" l="1"/>
  <c r="M19" i="8" s="1"/>
  <c r="G19" i="8"/>
  <c r="O14" i="8"/>
  <c r="N14" i="8"/>
  <c r="C23" i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<sst xmlns="http://schemas.openxmlformats.org/spreadsheetml/2006/main" count="111" uniqueCount="76">
  <si>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</si>
  <si>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</si>
  <si>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</si>
  <si>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</si>
  <si>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</si>
  <si>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</si>
  <si>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</si>
  <si>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</si>
  <si>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</si>
  <si>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</si>
  <si>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</si>
  <si>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</si>
  <si>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</si>
  <si>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</si>
  <si>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</si>
  <si>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</si>
  <si>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</si>
  <si>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</si>
  <si>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</si>
  <si>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</si>
  <si>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</si>
  <si>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</si>
  <si>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</si>
  <si>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</si>
  <si>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</si>
  <si>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</si>
  <si>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</si>
  <si>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</si>
  <si>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</si>
  <si>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</si>
  <si>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</si>
  <si>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</si>
  <si>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</si>
  <si>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</si>
  <si>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</si>
  <si>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Oil</t>
  </si>
  <si>
    <t>ESTG1</t>
  </si>
  <si>
    <t>NBKF1</t>
  </si>
  <si>
    <t>SBKF1</t>
  </si>
  <si>
    <t>YOKF1</t>
  </si>
  <si>
    <t>ESCF1</t>
  </si>
  <si>
    <t>OTUF1</t>
  </si>
  <si>
    <t>BENF1</t>
  </si>
  <si>
    <t>OGBF1</t>
  </si>
  <si>
    <t>OPUF1</t>
  </si>
  <si>
    <t>TUNF1</t>
  </si>
  <si>
    <t>Net to Asset</t>
  </si>
  <si>
    <t>LACT Gains</t>
  </si>
  <si>
    <t>Other Gains</t>
  </si>
  <si>
    <t>Total</t>
  </si>
  <si>
    <t>Plan</t>
  </si>
  <si>
    <t>With FRM &amp; OML 40 LACT</t>
  </si>
  <si>
    <t>No FRM &amp; No OML 40 LACT</t>
  </si>
  <si>
    <t>With FRM LACT but No OML 40 LACT</t>
  </si>
  <si>
    <t>Actual</t>
  </si>
  <si>
    <t>BENS/1</t>
  </si>
  <si>
    <t>Inremental</t>
  </si>
  <si>
    <t>ESCB/1</t>
  </si>
  <si>
    <t>Pipeline Share</t>
  </si>
  <si>
    <t>FORC/2</t>
  </si>
  <si>
    <t>IDS Cages Share</t>
  </si>
  <si>
    <t>FORC/3</t>
  </si>
  <si>
    <t>FORC/4</t>
  </si>
  <si>
    <t>FORC/GP</t>
  </si>
  <si>
    <t>OPUK/1</t>
  </si>
  <si>
    <t>Allocation with LACTs</t>
  </si>
  <si>
    <t>FRM</t>
  </si>
  <si>
    <t>OML 40</t>
  </si>
  <si>
    <t>OTUM/1</t>
  </si>
  <si>
    <t>Allocation without LACTs</t>
  </si>
  <si>
    <t>OGBO/1</t>
  </si>
  <si>
    <t>TUNU/1</t>
  </si>
  <si>
    <t>LACT Gains above Plan</t>
  </si>
  <si>
    <t>Gain from the LACTs</t>
  </si>
  <si>
    <t>Gain from OML 40 LACT</t>
  </si>
  <si>
    <t>Gain from FRM LACT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</si>
</sst>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  <numFmt numFmtId="169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Futura Medium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  <xf numFmtId="0" fontId="6" fillId="0" borderId="0"/>
    <xf numFmtId="43" fontId="1" fillId="0" borderId="0" applyFont="0" applyFill="0" applyBorder="0" applyAlignment="0" applyProtection="0"/>
  </cellStyleXfs>
  <cellXfs count="57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0" fillId="0" borderId="0" xfId="0"/>
    <xf numFmtId="168" fontId="0" fillId="4" borderId="1" xfId="2" applyNumberFormat="1" applyFont="1" applyFill="1" applyBorder="1"/>
    <xf numFmtId="0" fontId="0" fillId="0" borderId="7" xfId="0" applyBorder="1"/>
    <xf numFmtId="0" fontId="3" fillId="0" borderId="7" xfId="0" applyFont="1" applyBorder="1" applyAlignment="1">
      <alignment horizontal="center"/>
    </xf>
    <xf numFmtId="0" fontId="3" fillId="0" borderId="7" xfId="0" applyFont="1" applyBorder="1"/>
    <xf numFmtId="3" fontId="0" fillId="0" borderId="7" xfId="0" applyNumberFormat="1" applyBorder="1" applyAlignment="1">
      <alignment horizont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/>
    <xf numFmtId="169" fontId="7" fillId="0" borderId="4" xfId="6" applyNumberFormat="1" applyFont="1" applyBorder="1" applyAlignment="1">
      <alignment horizontal="center"/>
    </xf>
    <xf numFmtId="169" fontId="7" fillId="0" borderId="4" xfId="0" applyNumberFormat="1" applyFont="1" applyBorder="1" applyAlignment="1">
      <alignment horizontal="center"/>
    </xf>
    <xf numFmtId="169" fontId="7" fillId="0" borderId="12" xfId="0" applyNumberFormat="1" applyFont="1" applyBorder="1" applyAlignment="1">
      <alignment horizontal="center"/>
    </xf>
    <xf numFmtId="0" fontId="7" fillId="0" borderId="13" xfId="0" applyFont="1" applyBorder="1"/>
    <xf numFmtId="169" fontId="7" fillId="0" borderId="7" xfId="6" applyNumberFormat="1" applyFont="1" applyBorder="1" applyAlignment="1">
      <alignment horizontal="center"/>
    </xf>
    <xf numFmtId="169" fontId="7" fillId="0" borderId="7" xfId="0" applyNumberFormat="1" applyFont="1" applyBorder="1" applyAlignment="1">
      <alignment horizontal="center"/>
    </xf>
    <xf numFmtId="169" fontId="7" fillId="0" borderId="14" xfId="0" applyNumberFormat="1" applyFont="1" applyBorder="1" applyAlignment="1">
      <alignment horizontal="center"/>
    </xf>
    <xf numFmtId="3" fontId="0" fillId="0" borderId="7" xfId="0" applyNumberFormat="1" applyBorder="1"/>
    <xf numFmtId="3" fontId="3" fillId="0" borderId="7" xfId="0" applyNumberFormat="1" applyFont="1" applyBorder="1"/>
    <xf numFmtId="3" fontId="3" fillId="0" borderId="7" xfId="0" applyNumberFormat="1" applyFont="1" applyBorder="1" applyAlignment="1">
      <alignment horizontal="center"/>
    </xf>
    <xf numFmtId="0" fontId="7" fillId="0" borderId="15" xfId="0" applyFont="1" applyBorder="1"/>
    <xf numFmtId="169" fontId="7" fillId="0" borderId="2" xfId="0" applyNumberFormat="1" applyFont="1" applyBorder="1" applyAlignment="1">
      <alignment horizontal="center"/>
    </xf>
    <xf numFmtId="169" fontId="7" fillId="0" borderId="16" xfId="0" applyNumberFormat="1" applyFont="1" applyBorder="1" applyAlignment="1">
      <alignment horizontal="center"/>
    </xf>
    <xf numFmtId="0" fontId="7" fillId="0" borderId="8" xfId="0" applyFont="1" applyBorder="1" applyAlignment="1">
      <alignment vertical="center"/>
    </xf>
    <xf numFmtId="164" fontId="7" fillId="0" borderId="9" xfId="0" applyNumberFormat="1" applyFont="1" applyBorder="1" applyAlignment="1">
      <alignment vertical="center"/>
    </xf>
    <xf numFmtId="164" fontId="7" fillId="0" borderId="10" xfId="0" applyNumberFormat="1" applyFont="1" applyBorder="1" applyAlignment="1">
      <alignment vertical="center"/>
    </xf>
    <xf numFmtId="0" fontId="7" fillId="0" borderId="0" xfId="0" applyFont="1"/>
    <xf numFmtId="0" fontId="7" fillId="0" borderId="17" xfId="0" applyFont="1" applyBorder="1" applyAlignment="1">
      <alignment wrapText="1"/>
    </xf>
    <xf numFmtId="169" fontId="7" fillId="0" borderId="18" xfId="0" applyNumberFormat="1" applyFont="1" applyBorder="1"/>
    <xf numFmtId="0" fontId="7" fillId="0" borderId="19" xfId="0" applyFont="1" applyBorder="1" applyAlignment="1">
      <alignment wrapText="1"/>
    </xf>
    <xf numFmtId="169" fontId="7" fillId="0" borderId="20" xfId="0" applyNumberFormat="1" applyFont="1" applyBorder="1"/>
  </cellXfs>
  <cellStyles count="7">
    <cellStyle name="Comma" xfId="6" builtinId="3"/>
    <cellStyle name="Comma 10 6" xfId="1" xr:uid="{52006BFE-9059-45E3-99D4-20161C221BFD}"/>
    <cellStyle name="Comma 10 6 2" xfId="4" xr:uid="{BF06D6A9-D617-41C0-817A-8B5D5B9D32F5}"/>
    <cellStyle name="Comma 2" xfId="2" xr:uid="{3F92C62A-CD5B-47EB-9B8B-455244283276}"/>
    <cellStyle name="Normal" xfId="0" builtinId="0"/>
    <cellStyle name="Normal 2" xfId="3" xr:uid="{2C54B063-4362-49D8-9655-229B2D03D0DF}"/>
    <cellStyle name="Normal 3" xfId="5" xr:uid="{4DCD5427-F8CC-41F5-9298-62C67A7D92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theme" Target="theme/theme1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CF%20Actual%20Jun19%20-%20Improve%20Otumara%20Node%20OP18%20production%20plan%20by%201000bopd%20by%20Dec.%202019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CF%20Actual%20Jun19%20-%20Deploy%20LACT%20unit%20(metering%20facility)%20at%20third%20party%20injection%20point%20in%20FR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F"/>
      <sheetName val="Jun 2019 Production"/>
    </sheetNames>
    <sheetDataSet>
      <sheetData sheetId="0">
        <row r="27">
          <cell r="C27">
            <v>875094.89785693632</v>
          </cell>
        </row>
      </sheetData>
      <sheetData sheetId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F"/>
      <sheetName val="Jun 2019 Production"/>
    </sheetNames>
    <sheetDataSet>
      <sheetData sheetId="0">
        <row r="27">
          <cell r="C27">
            <v>1112040.1886045951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A1:K43"/>
  <sheetViews>
    <sheetView tabSelected="1" zoomScale="85" zoomScaleNormal="85" workbookViewId="0">
      <selection activeCell="E23" sqref="E23"/>
    </sheetView>
  </sheetViews>
  <sheetFormatPr defaultRowHeight="15" x14ac:dyDescent="0.25"/>
  <cols>
    <col min="2" max="2" width="53.425781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v>30</v>
      </c>
      <c r="E7" s="7" t="s">
        <v>9</v>
      </c>
      <c r="F7" s="11"/>
      <c r="I7" s="7" t="s">
        <v>9</v>
      </c>
      <c r="J7" s="11">
        <v>31</v>
      </c>
    </row>
    <row r="8" spans="2:11" x14ac:dyDescent="0.25">
      <c r="B8" s="7" t="s">
        <v>10</v>
      </c>
      <c r="C8" s="27">
        <f>'Jun 2019 Production'!O14/30/1000</f>
        <v>1.7695000596465544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25">
      <c r="B9" s="7" t="s">
        <v>12</v>
      </c>
      <c r="C9" s="14">
        <f>C8*C7*1000</f>
        <v>53085.001789396636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25">
      <c r="B10" s="7" t="s">
        <v>14</v>
      </c>
      <c r="C10" s="16">
        <f t="shared" ref="C10" si="1">+C9*C6</f>
        <v>3516722.1135421591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25">
      <c r="B11" s="7" t="s">
        <v>15</v>
      </c>
      <c r="C11" s="18">
        <f t="shared" ref="C11" si="2">-C10*0.2</f>
        <v>-703344.42270843184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2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2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25">
      <c r="B14" s="7" t="s">
        <v>21</v>
      </c>
      <c r="C14" s="17"/>
      <c r="E14" s="7" t="s">
        <v>21</v>
      </c>
      <c r="F14" s="17"/>
      <c r="I14" s="7" t="s">
        <v>21</v>
      </c>
      <c r="J14" s="17">
        <f>-J8*J7*2706</f>
        <v>0</v>
      </c>
    </row>
    <row r="15" spans="2:11" x14ac:dyDescent="0.25">
      <c r="B15" s="7" t="s">
        <v>22</v>
      </c>
      <c r="C15" s="19">
        <f>+C10+C11+C12+C13+C14</f>
        <v>2813377.6908337274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25">
      <c r="B16" s="7" t="s">
        <v>23</v>
      </c>
      <c r="C16" s="17">
        <f>-C15*0.1275</f>
        <v>-358705.65558130026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1:11" x14ac:dyDescent="0.25">
      <c r="B17" s="20"/>
      <c r="C17" s="21"/>
      <c r="E17" s="20"/>
      <c r="F17" s="21"/>
      <c r="I17" s="20"/>
      <c r="J17" s="21"/>
    </row>
    <row r="18" spans="1:11" ht="15.75" thickBot="1" x14ac:dyDescent="0.3">
      <c r="B18" s="22" t="s">
        <v>25</v>
      </c>
      <c r="C18" s="15">
        <f t="shared" ref="C18" si="3">+C15+C16</f>
        <v>2454672.0352524272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1:11" ht="15.75" thickTop="1" x14ac:dyDescent="0.25"/>
    <row r="20" spans="1:11" ht="15.75" thickBot="1" x14ac:dyDescent="0.3">
      <c r="B20" t="s">
        <v>26</v>
      </c>
      <c r="C20" s="23">
        <f>C18-C14</f>
        <v>2454672.0352524272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1:11" ht="15.75" thickTop="1" x14ac:dyDescent="0.25"/>
    <row r="22" spans="1:11" x14ac:dyDescent="0.25">
      <c r="B22" s="5" t="s">
        <v>4</v>
      </c>
      <c r="C22" s="6"/>
    </row>
    <row r="23" spans="1:11" x14ac:dyDescent="0.25">
      <c r="B23" s="5" t="s">
        <v>28</v>
      </c>
      <c r="C23" s="6">
        <f>(-0.2*C22*0.1275)</f>
        <v>0</v>
      </c>
    </row>
    <row r="24" spans="1:11" x14ac:dyDescent="0.25">
      <c r="B24" t="s">
        <v>33</v>
      </c>
      <c r="C24" s="24">
        <f>C23+C22+C20</f>
        <v>2454672.0352524272</v>
      </c>
    </row>
    <row r="25" spans="1:11" x14ac:dyDescent="0.25">
      <c r="B25" t="s">
        <v>34</v>
      </c>
      <c r="C25" s="25">
        <f>C24*0.3</f>
        <v>736401.61057572812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1:11" x14ac:dyDescent="0.25">
      <c r="B27" t="s">
        <v>32</v>
      </c>
      <c r="C27" s="4">
        <f>C25+F25+J25</f>
        <v>736401.61057572812</v>
      </c>
    </row>
    <row r="29" spans="1:11" x14ac:dyDescent="0.25">
      <c r="C29" s="4"/>
    </row>
    <row r="30" spans="1:11" x14ac:dyDescent="0.25">
      <c r="C30" s="4"/>
    </row>
    <row r="31" spans="1:11" x14ac:dyDescent="0.25">
      <c r="C31" s="4"/>
    </row>
    <row r="32" spans="1:11" x14ac:dyDescent="0.25">
      <c r="A32" s="26"/>
      <c r="B32" s="26"/>
      <c r="C32" s="4"/>
    </row>
    <row r="33" spans="1:3" x14ac:dyDescent="0.25">
      <c r="A33" s="26"/>
      <c r="B33" s="26"/>
      <c r="C33" s="4"/>
    </row>
    <row r="34" spans="1:3" x14ac:dyDescent="0.25">
      <c r="C34" s="25"/>
    </row>
    <row r="35" spans="1:3" x14ac:dyDescent="0.25">
      <c r="C35" s="25">
        <f>C27+[78]FCF!$C$27+[79]FCF!$C$27</f>
        <v>2723536.6970372596</v>
      </c>
    </row>
    <row r="36" spans="1:3" x14ac:dyDescent="0.25">
      <c r="C36" s="25"/>
    </row>
    <row r="37" spans="1:3" x14ac:dyDescent="0.25">
      <c r="C37" s="25"/>
    </row>
    <row r="42" spans="1:3" x14ac:dyDescent="0.25">
      <c r="C42" s="4"/>
    </row>
    <row r="43" spans="1:3" x14ac:dyDescent="0.25">
      <c r="C43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67BAA-6D9F-4B1A-B703-C2BE46E1A8ED}">
  <dimension ref="B1:Y19"/>
  <sheetViews>
    <sheetView workbookViewId="0">
      <selection activeCell="D24" sqref="D24"/>
    </sheetView>
  </sheetViews>
  <sheetFormatPr defaultRowHeight="15" x14ac:dyDescent="0.25"/>
  <cols>
    <col min="1" max="1" width="9.140625" style="26"/>
    <col min="2" max="2" width="23.42578125" style="26" bestFit="1" customWidth="1"/>
    <col min="3" max="3" width="7.140625" style="26" customWidth="1"/>
    <col min="4" max="4" width="10" style="26" customWidth="1"/>
    <col min="5" max="5" width="9.7109375" style="26" customWidth="1"/>
    <col min="6" max="6" width="10.5703125" style="26" customWidth="1"/>
    <col min="7" max="7" width="11.7109375" style="26" bestFit="1" customWidth="1"/>
    <col min="8" max="8" width="11.5703125" style="26" bestFit="1" customWidth="1"/>
    <col min="9" max="9" width="9.5703125" style="26" bestFit="1" customWidth="1"/>
    <col min="10" max="10" width="10.5703125" style="26" bestFit="1" customWidth="1"/>
    <col min="11" max="12" width="9.5703125" style="26" bestFit="1" customWidth="1"/>
    <col min="13" max="13" width="11.28515625" style="26" bestFit="1" customWidth="1"/>
    <col min="14" max="22" width="9.140625" style="26"/>
    <col min="23" max="25" width="14.28515625" style="26" bestFit="1" customWidth="1"/>
    <col min="26" max="16384" width="9.140625" style="26"/>
  </cols>
  <sheetData>
    <row r="1" spans="2:25" x14ac:dyDescent="0.25">
      <c r="B1" s="5" t="s">
        <v>35</v>
      </c>
      <c r="C1" s="5"/>
    </row>
    <row r="2" spans="2:25" ht="15.75" thickBot="1" x14ac:dyDescent="0.3">
      <c r="B2" s="28"/>
      <c r="C2" s="29" t="s">
        <v>36</v>
      </c>
      <c r="D2" s="29" t="s">
        <v>37</v>
      </c>
      <c r="E2" s="29" t="s">
        <v>38</v>
      </c>
      <c r="F2" s="29" t="s">
        <v>39</v>
      </c>
      <c r="G2" s="29" t="s">
        <v>40</v>
      </c>
      <c r="H2" s="29" t="s">
        <v>41</v>
      </c>
      <c r="I2" s="29" t="s">
        <v>42</v>
      </c>
      <c r="J2" s="29" t="s">
        <v>43</v>
      </c>
      <c r="K2" s="29" t="s">
        <v>44</v>
      </c>
      <c r="L2" s="29" t="s">
        <v>45</v>
      </c>
      <c r="M2" s="29" t="s">
        <v>49</v>
      </c>
    </row>
    <row r="3" spans="2:25" ht="39" thickBot="1" x14ac:dyDescent="0.3">
      <c r="B3" s="30" t="s">
        <v>50</v>
      </c>
      <c r="C3" s="31">
        <v>11550</v>
      </c>
      <c r="D3" s="31">
        <v>278119.37615178147</v>
      </c>
      <c r="E3" s="31">
        <v>807430.01739380299</v>
      </c>
      <c r="F3" s="31">
        <v>309965.05405958422</v>
      </c>
      <c r="G3" s="31">
        <v>180623.6474179372</v>
      </c>
      <c r="H3" s="31">
        <v>241843.85121056024</v>
      </c>
      <c r="I3" s="31">
        <v>426520.86232910573</v>
      </c>
      <c r="J3" s="31">
        <v>182682.49227122174</v>
      </c>
      <c r="K3" s="31">
        <v>480047.79307001823</v>
      </c>
      <c r="L3" s="31">
        <v>386849.500295559</v>
      </c>
      <c r="M3" s="31">
        <f>SUM(C3:L3)</f>
        <v>3305632.5941995708</v>
      </c>
      <c r="V3" s="32"/>
      <c r="W3" s="33" t="s">
        <v>51</v>
      </c>
      <c r="X3" s="33" t="s">
        <v>52</v>
      </c>
      <c r="Y3" s="34" t="s">
        <v>53</v>
      </c>
    </row>
    <row r="4" spans="2:25" x14ac:dyDescent="0.25">
      <c r="B4" s="30" t="s">
        <v>54</v>
      </c>
      <c r="C4" s="31">
        <v>2974.8800026036902</v>
      </c>
      <c r="D4" s="31">
        <v>264233.88023126399</v>
      </c>
      <c r="E4" s="31">
        <v>374930.18032814824</v>
      </c>
      <c r="F4" s="31">
        <v>172709.65015115976</v>
      </c>
      <c r="G4" s="31">
        <v>210644.05018436062</v>
      </c>
      <c r="H4" s="31">
        <v>430106.20037643966</v>
      </c>
      <c r="I4" s="31">
        <v>298733.62026145938</v>
      </c>
      <c r="J4" s="31">
        <v>280331.68024535349</v>
      </c>
      <c r="K4" s="31">
        <v>193578.32016942455</v>
      </c>
      <c r="L4" s="31">
        <v>224016.99019606531</v>
      </c>
      <c r="M4" s="31">
        <f>SUM(C4:L4)</f>
        <v>2452259.4521462787</v>
      </c>
      <c r="V4" s="35" t="s">
        <v>55</v>
      </c>
      <c r="W4" s="36">
        <v>298733.6220853143</v>
      </c>
      <c r="X4" s="37">
        <v>260297.64248193163</v>
      </c>
      <c r="Y4" s="38">
        <v>281793.07399920124</v>
      </c>
    </row>
    <row r="5" spans="2:25" x14ac:dyDescent="0.25">
      <c r="B5" s="30" t="s">
        <v>56</v>
      </c>
      <c r="C5" s="31"/>
      <c r="D5" s="31"/>
      <c r="E5" s="31"/>
      <c r="F5" s="31"/>
      <c r="G5" s="31">
        <f>G4-G3</f>
        <v>30020.402766423416</v>
      </c>
      <c r="H5" s="31">
        <f>H4-H3</f>
        <v>188262.34916587942</v>
      </c>
      <c r="I5" s="31"/>
      <c r="J5" s="31">
        <f>J4-J3</f>
        <v>97649.187974131753</v>
      </c>
      <c r="K5" s="31"/>
      <c r="L5" s="31"/>
      <c r="M5" s="31">
        <f>SUM(C5:L5)</f>
        <v>315931.93990643462</v>
      </c>
      <c r="V5" s="39" t="s">
        <v>57</v>
      </c>
      <c r="W5" s="40">
        <v>210644.04878522007</v>
      </c>
      <c r="X5" s="41">
        <v>182713.214991388</v>
      </c>
      <c r="Y5" s="42">
        <v>198698.87297075996</v>
      </c>
    </row>
    <row r="6" spans="2:25" x14ac:dyDescent="0.25">
      <c r="B6" s="30" t="s">
        <v>58</v>
      </c>
      <c r="C6" s="30"/>
      <c r="D6" s="28"/>
      <c r="E6" s="28"/>
      <c r="F6" s="28"/>
      <c r="G6" s="28"/>
      <c r="H6" s="43"/>
      <c r="I6" s="43"/>
      <c r="J6" s="43"/>
      <c r="K6" s="43"/>
      <c r="L6" s="43"/>
      <c r="M6" s="43"/>
      <c r="V6" s="39" t="s">
        <v>59</v>
      </c>
      <c r="W6" s="40">
        <v>374930.18279938516</v>
      </c>
      <c r="X6" s="41">
        <v>323079.86397142732</v>
      </c>
      <c r="Y6" s="42">
        <v>353668.68988033826</v>
      </c>
    </row>
    <row r="7" spans="2:25" x14ac:dyDescent="0.25">
      <c r="B7" s="30" t="s">
        <v>60</v>
      </c>
      <c r="C7" s="30"/>
      <c r="D7" s="28"/>
      <c r="E7" s="28"/>
      <c r="F7" s="28"/>
      <c r="G7" s="28"/>
      <c r="H7" s="43"/>
      <c r="I7" s="43"/>
      <c r="J7" s="43"/>
      <c r="K7" s="43"/>
      <c r="L7" s="43"/>
      <c r="M7" s="43"/>
      <c r="V7" s="39" t="s">
        <v>61</v>
      </c>
      <c r="W7" s="40">
        <v>264233.88313580368</v>
      </c>
      <c r="X7" s="41">
        <v>236678.03164973512</v>
      </c>
      <c r="Y7" s="42">
        <v>249249.74183963548</v>
      </c>
    </row>
    <row r="8" spans="2:25" x14ac:dyDescent="0.25">
      <c r="B8" s="30" t="s">
        <v>46</v>
      </c>
      <c r="C8" s="30"/>
      <c r="D8" s="28"/>
      <c r="E8" s="28"/>
      <c r="F8" s="28"/>
      <c r="G8" s="28"/>
      <c r="H8" s="44"/>
      <c r="I8" s="44"/>
      <c r="J8" s="44"/>
      <c r="K8" s="44"/>
      <c r="L8" s="44"/>
      <c r="M8" s="44"/>
      <c r="V8" s="39" t="s">
        <v>62</v>
      </c>
      <c r="W8" s="40">
        <v>172709.64657107013</v>
      </c>
      <c r="X8" s="41">
        <v>128672.42147011799</v>
      </c>
      <c r="Y8" s="42">
        <v>162915.64999228116</v>
      </c>
    </row>
    <row r="9" spans="2:25" x14ac:dyDescent="0.25">
      <c r="V9" s="39" t="s">
        <v>63</v>
      </c>
      <c r="W9" s="40">
        <v>2974.8750825580541</v>
      </c>
      <c r="X9" s="41">
        <v>2860.6506958075333</v>
      </c>
      <c r="Y9" s="42">
        <v>2974.8750825580541</v>
      </c>
    </row>
    <row r="10" spans="2:25" x14ac:dyDescent="0.25">
      <c r="V10" s="39" t="s">
        <v>64</v>
      </c>
      <c r="W10" s="40">
        <v>193578.3240466534</v>
      </c>
      <c r="X10" s="41">
        <v>170344.42921143031</v>
      </c>
      <c r="Y10" s="42">
        <v>182600.9091709854</v>
      </c>
    </row>
    <row r="11" spans="2:25" x14ac:dyDescent="0.25">
      <c r="B11" s="30" t="s">
        <v>65</v>
      </c>
      <c r="C11" s="31">
        <v>2974.8750825580541</v>
      </c>
      <c r="D11" s="31">
        <v>264233.88313580368</v>
      </c>
      <c r="E11" s="31">
        <v>374930.18279938516</v>
      </c>
      <c r="F11" s="31">
        <v>172709.64657107013</v>
      </c>
      <c r="G11" s="31">
        <v>210644.04878522007</v>
      </c>
      <c r="H11" s="31">
        <v>430106.19698084355</v>
      </c>
      <c r="I11" s="31">
        <v>298733.6220853143</v>
      </c>
      <c r="J11" s="31">
        <v>280331.68343177764</v>
      </c>
      <c r="K11" s="31">
        <v>193578.3240466534</v>
      </c>
      <c r="L11" s="31">
        <v>224016.98922765156</v>
      </c>
      <c r="M11" s="31">
        <f>SUM(C11:L11)</f>
        <v>2452259.4521462778</v>
      </c>
      <c r="N11" s="45" t="s">
        <v>66</v>
      </c>
      <c r="O11" s="45" t="s">
        <v>67</v>
      </c>
      <c r="V11" s="39" t="s">
        <v>68</v>
      </c>
      <c r="W11" s="40">
        <v>430106.19698084355</v>
      </c>
      <c r="X11" s="41">
        <v>350533.58824809617</v>
      </c>
      <c r="Y11" s="42">
        <v>405715.78969683067</v>
      </c>
    </row>
    <row r="12" spans="2:25" x14ac:dyDescent="0.25">
      <c r="B12" s="30" t="s">
        <v>69</v>
      </c>
      <c r="C12" s="31">
        <v>2860.6506958075333</v>
      </c>
      <c r="D12" s="31">
        <v>236678.03164973512</v>
      </c>
      <c r="E12" s="31">
        <v>323079.86397142732</v>
      </c>
      <c r="F12" s="31">
        <v>128672.42147011799</v>
      </c>
      <c r="G12" s="31">
        <v>182713.214991388</v>
      </c>
      <c r="H12" s="31">
        <v>350533.58824809617</v>
      </c>
      <c r="I12" s="31">
        <v>260297.64248193163</v>
      </c>
      <c r="J12" s="31">
        <v>254586.45457051479</v>
      </c>
      <c r="K12" s="31">
        <v>170344.42921143031</v>
      </c>
      <c r="L12" s="31">
        <v>193856.01392962475</v>
      </c>
      <c r="M12" s="31">
        <f>SUM(C12:L12)</f>
        <v>2103622.3112200736</v>
      </c>
      <c r="N12" s="31"/>
      <c r="O12" s="31"/>
      <c r="V12" s="39" t="s">
        <v>70</v>
      </c>
      <c r="W12" s="41">
        <v>280331.68343177764</v>
      </c>
      <c r="X12" s="41">
        <v>254586.45457051479</v>
      </c>
      <c r="Y12" s="42">
        <v>264434.67013248184</v>
      </c>
    </row>
    <row r="13" spans="2:25" ht="15.75" thickBot="1" x14ac:dyDescent="0.3">
      <c r="B13" s="30" t="s">
        <v>47</v>
      </c>
      <c r="C13" s="31">
        <f>C11-C12</f>
        <v>114.22438675052081</v>
      </c>
      <c r="D13" s="31">
        <f t="shared" ref="D13:M13" si="0">D11-D12</f>
        <v>27555.851486068568</v>
      </c>
      <c r="E13" s="31">
        <f t="shared" si="0"/>
        <v>51850.318827957846</v>
      </c>
      <c r="F13" s="31">
        <f t="shared" si="0"/>
        <v>44037.225100952142</v>
      </c>
      <c r="G13" s="31">
        <f t="shared" si="0"/>
        <v>27930.833793832076</v>
      </c>
      <c r="H13" s="31">
        <f t="shared" si="0"/>
        <v>79572.60873274738</v>
      </c>
      <c r="I13" s="31">
        <f t="shared" si="0"/>
        <v>38435.979603382671</v>
      </c>
      <c r="J13" s="31">
        <f t="shared" si="0"/>
        <v>25745.228861262847</v>
      </c>
      <c r="K13" s="31">
        <f t="shared" si="0"/>
        <v>23233.894835223095</v>
      </c>
      <c r="L13" s="31">
        <f t="shared" si="0"/>
        <v>30160.975298026809</v>
      </c>
      <c r="M13" s="31">
        <f t="shared" si="0"/>
        <v>348637.14092620416</v>
      </c>
      <c r="N13" s="31"/>
      <c r="O13" s="31"/>
      <c r="V13" s="46" t="s">
        <v>71</v>
      </c>
      <c r="W13" s="47">
        <v>224016.98922765156</v>
      </c>
      <c r="X13" s="47">
        <v>193856.01392962475</v>
      </c>
      <c r="Y13" s="48">
        <v>211313.46241461171</v>
      </c>
    </row>
    <row r="14" spans="2:25" ht="15.75" thickBot="1" x14ac:dyDescent="0.3">
      <c r="B14" s="30" t="s">
        <v>72</v>
      </c>
      <c r="C14" s="31"/>
      <c r="D14" s="31"/>
      <c r="E14" s="31"/>
      <c r="F14" s="31"/>
      <c r="G14" s="31">
        <f>G13</f>
        <v>27930.833793832076</v>
      </c>
      <c r="H14" s="31">
        <f>H13</f>
        <v>79572.60873274738</v>
      </c>
      <c r="I14" s="31"/>
      <c r="J14" s="31">
        <f>J13</f>
        <v>25745.228861262847</v>
      </c>
      <c r="K14" s="31"/>
      <c r="L14" s="31"/>
      <c r="M14" s="45">
        <f>SUM(C14:L14)</f>
        <v>133248.6713878423</v>
      </c>
      <c r="N14" s="45">
        <f>X18/X16*M14</f>
        <v>80163.66959844566</v>
      </c>
      <c r="O14" s="45">
        <f>X17/X16*M14</f>
        <v>53085.001789396636</v>
      </c>
      <c r="V14" s="49"/>
      <c r="W14" s="50">
        <f>SUM(W4:W13)</f>
        <v>2452259.4521462778</v>
      </c>
      <c r="X14" s="50">
        <f>SUM(X4:X13)</f>
        <v>2103622.3112200736</v>
      </c>
      <c r="Y14" s="51">
        <f>SUM(Y4:Y13)</f>
        <v>2313365.7351796837</v>
      </c>
    </row>
    <row r="15" spans="2:25" ht="15.75" thickBot="1" x14ac:dyDescent="0.3">
      <c r="B15" s="30"/>
      <c r="V15" s="52"/>
      <c r="W15" s="52"/>
      <c r="X15" s="52"/>
      <c r="Y15" s="52"/>
    </row>
    <row r="16" spans="2:25" ht="26.25" x14ac:dyDescent="0.25">
      <c r="B16" s="30" t="s">
        <v>48</v>
      </c>
      <c r="C16" s="31"/>
      <c r="D16" s="31"/>
      <c r="E16" s="31"/>
      <c r="F16" s="31"/>
      <c r="G16" s="31">
        <f>G5-G14</f>
        <v>2089.5689725913398</v>
      </c>
      <c r="H16" s="31">
        <f t="shared" ref="H16:J16" si="1">H5-H14</f>
        <v>108689.74043313204</v>
      </c>
      <c r="I16" s="31"/>
      <c r="J16" s="31">
        <f t="shared" si="1"/>
        <v>71903.959112868906</v>
      </c>
      <c r="K16" s="31"/>
      <c r="L16" s="31"/>
      <c r="M16" s="31">
        <f>SUM(C16:L16)</f>
        <v>182683.26851859229</v>
      </c>
      <c r="V16" s="52"/>
      <c r="W16" s="53" t="s">
        <v>73</v>
      </c>
      <c r="X16" s="54">
        <v>348637.14092620416</v>
      </c>
      <c r="Y16" s="52"/>
    </row>
    <row r="17" spans="2:25" ht="27" thickBot="1" x14ac:dyDescent="0.3">
      <c r="B17" s="30" t="s">
        <v>58</v>
      </c>
      <c r="C17" s="31"/>
      <c r="D17" s="31"/>
      <c r="E17" s="31"/>
      <c r="F17" s="31"/>
      <c r="G17" s="31">
        <f>G5*2.9/30</f>
        <v>2901.9722674209302</v>
      </c>
      <c r="H17" s="31">
        <f t="shared" ref="H17:M17" si="2">H5*2.9/30</f>
        <v>18198.693752701678</v>
      </c>
      <c r="I17" s="31"/>
      <c r="J17" s="31">
        <f t="shared" si="2"/>
        <v>9439.4215041660682</v>
      </c>
      <c r="K17" s="31"/>
      <c r="L17" s="31"/>
      <c r="M17" s="31">
        <f t="shared" si="2"/>
        <v>30540.08752428868</v>
      </c>
      <c r="V17" s="52"/>
      <c r="W17" s="55" t="s">
        <v>74</v>
      </c>
      <c r="X17" s="56">
        <v>138893.7169665941</v>
      </c>
      <c r="Y17" s="52"/>
    </row>
    <row r="18" spans="2:25" ht="27" thickBot="1" x14ac:dyDescent="0.3">
      <c r="B18" s="30" t="s">
        <v>60</v>
      </c>
      <c r="C18" s="31"/>
      <c r="D18" s="31"/>
      <c r="E18" s="31"/>
      <c r="F18" s="31"/>
      <c r="G18" s="31">
        <f>G5*0.02</f>
        <v>600.40805532846832</v>
      </c>
      <c r="H18" s="31">
        <f t="shared" ref="H18:M18" si="3">H5*0.02</f>
        <v>3765.2469833175887</v>
      </c>
      <c r="I18" s="31"/>
      <c r="J18" s="31">
        <f t="shared" si="3"/>
        <v>1952.9837594826352</v>
      </c>
      <c r="K18" s="31"/>
      <c r="L18" s="31"/>
      <c r="M18" s="31">
        <f t="shared" si="3"/>
        <v>6318.6387981286925</v>
      </c>
      <c r="V18" s="52"/>
      <c r="W18" s="55" t="s">
        <v>75</v>
      </c>
      <c r="X18" s="56">
        <f>X16-X17</f>
        <v>209743.42395961005</v>
      </c>
      <c r="Y18" s="52"/>
    </row>
    <row r="19" spans="2:25" x14ac:dyDescent="0.25">
      <c r="B19" s="30" t="s">
        <v>46</v>
      </c>
      <c r="C19" s="31"/>
      <c r="D19" s="31"/>
      <c r="E19" s="31"/>
      <c r="F19" s="31"/>
      <c r="G19" s="31">
        <f>G16-G17-G18</f>
        <v>-1412.8113501580588</v>
      </c>
      <c r="H19" s="31">
        <f>H16-H17-H18</f>
        <v>86725.799697112772</v>
      </c>
      <c r="I19" s="31"/>
      <c r="J19" s="31">
        <f>J16-J17-J18</f>
        <v>60511.553849220203</v>
      </c>
      <c r="K19" s="31"/>
      <c r="L19" s="31"/>
      <c r="M19" s="31">
        <f>M16-M17-M18</f>
        <v>145824.54219617491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Jun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2019-07-17T11:00:43Z</dcterms:modified>
</cp:coreProperties>
</file>