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BD82DC42-2534-4BD7-9D34-B303AFDDC257}" xr6:coauthVersionLast="41" xr6:coauthVersionMax="41" xr10:uidLastSave="{00000000-0000-0000-0000-000000000000}"/>
  <bookViews>
    <workbookView xWindow="-120" yWindow="-120" windowWidth="29040" windowHeight="15840" xr2:uid="{FF9B8E57-B727-43BB-A63A-A8696AA40007}"/>
  </bookViews>
  <sheets>
    <sheet name="FCF" sheetId="1" r:id="rId1"/>
    <sheet name="Oct 2019 Production" sheetId="8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Direct_Fixed_Opex">#REF!</definedName>
    <definedName name="AG_Direct_Variable_Opex">#REF!</definedName>
    <definedName name="AG_Fiscal_Opex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direct_Opex">#REF!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>[18]R8_fld!#REF!</definedName>
    <definedName name="areac">'[19]#REF'!$B$23:$B$195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[20]Economics!$C$13</definedName>
    <definedName name="Asset_Performance_Unit">#REF!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IF('[21]prodprof 1'!XEE1&lt;=[0]!CumP,'[21]prodprof 1'!XEE1*[0]!GORP,[0]!CumP*[0]!GORP+('[21]prodprof 1'!XEE1-[0]!CumP)*([0]!GORP+('[21]prodprof 1'!XEE1-[0]!CumP)*0.5*[0]!SlopeG))</definedName>
    <definedName name="aszdxfc">IF('[21]prodprof 1'!XEE1&lt;=CumP,'[21]prodprof 1'!XEE1*GORP,CumP*GORP+('[21]prodprof 1'!XEE1-CumP)*(GORP+('[21]prodprof 1'!XEE1-CumP)*0.5*SlopeG))</definedName>
    <definedName name="aszdxfc1" localSheetId="0">IF('[21]prodprof 1'!XEE1&lt;=[0]!CumP,'[21]prodprof 1'!XEE1*[0]!GORP,[0]!CumP*[0]!GORP+('[21]prodprof 1'!XEE1-[0]!CumP)*([0]!GORP+('[21]prodprof 1'!XEE1-[0]!CumP)*0.5*[0]!SlopeG))</definedName>
    <definedName name="aszdxfc1">IF('[21]prodprof 1'!XEE1&lt;=CumP,'[21]prodprof 1'!XEE1*GORP,CumP*GORP+('[21]prodprof 1'!XEE1-CumP)*(GORP+('[21]prodprof 1'!XEE1-CumP)*0.5*SlopeG))</definedName>
    <definedName name="aszdxfc1000" localSheetId="0">IF('[21]prodprof 1'!XEE1&lt;=[0]!CumP,'[21]prodprof 1'!XEE1*[0]!GORP,[0]!CumP*[0]!GORP+('[21]prodprof 1'!XEE1-[0]!CumP)*([0]!GORP+('[21]prodprof 1'!XEE1-[0]!CumP)*0.5*[0]!SlopeG))</definedName>
    <definedName name="aszdxfc1000">IF('[21]prodprof 1'!XEE1&lt;=CumP,'[21]prodprof 1'!XEE1*GORP,CumP*GORP+('[21]prodprof 1'!XEE1-CumP)*(GORP+('[21]prodprof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'[22]AWARDED (2)'!$A$5:$B$74</definedName>
    <definedName name="b">'[23]Mapping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'[24]Mapping Fields to AGG node'!$A$3:$A$171</definedName>
    <definedName name="base2">'[25]Mapping Fields to AGG node'!$A$3:$A$171</definedName>
    <definedName name="bbb">[26]Indicators!#REF!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>[26]Indicators!#REF!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[27]estgl81!$Y$39:$Y$43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'[28]Budget,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>[26]Indicators!#REF!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[29]SetUp!$D$9</definedName>
    <definedName name="boe_gas">[30]SetUp!$D$9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[31]Sheet1!#REF!</definedName>
    <definedName name="bof">[31]Sheet1!#REF!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'[32]Data Entry'!$G$9</definedName>
    <definedName name="Bonny_Barrels">'[32]Data Entry'!$C$9</definedName>
    <definedName name="Bonny_US">'[32]Data Entry'!$E$9</definedName>
    <definedName name="Bonus_Inp">[33]Sheet1!$D$50:$AZ$50</definedName>
    <definedName name="bonus_recovered">[33]Sheet1!$D$148:$AZ$148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[34]BPDMS!$A$1:$L$1444</definedName>
    <definedName name="BPID">#REF!</definedName>
    <definedName name="Brass_API">'[32]Data Entry'!$G$11</definedName>
    <definedName name="Brass_Barrels">'[32]Data Entry'!$C$11</definedName>
    <definedName name="Brass_US">'[32]Data Entry'!$E$11</definedName>
    <definedName name="brt">[35]Sheet2!$A$2:$A$165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'[36]2005'!$A$168:$B$260</definedName>
    <definedName name="C_211_Production_Capex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[37]AWARDED!$B$7:$D$81</definedName>
    <definedName name="CACategory" localSheetId="0">#REF!</definedName>
    <definedName name="CACategory">#REF!</definedName>
    <definedName name="CACode">[38]Economics!$AD$14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[33]Sheet1!$D$150:$AZ$150</definedName>
    <definedName name="CAPEX_TOTAL">[33]Sheet1!$D$62:$AZ$62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[39]Contract_Details!$A$2:$R$74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[40]AWARDED!$B$7:$E$76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[41]Sheet1!$B$5:$B$81</definedName>
    <definedName name="Commencement_Phase_1" localSheetId="0">#REF!</definedName>
    <definedName name="Commencement_Phase_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[30]SetUp!$D$5</definedName>
    <definedName name="Company_Name" localSheetId="0">#REF!</definedName>
    <definedName name="Company_Name">#REF!</definedName>
    <definedName name="Company_Type">[42]SetUp!$C$14</definedName>
    <definedName name="CompanyName">[43]SetUp!$C$8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tract_Type">#REF!</definedName>
    <definedName name="conv1">[44]Overview!$L$4</definedName>
    <definedName name="conv2">[44]Overview!$M$4</definedName>
    <definedName name="conv3">[44]Overview!$X$2</definedName>
    <definedName name="conv4">[44]Overview!$AG$2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[30]SetUp!$D$4</definedName>
    <definedName name="CtryCode" localSheetId="0">#REF!</definedName>
    <definedName name="CtryCode">#REF!</definedName>
    <definedName name="CtryName">[42]SetUp!$C$7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'[21]prodprof 1'!$F$22</definedName>
    <definedName name="CumGas" localSheetId="0">IF('[21]prodprof 1'!XEE1&lt;=[0]!CumP,'[21]prodprof 1'!XEE1*[0]!GORP,[0]!CumP*[0]!GORP+('[21]prodprof 1'!XEE1-[0]!CumP)*([0]!GORP+('[21]prodprof 1'!XEE1-[0]!CumP)*0.5*[0]!SlopeG))</definedName>
    <definedName name="CumGas">IF('[21]prodprof 1'!XEE1&lt;=CumP,'[21]prodprof 1'!XEE1*GORP,CumP*GORP+('[21]prodprof 1'!XEE1-CumP)*(GORP+('[21]prodprof 1'!XEE1-CumP)*0.5*SlopeG))</definedName>
    <definedName name="cumgas1" localSheetId="0">IF('[21]prodprof 1'!XEE1&lt;=[0]!CumP,'[21]prodprof 1'!XEE1*[0]!GORP,[0]!CumP*[0]!GORP+('[21]prodprof 1'!XEE1-[0]!CumP)*([0]!GORP+('[21]prodprof 1'!XEE1-[0]!CumP)*0.5*[0]!SlopeG))</definedName>
    <definedName name="cumgas1">IF('[21]prodprof 1'!XEE1&lt;=CumP,'[21]prodprof 1'!XEE1*GORP,CumP*GORP+('[21]prodprof 1'!XEE1-CumP)*(GORP+('[21]prodprof 1'!XEE1-CumP)*0.5*SlopeG))</definedName>
    <definedName name="CumOil">#N/A</definedName>
    <definedName name="CumP">'[21]prodprof 1'!$F$16</definedName>
    <definedName name="CumWat">#N/A</definedName>
    <definedName name="CURRENT" localSheetId="0">#REF!</definedName>
    <definedName name="CURRENT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>#REF!</definedName>
    <definedName name="D_G2">#REF!</definedName>
    <definedName name="D_G3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>[18]R8_fld!#REF!</definedName>
    <definedName name="Decl">'[21]prodprof 1'!$F$27</definedName>
    <definedName name="dee" localSheetId="0">#REF!</definedName>
    <definedName name="dee">#REF!</definedName>
    <definedName name="deerfg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fdf">[26]Indicators!#REF!</definedName>
    <definedName name="dfdv">[26]Indicators!#REF!</definedName>
    <definedName name="DIR" localSheetId="0">#REF!</definedName>
    <definedName name="DIR">#REF!</definedName>
    <definedName name="Directorate">'[45]do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">[18]R8_fld!#REF!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>[26]Indicators!#REF!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'[32]Data Entry'!$G$12</definedName>
    <definedName name="EA_Barrels">'[32]Data Entry'!$C$12</definedName>
    <definedName name="EA_US">'[32]Data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>[26]Indicators!#REF!</definedName>
    <definedName name="eerttn">[26]Indicators!#REF!</definedName>
    <definedName name="eerv">[26]Indicators!#REF!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>#REF!</definedName>
    <definedName name="erbbvg">[26]Indicators!#REF!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vfv">[26]Indicators!#REF!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>[18]R8_fld!#REF!</definedName>
    <definedName name="EXP_APPR_TOT">[33]Sheet1!$D$55:$AZ$55</definedName>
    <definedName name="EXP_IIP">[18]R8_fld!#REF!</definedName>
    <definedName name="EXP_RES">[18]R8_fld!#REF!</definedName>
    <definedName name="EXP_URT">[18]R8_fld!#REF!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[33]Sheet1!$D$149:$AZ$149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[28]Sheet1!$B$9:$E$29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dd">[26]Indicators!#REF!</definedName>
    <definedName name="fddd">[26]Indicators!#REF!</definedName>
    <definedName name="FEB" localSheetId="0">#REF!</definedName>
    <definedName name="FEB">#REF!</definedName>
    <definedName name="Fee_received">[33]Sheet1!$D$159:$AZ$159</definedName>
    <definedName name="feee">[46]AFE!$A$2:$B$125</definedName>
    <definedName name="FF" localSheetId="0">#REF!</definedName>
    <definedName name="FF">#REF!</definedName>
    <definedName name="fff">[18]R8_fld!#REF!</definedName>
    <definedName name="fghj" localSheetId="0">#REF!</definedName>
    <definedName name="fghj">#REF!</definedName>
    <definedName name="FID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[43]SetUp!$E$70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'[47]Mapping Fields to AGG node'!$B$3:$B$171</definedName>
    <definedName name="fields">'[48]Mapping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[49]flora!$A$1:$G$184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[43]SetUp!$C$10</definedName>
    <definedName name="Fopex" localSheetId="0">#REF!</definedName>
    <definedName name="Fopex">#REF!</definedName>
    <definedName name="Forcados_API">'[32]Data Entry'!$G$10</definedName>
    <definedName name="Forcados_Barrels">'[32]Data Entry'!$C$10</definedName>
    <definedName name="Forcados_US">'[32]Data Entry'!$E$10</definedName>
    <definedName name="Forecasts_Sheets_Osa" localSheetId="0">'[47]Mapping Fields to AGG node'!$B$3:$B$171</definedName>
    <definedName name="Forecasts_Sheets_Osa">'[48]Mapping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FYplotOpportunityDefinition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[30]SetUp!$H$11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Fiscal_Opex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[50]Profiles!#REF!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>[26]Indicators!#REF!</definedName>
    <definedName name="GCT_ACCRUAL___DIRECTORATE" localSheetId="0">#REF!</definedName>
    <definedName name="GCT_ACCRUAL___DIRECTORATE">#REF!</definedName>
    <definedName name="gggg">[26]Indicators!#REF!</definedName>
    <definedName name="gghbdj">[26]Indicators!#REF!</definedName>
    <definedName name="gghfgad">[26]Indicators!#REF!</definedName>
    <definedName name="ghgadf">[26]Indicators!#REF!</definedName>
    <definedName name="ghj.dfkm">[26]Indicators!#REF!</definedName>
    <definedName name="ghkim">#REF!</definedName>
    <definedName name="GI_Start_Date_T7">'[51]General Inputs'!$H$18</definedName>
    <definedName name="GLTIE" localSheetId="0">#REF!</definedName>
    <definedName name="GLTIE">#REF!</definedName>
    <definedName name="good">[12]Indicators!$V$2:$V$65536</definedName>
    <definedName name="GORP">'[21]prodprof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[52]Listvalues!$L$2:$L$7</definedName>
    <definedName name="gsvvvv">[26]Indicators!#REF!</definedName>
    <definedName name="gvhdcnggvzx">[26]Indicators!#REF!</definedName>
    <definedName name="gvjdbjnf">[26]Indicators!#REF!</definedName>
    <definedName name="gvs">[26]Indicators!#REF!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>[26]Indicators!#REF!</definedName>
    <definedName name="hgfr">[26]Indicators!#REF!</definedName>
    <definedName name="hghhbjd">[26]Indicators!#REF!</definedName>
    <definedName name="hghvchbv">[26]Indicators!#REF!</definedName>
    <definedName name="hgtrt">#REF!</definedName>
    <definedName name="hhdsnkj">[26]Indicators!#REF!</definedName>
    <definedName name="hhhdfhv">[26]Indicators!#REF!</definedName>
    <definedName name="hhhh">[26]Indicators!#REF!</definedName>
    <definedName name="hhhhhh">[26]Indicators!#REF!</definedName>
    <definedName name="hhjdfjghd">[26]Indicators!#REF!</definedName>
    <definedName name="HIGH">[18]R8_fld!#REF!</definedName>
    <definedName name="HIGH_IIP">[18]R8_fld!#REF!</definedName>
    <definedName name="HIGH_RES">[18]R8_fld!#REF!</definedName>
    <definedName name="HIGH_URT">[18]R8_fld!#REF!</definedName>
    <definedName name="HighRegret">[43]SetUp!$C$37</definedName>
    <definedName name="HighRegretReason" localSheetId="0">#REF!</definedName>
    <definedName name="HighRegretReason">#REF!</definedName>
    <definedName name="hjgbdkjkdk">[26]Indicators!#REF!</definedName>
    <definedName name="hjgjhljrihvds">[26]Indicators!#REF!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'[53]Reservoir Summary Data'!$B$59</definedName>
    <definedName name="Horizontal_Rate_5.5">'[53]Reservoir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[54]Reference!$A$1:$A$2</definedName>
    <definedName name="IBVc_IBVt_distr.">[43]SetUp!$D$72:$I$72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>#REF!</definedName>
    <definedName name="Indicator" localSheetId="0">#REF!</definedName>
    <definedName name="Indicator">#REF!</definedName>
    <definedName name="indicators2">[55]Definitions!$I$2:$I$101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IF(AND('[21]prodprof 1'!XET1&lt;='[21]prodprof 1'!$F$33,'[21]prodprof 1'!$F$38="YES"),'[21]prodprof 1'!XEZ1+'[21]prodprof 1'!$F$39*('[21]prodprof 1'!XEX1*'[21]prodprof 1'!$F$41+('[21]prodprof 1'!XEY1*1000-'[21]prodprof 1'!XEX1*'[21]prodprof 1'!$F$42)/('[21]prodprof 1'!$F$43*'[21]prodprof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P">#REF!</definedName>
    <definedName name="Item" localSheetId="0">#REF!</definedName>
    <definedName name="Item">#REF!</definedName>
    <definedName name="item2">[14]ActivityData!$A$5:$A$178</definedName>
    <definedName name="JAN">[56]Sheet1!$G$6:$K$67</definedName>
    <definedName name="jjkjsvbkb">[26]Indicators!#REF!</definedName>
    <definedName name="jkgxht">[26]Indicators!#REF!</definedName>
    <definedName name="jkiu">#REF!</definedName>
    <definedName name="jnl" localSheetId="0">[57]mar!#REF!</definedName>
    <definedName name="jnl">[57]mar!#REF!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>#REF!</definedName>
    <definedName name="LearningCategory">'[45]do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[30]SetUp!$H$10</definedName>
    <definedName name="liqbbl_m3" localSheetId="0">[29]SetUp!$D$10</definedName>
    <definedName name="liqbbl_m3">[30]SetUp!$D$10</definedName>
    <definedName name="LiquidTotalFactor">[2]Parameters!$C$3</definedName>
    <definedName name="list">[58]Sheet2!$A$1:$A$157</definedName>
    <definedName name="lists">[59]Sheet1!$A$1:$A$161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'[45]do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OW">[18]R8_fld!#REF!</definedName>
    <definedName name="LOW_IIP">[18]R8_fld!#REF!</definedName>
    <definedName name="LOW_RES">[18]R8_fld!#REF!</definedName>
    <definedName name="LOW_URT">[18]R8_fld!#REF!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'[60]Lookup Sheet'!$BC$2:$BD$13</definedName>
    <definedName name="LUT_Fields">'[60]Lookup Sheet'!$O$2:$S$146</definedName>
    <definedName name="LUT_iPPS">'[60]Lookup Sheet'!$B$2:$L$1846</definedName>
    <definedName name="LUT_Prod_Facilities">'[60]Lookup Sheet'!$U$2:$W$90</definedName>
    <definedName name="MailAddress">[43]SetUp!$C$11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'[61]Config - Master Lists'!$D$98</definedName>
    <definedName name="MED">[18]R8_fld!#REF!</definedName>
    <definedName name="MED_IIP">[18]R8_fld!#REF!</definedName>
    <definedName name="MED_RES">[18]R8_fld!#REF!</definedName>
    <definedName name="MED_URT">[18]R8_fld!#REF!</definedName>
    <definedName name="Mike_Conway" localSheetId="0">#REF!</definedName>
    <definedName name="Mike_Conway">#REF!</definedName>
    <definedName name="MilestonesData">#REF!</definedName>
    <definedName name="MilestonesPlotArea">#REF!</definedName>
    <definedName name="MilestonesPlotData">#REF!</definedName>
    <definedName name="Min_Fin_Value">'[61]Config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>[26]Indicators!#REF!</definedName>
    <definedName name="mmm">[26]Indicators!#REF!</definedName>
    <definedName name="mmmm">[26]Indicators!#REF!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[33]Sheet1!$D$80:$AZ$80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'[32]Data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[42]SetUp!$C$9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>[26]Indicators!#REF!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Direct_Fixed_Opex">#REF!</definedName>
    <definedName name="NAG_Direct_Variable_Opex">#REF!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iscal_Opex">#REF!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direct_Opex">#REF!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DDC_Gas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[62]DATA!$A$2:$A$182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jhh">#REF!</definedName>
    <definedName name="nn">[26]Indicators!#REF!</definedName>
    <definedName name="nnnnnn">[26]Indicators!#REF!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'[53]Vivaldi Hub 1.3 tcf'!#REF!</definedName>
    <definedName name="Number_of_wells">'[53]Vivaldi Hub 1.3 tcf'!#REF!</definedName>
    <definedName name="O1_Inp">[33]Sheet1!$D$65:$AZ$65</definedName>
    <definedName name="O2_Inp">[33]Sheet1!$D$66:$AZ$66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Dir_Fixed_Opex">#REF!</definedName>
    <definedName name="Oil_Direct_Variable_Opex">#REF!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iscal_Opex">#REF!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direct_Opex">#REF!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[33]Sheet1!$D$74:$AZ$74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_DVR">'[63]Ultimate Recovery and Reserves'!#REF!</definedName>
    <definedName name="OIL_REC_RES">'[63]Ultimate Recovery and Reserves'!#REF!</definedName>
    <definedName name="OIL_REC_URD">'[63]Ultimate Recovery and Reserves'!#REF!</definedName>
    <definedName name="OIL_REC_URT">'[63]Ultimate Recovery and Reserves'!#REF!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[44]Overview!$L$4</definedName>
    <definedName name="oil_vol_percent" localSheetId="0">#REF!</definedName>
    <definedName name="oil_vol_percent">#REF!</definedName>
    <definedName name="Oil_Wells" localSheetId="0">[50]Profiles!#REF!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'[64]Oil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'[65]Lookup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>#REF!</definedName>
    <definedName name="P_111_02_Sales_Gas">#REF!</definedName>
    <definedName name="P_111_03_Sales_NGL_Cond">#REF!</definedName>
    <definedName name="P_111_Sales_Proceeds">#REF!</definedName>
    <definedName name="P_120_Total_Other_Revenue">#REF!</definedName>
    <definedName name="P_220_Royalties">#REF!</definedName>
    <definedName name="P_230_Opex">#REF!</definedName>
    <definedName name="P_240_Other_Expenses">#REF!</definedName>
    <definedName name="P_250_Expl_Expense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[33]Sheet1!$D$14:$AZ$14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'[39]BASE DATA'!$A$29:$A$31</definedName>
    <definedName name="PAO">'[40]Budget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>#REF!</definedName>
    <definedName name="Plan_Unit_Category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>#REF!</definedName>
    <definedName name="plotPRA">#REF!</definedName>
    <definedName name="Pmaster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[66]FORMS!#REF!</definedName>
    <definedName name="POVNDRCD">[66]FORMS!#REF!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0">#REF!</definedName>
    <definedName name="Pre_FID_Development_Costs">#REF!</definedName>
    <definedName name="Premise">'[64]Oil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1">'[19]#REF'!$B$65:$P$149</definedName>
    <definedName name="Print_Area_2">'[19]#REF'!$B$3:$O$77</definedName>
    <definedName name="Print_Area_MI" localSheetId="0">[67]TER2!#REF!</definedName>
    <definedName name="Print_Area_MI">[67]TER2!#REF!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>[18]R8_fld!#REF!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filedata">'[65]Lookup sheet'!$R$2:$T$16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'[21]prodprof 1'!A$5*('[21]prodprof 1'!A31-'[21]prodprof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>[26]Indicators!#REF!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'[21]prodprof 1'!$F$17</definedName>
    <definedName name="RATEREC" localSheetId="0">#REF!</definedName>
    <definedName name="RATEREC">#REF!</definedName>
    <definedName name="Ratio_disputed_capital_costs_PP_E" localSheetId="0">'[68]DATA INPUT'!#REF!</definedName>
    <definedName name="Ratio_disputed_capital_costs_PP_E">'[68]DATA INPUT'!#REF!</definedName>
    <definedName name="Ratio_disputed_capital_costs_PP_E_Bonga" localSheetId="0">'[68]DATA INPUT'!#REF!</definedName>
    <definedName name="Ratio_disputed_capital_costs_PP_E_Bonga">'[68]DATA INPUT'!#REF!</definedName>
    <definedName name="Ratio_disputed_capital_costs_PP_E_Erha" localSheetId="0">'[68]DATA INPUT'!#REF!</definedName>
    <definedName name="Ratio_disputed_capital_costs_PP_E_Erha">'[68]DATA INPUT'!#REF!</definedName>
    <definedName name="RawData" localSheetId="0">#REF!</definedName>
    <definedName name="RawData">#REF!</definedName>
    <definedName name="ray_shhet" localSheetId="0">'[69]Mapping Fields to AGG node'!$B$3:$B$171</definedName>
    <definedName name="ray_shhet">'[70]Mapping Fields to AGG node'!$B$3:$B$171</definedName>
    <definedName name="rbbea">[26]Indicators!#REF!</definedName>
    <definedName name="reabr">[26]Indicators!#REF!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r">#REF!</definedName>
    <definedName name="Reserves_Addition" localSheetId="0">#REF!</definedName>
    <definedName name="Reserves_Addition">#REF!</definedName>
    <definedName name="REV_ID">'[63]Ultimate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>#REF!</definedName>
    <definedName name="rfww">[26]Indicators!#REF!</definedName>
    <definedName name="rig" localSheetId="0">[57]mar!#REF!</definedName>
    <definedName name="rig">[57]mar!#REF!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>[26]Indicators!#REF!</definedName>
    <definedName name="rrtt">[26]Indicators!#REF!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>#REF!</definedName>
    <definedName name="Run_Description" localSheetId="0">#REF!</definedName>
    <definedName name="Run_Description">#REF!</definedName>
    <definedName name="S">[18]R8_fld!#REF!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>[26]Indicators!#REF!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[39]Contract_Details!$A$2:$A$74</definedName>
    <definedName name="set" localSheetId="0">#REF!</definedName>
    <definedName name="set">#REF!</definedName>
    <definedName name="sevbv">[26]Indicators!#REF!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are">[18]R8_fld!#REF!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>#REF!</definedName>
    <definedName name="Shell_Before_Tax_Cash_Flow">#REF!</definedName>
    <definedName name="Shell_bonus_paid">[33]Sheet1!$D$204:$AZ$204</definedName>
    <definedName name="Shell_bonus_recovered">[33]Sheet1!$D$208:$AZ$208</definedName>
    <definedName name="Shell_CAPEX">[33]Sheet1!$D$205:$AZ$205</definedName>
    <definedName name="Shell_capex_recovered">[33]Sheet1!$D$210:$AZ$210</definedName>
    <definedName name="Shell_CF">[33]Sheet1!$D$216:$AZ$216</definedName>
    <definedName name="Shell_cf_rt">[33]Sheet1!$D$218:$AZ$218</definedName>
    <definedName name="Shell_EXPEX">[33]Sheet1!$D$206:$AZ$206</definedName>
    <definedName name="Shell_Expex_recovered">[33]Sheet1!$D$209:$AZ$209</definedName>
    <definedName name="Shell_Expl_reward_gas">[33]Sheet1!$D$213:$AZ$213</definedName>
    <definedName name="Shell_Expl_reward_oil">[33]Sheet1!$D$214:$AZ$214</definedName>
    <definedName name="Shell_Fee">[33]Sheet1!$D$211:$AZ$211</definedName>
    <definedName name="Shell_OP" localSheetId="0">#REF!</definedName>
    <definedName name="Shell_OP">#REF!</definedName>
    <definedName name="Shell_Operated">#REF!</definedName>
    <definedName name="Shell_Operating_Income">#REF!</definedName>
    <definedName name="Shell_OPEX">[33]Sheet1!$D$207:$AZ$207</definedName>
    <definedName name="Shell_revenue">[33]Sheet1!$D$212:$AZ$212</definedName>
    <definedName name="shell_share">[33]Sheet1!$D$100</definedName>
    <definedName name="Shell_Tax">[33]Sheet1!$D$215:$AZ$215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'[21]prodprof 1'!$B$28</definedName>
    <definedName name="SlopeWE">'[21]prodprof 1'!$C$28</definedName>
    <definedName name="SlopeWH">'[21]prodprof 1'!$D$28</definedName>
    <definedName name="sma">[40]sma!$A$6:$F$19</definedName>
    <definedName name="SNAME1">'[63]Ultimate Recovery and Reserves'!#REF!</definedName>
    <definedName name="SNAME2">'[63]Ultimate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[71]source!$A$1:$M$833</definedName>
    <definedName name="Start">#REF!</definedName>
    <definedName name="Start_date" localSheetId="0">#REF!</definedName>
    <definedName name="Start_date">#REF!</definedName>
    <definedName name="STATUS">'[39]BASE DATA'!$A$2:$A$21</definedName>
    <definedName name="Status_Flag">[20]Economics!$F$12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>[26]Indicators!#REF!</definedName>
    <definedName name="stwds">[72]Indicators!$BU$2:$BU$65536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'[39]BASE DATA'!#REF!</definedName>
    <definedName name="SUPPLIERS">'[39]BASE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[33]Sheet1!$D$175:$AZ$175</definedName>
    <definedName name="TAXSUM" localSheetId="0">#REF!</definedName>
    <definedName name="TAXSUM">#REF!</definedName>
    <definedName name="tb">'[53]Reservoir Summary Data'!$B$39</definedName>
    <definedName name="TB_Rate_4.5">'[53]Reservoir Summary Data'!$B$60</definedName>
    <definedName name="TB_Rate_5.5">'[53]Reservoir Summary Data'!$B$67</definedName>
    <definedName name="teabrb">[26]Indicators!#REF!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[73]Full_Year!#REF!</definedName>
    <definedName name="TEST16">[73]Full_Year!#REF!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>[26]Indicators!#REF!</definedName>
    <definedName name="tkte">#REF!</definedName>
    <definedName name="tol_fin">[74]SetUp!$C$1001</definedName>
    <definedName name="tol_nonfin">[74]SetUp!$D$1001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>#REF!</definedName>
    <definedName name="tttt">[26]Indicators!#REF!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>[26]Indicators!#REF!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hjyjgf">[26]Indicators!#REF!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>#REF!</definedName>
    <definedName name="V_2">#REF!</definedName>
    <definedName name="V_3">#REF!</definedName>
    <definedName name="V_4">#REF!</definedName>
    <definedName name="V_411_01_Sales_Oil_Vol">#REF!</definedName>
    <definedName name="V_411_02_Sales_Gas_Vol">#REF!</definedName>
    <definedName name="V_411_03_Sales_NGL_Cond_Vol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dbrv">[26]Indicators!#REF!</definedName>
    <definedName name="vdsg">[26]Indicators!#REF!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'[53]Reservoir Summary Data'!$B$58</definedName>
    <definedName name="Vertical_EGP_Rate_5.5">'[53]Reservoir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'[21]prodprof 1'!$F$18</definedName>
    <definedName name="Well_Type">[75]Engine!$A$24:$A$33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>#REF!</definedName>
    <definedName name="Where">'[39]BASE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IF('[21]prodprof 1'!XEE1&lt;=[0]!CumP,'[21]prodprof 1'!XEE1*[0]!GORP,[0]!CumP*[0]!GORP+('[21]prodprof 1'!XEE1-[0]!CumP)*([0]!GORP+('[21]prodprof 1'!XEE1-[0]!CumP)*0.5*[0]!SlopeG))</definedName>
    <definedName name="wsdcgf">IF('[21]prodprof 1'!XEE1&lt;=CumP,'[21]prodprof 1'!XEE1*GORP,CumP*GORP+('[21]prodprof 1'!XEE1-CumP)*(GORP+('[21]prodprof 1'!XEE1-CumP)*0.5*SlopeG))</definedName>
    <definedName name="WW" localSheetId="0">#REF!</definedName>
    <definedName name="ww">[72]Indicators!$BI$2:$BI$65536</definedName>
    <definedName name="wyhg">#REF!</definedName>
    <definedName name="X_rate">'[76]As Is'!$B$17</definedName>
    <definedName name="X2005_Wells_Status_for_GWDP_update_Drilling_Only_List" localSheetId="0">#REF!</definedName>
    <definedName name="X2005_Wells_Status_for_GWDP_update_Drilling_Only_List">#REF!</definedName>
    <definedName name="xcv">[26]Indicators!#REF!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[42]SetUp!$I$1</definedName>
    <definedName name="year">[30]SetUp!$D$3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>[26]Indicators!#REF!</definedName>
    <definedName name="YTDadj">'[77]Shell Adj YTD'!$U$6:$AF$105</definedName>
    <definedName name="yvrrerb">[26]Indicators!#REF!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8" i="1" l="1"/>
  <c r="J18" i="8"/>
  <c r="H18" i="8"/>
  <c r="J17" i="8"/>
  <c r="Y16" i="8"/>
  <c r="Y18" i="8" s="1"/>
  <c r="Z15" i="8"/>
  <c r="Y15" i="8"/>
  <c r="X15" i="8"/>
  <c r="Y17" i="8" s="1"/>
  <c r="M13" i="8"/>
  <c r="N12" i="8"/>
  <c r="L11" i="8"/>
  <c r="L13" i="8" s="1"/>
  <c r="K11" i="8"/>
  <c r="K13" i="8" s="1"/>
  <c r="J11" i="8"/>
  <c r="J13" i="8" s="1"/>
  <c r="J14" i="8" s="1"/>
  <c r="I11" i="8"/>
  <c r="I13" i="8" s="1"/>
  <c r="H11" i="8"/>
  <c r="H13" i="8" s="1"/>
  <c r="H14" i="8" s="1"/>
  <c r="G11" i="8"/>
  <c r="G13" i="8" s="1"/>
  <c r="G14" i="8" s="1"/>
  <c r="F11" i="8"/>
  <c r="F13" i="8" s="1"/>
  <c r="E11" i="8"/>
  <c r="E13" i="8" s="1"/>
  <c r="D11" i="8"/>
  <c r="D13" i="8" s="1"/>
  <c r="C11" i="8"/>
  <c r="C13" i="8" s="1"/>
  <c r="J5" i="8"/>
  <c r="J16" i="8" s="1"/>
  <c r="J19" i="8" s="1"/>
  <c r="H5" i="8"/>
  <c r="H17" i="8" s="1"/>
  <c r="G5" i="8"/>
  <c r="G18" i="8" s="1"/>
  <c r="N4" i="8"/>
  <c r="N3" i="8"/>
  <c r="N14" i="8" l="1"/>
  <c r="O14" i="8"/>
  <c r="P14" i="8"/>
  <c r="N11" i="8"/>
  <c r="N13" i="8" s="1"/>
  <c r="H16" i="8"/>
  <c r="H19" i="8" s="1"/>
  <c r="G17" i="8"/>
  <c r="G16" i="8"/>
  <c r="N5" i="8"/>
  <c r="N17" i="8" l="1"/>
  <c r="N18" i="8"/>
  <c r="G19" i="8"/>
  <c r="N16" i="8"/>
  <c r="N19" i="8" s="1"/>
  <c r="C23" i="1"/>
  <c r="J14" i="1" l="1"/>
  <c r="J9" i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<sst xmlns="http://schemas.openxmlformats.org/spreadsheetml/2006/main" count="114" uniqueCount="79">
  <si>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</si>
  <si>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</si>
  <si>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</si>
  <si>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</si>
  <si>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</si>
  <si>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</si>
  <si>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</si>
  <si>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</si>
  <si>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</si>
  <si>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</si>
  <si>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</si>
  <si>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</si>
  <si>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</si>
  <si>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</si>
  <si>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</si>
  <si>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</si>
  <si>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</si>
  <si>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</si>
  <si>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</si>
  <si>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</si>
  <si>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</si>
  <si>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</si>
  <si>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</si>
  <si>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</si>
  <si>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</si>
  <si>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</si>
  <si>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</si>
  <si>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</si>
  <si>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</si>
  <si>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</si>
  <si>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</si>
  <si>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</si>
  <si>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</si>
  <si>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</si>
  <si>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</si>
  <si>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Oil</t>
  </si>
  <si>
    <t>ESTG1</t>
  </si>
  <si>
    <t>NBKF1</t>
  </si>
  <si>
    <t>SBKF1</t>
  </si>
  <si>
    <t>YOKF1</t>
  </si>
  <si>
    <t>ESCF1</t>
  </si>
  <si>
    <t>OTUF1</t>
  </si>
  <si>
    <t>BENF1</t>
  </si>
  <si>
    <t>OGBF1</t>
  </si>
  <si>
    <t>OPUF1</t>
  </si>
  <si>
    <t>TUNF1</t>
  </si>
  <si>
    <t>Net to Asset</t>
  </si>
  <si>
    <t>LACT Gains</t>
  </si>
  <si>
    <t>Other Gains</t>
  </si>
  <si>
    <t>Total</t>
  </si>
  <si>
    <t>Plan</t>
  </si>
  <si>
    <t>With FRM &amp; OML 40 LACT</t>
  </si>
  <si>
    <t>No FRM &amp; No OML 40 LACT</t>
  </si>
  <si>
    <t>With FRM LACT but No OML 40 LACT</t>
  </si>
  <si>
    <t>Actual</t>
  </si>
  <si>
    <t>BENS/1</t>
  </si>
  <si>
    <t>Inremental</t>
  </si>
  <si>
    <t>ESCB/1</t>
  </si>
  <si>
    <t>Pipeline Share</t>
  </si>
  <si>
    <t>FORC/2</t>
  </si>
  <si>
    <t>IDS Cages Share</t>
  </si>
  <si>
    <t>FORC/3</t>
  </si>
  <si>
    <t>FORC/4</t>
  </si>
  <si>
    <t>FORC/GP</t>
  </si>
  <si>
    <t>OPUK/1</t>
  </si>
  <si>
    <t>Allocation with LACTs</t>
  </si>
  <si>
    <t>FRM</t>
  </si>
  <si>
    <t>OML 40</t>
  </si>
  <si>
    <t>OTUM/1</t>
  </si>
  <si>
    <t>Allocation without LACTs</t>
  </si>
  <si>
    <t>OGBO/1</t>
  </si>
  <si>
    <t>TUNU/1</t>
  </si>
  <si>
    <t>LACT Gains above Plan</t>
  </si>
  <si>
    <t>Gain from the LACTs</t>
  </si>
  <si>
    <t>Gain from OML 40 LACT</t>
  </si>
  <si>
    <t>TUNFG1</t>
  </si>
  <si>
    <t>Unit = bbls</t>
  </si>
  <si>
    <t>Oct'19</t>
  </si>
  <si>
    <t>TUNU CPF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</si>
</sst>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_ ;\-#,##0.00\ "/>
    <numFmt numFmtId="169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theme="1"/>
      <name val="Futura Medium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7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  <xf numFmtId="43" fontId="1" fillId="0" borderId="0" applyFont="0" applyFill="0" applyBorder="0" applyAlignment="0" applyProtection="0"/>
    <xf numFmtId="0" fontId="6" fillId="0" borderId="0"/>
    <xf numFmtId="43" fontId="1" fillId="0" borderId="0" applyFont="0" applyFill="0" applyBorder="0" applyAlignment="0" applyProtection="0"/>
  </cellStyleXfs>
  <cellXfs count="62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0" fontId="0" fillId="0" borderId="0" xfId="0"/>
    <xf numFmtId="168" fontId="0" fillId="4" borderId="1" xfId="2" applyNumberFormat="1" applyFont="1" applyFill="1" applyBorder="1"/>
    <xf numFmtId="0" fontId="0" fillId="0" borderId="7" xfId="0" applyBorder="1"/>
    <xf numFmtId="0" fontId="3" fillId="0" borderId="7" xfId="0" applyFont="1" applyBorder="1" applyAlignment="1">
      <alignment horizontal="center"/>
    </xf>
    <xf numFmtId="0" fontId="3" fillId="0" borderId="7" xfId="0" applyFont="1" applyBorder="1"/>
    <xf numFmtId="3" fontId="0" fillId="0" borderId="7" xfId="0" applyNumberFormat="1" applyBorder="1" applyAlignment="1">
      <alignment horizontal="center"/>
    </xf>
    <xf numFmtId="0" fontId="7" fillId="0" borderId="11" xfId="0" applyFont="1" applyBorder="1"/>
    <xf numFmtId="169" fontId="7" fillId="0" borderId="7" xfId="6" applyNumberFormat="1" applyFont="1" applyBorder="1" applyAlignment="1">
      <alignment horizontal="center"/>
    </xf>
    <xf numFmtId="169" fontId="7" fillId="0" borderId="7" xfId="0" applyNumberFormat="1" applyFont="1" applyBorder="1" applyAlignment="1">
      <alignment horizontal="center"/>
    </xf>
    <xf numFmtId="169" fontId="7" fillId="0" borderId="12" xfId="0" applyNumberFormat="1" applyFont="1" applyBorder="1" applyAlignment="1">
      <alignment horizontal="center"/>
    </xf>
    <xf numFmtId="3" fontId="0" fillId="0" borderId="7" xfId="0" applyNumberFormat="1" applyBorder="1"/>
    <xf numFmtId="3" fontId="3" fillId="0" borderId="7" xfId="0" applyNumberFormat="1" applyFont="1" applyBorder="1"/>
    <xf numFmtId="3" fontId="3" fillId="0" borderId="7" xfId="0" applyNumberFormat="1" applyFont="1" applyBorder="1" applyAlignment="1">
      <alignment horizontal="center"/>
    </xf>
    <xf numFmtId="0" fontId="7" fillId="0" borderId="8" xfId="0" applyFont="1" applyBorder="1" applyAlignment="1">
      <alignment vertical="center"/>
    </xf>
    <xf numFmtId="0" fontId="7" fillId="0" borderId="0" xfId="0" applyFont="1"/>
    <xf numFmtId="0" fontId="7" fillId="0" borderId="15" xfId="0" applyFont="1" applyBorder="1" applyAlignment="1">
      <alignment wrapText="1"/>
    </xf>
    <xf numFmtId="169" fontId="7" fillId="0" borderId="16" xfId="0" applyNumberFormat="1" applyFont="1" applyBorder="1"/>
    <xf numFmtId="0" fontId="7" fillId="0" borderId="17" xfId="0" applyFont="1" applyBorder="1" applyAlignment="1">
      <alignment horizontal="center"/>
    </xf>
    <xf numFmtId="0" fontId="7" fillId="0" borderId="0" xfId="0" applyFont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 wrapText="1"/>
    </xf>
    <xf numFmtId="0" fontId="7" fillId="0" borderId="20" xfId="0" applyFont="1" applyBorder="1" applyAlignment="1">
      <alignment horizontal="center" vertical="center" wrapText="1"/>
    </xf>
    <xf numFmtId="0" fontId="7" fillId="0" borderId="13" xfId="0" applyFont="1" applyBorder="1"/>
    <xf numFmtId="169" fontId="7" fillId="0" borderId="21" xfId="6" applyNumberFormat="1" applyFont="1" applyBorder="1" applyAlignment="1">
      <alignment horizontal="center"/>
    </xf>
    <xf numFmtId="169" fontId="7" fillId="0" borderId="21" xfId="0" applyNumberFormat="1" applyFont="1" applyBorder="1" applyAlignment="1">
      <alignment horizontal="center"/>
    </xf>
    <xf numFmtId="169" fontId="7" fillId="0" borderId="14" xfId="0" applyNumberFormat="1" applyFont="1" applyBorder="1" applyAlignment="1">
      <alignment horizontal="center"/>
    </xf>
    <xf numFmtId="0" fontId="7" fillId="0" borderId="0" xfId="0" applyFont="1" applyAlignment="1">
      <alignment vertical="center"/>
    </xf>
    <xf numFmtId="0" fontId="7" fillId="0" borderId="15" xfId="0" applyFont="1" applyBorder="1"/>
    <xf numFmtId="169" fontId="7" fillId="0" borderId="22" xfId="0" applyNumberFormat="1" applyFont="1" applyBorder="1" applyAlignment="1">
      <alignment horizontal="center"/>
    </xf>
    <xf numFmtId="169" fontId="7" fillId="0" borderId="16" xfId="0" applyNumberFormat="1" applyFont="1" applyBorder="1" applyAlignment="1">
      <alignment horizontal="center"/>
    </xf>
    <xf numFmtId="169" fontId="7" fillId="0" borderId="9" xfId="0" applyNumberFormat="1" applyFont="1" applyBorder="1" applyAlignment="1">
      <alignment vertical="center"/>
    </xf>
    <xf numFmtId="169" fontId="7" fillId="0" borderId="10" xfId="0" applyNumberFormat="1" applyFont="1" applyBorder="1" applyAlignment="1">
      <alignment vertical="center"/>
    </xf>
    <xf numFmtId="0" fontId="7" fillId="0" borderId="13" xfId="0" applyFont="1" applyBorder="1" applyAlignment="1">
      <alignment vertical="center" wrapText="1"/>
    </xf>
    <xf numFmtId="169" fontId="7" fillId="0" borderId="14" xfId="0" applyNumberFormat="1" applyFont="1" applyBorder="1" applyAlignment="1">
      <alignment vertical="center"/>
    </xf>
    <xf numFmtId="0" fontId="7" fillId="0" borderId="15" xfId="0" applyFont="1" applyBorder="1" applyAlignment="1">
      <alignment vertical="center" wrapText="1"/>
    </xf>
    <xf numFmtId="169" fontId="7" fillId="0" borderId="16" xfId="0" applyNumberFormat="1" applyFont="1" applyBorder="1" applyAlignment="1">
      <alignment vertical="center"/>
    </xf>
  </cellXfs>
  <cellStyles count="7">
    <cellStyle name="Comma" xfId="6" builtinId="3"/>
    <cellStyle name="Comma 10 6" xfId="1" xr:uid="{52006BFE-9059-45E3-99D4-20161C221BFD}"/>
    <cellStyle name="Comma 10 6 2" xfId="4" xr:uid="{BF06D6A9-D617-41C0-817A-8B5D5B9D32F5}"/>
    <cellStyle name="Comma 2" xfId="2" xr:uid="{3F92C62A-CD5B-47EB-9B8B-455244283276}"/>
    <cellStyle name="Normal" xfId="0" builtinId="0"/>
    <cellStyle name="Normal 2" xfId="3" xr:uid="{2C54B063-4362-49D8-9655-229B2D03D0DF}"/>
    <cellStyle name="Normal 3" xfId="5" xr:uid="{4DCD5427-F8CC-41F5-9298-62C67A7D920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sharedStrings" Target="sharedStrings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styles" Target="styles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  <sheetName val="NON-LIFE_RAW2"/>
      <sheetName val="NON-LIFE_RAW"/>
      <sheetName val="NON-LIFE_RAW1"/>
      <sheetName val="NON-LIFE_RAW3"/>
      <sheetName val="NON-LIFE_RAW4"/>
      <sheetName val="NON-LIFE_RAW5"/>
      <sheetName val="NON-LIFE_RAW6"/>
      <sheetName val="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DropDowns"/>
      <sheetName val="LineBusiness"/>
      <sheetName val="Reservoir Summary Data"/>
      <sheetName val="Vivaldi Hub 1.3 tcf"/>
      <sheetName val="Registry"/>
      <sheetName val="Reference"/>
      <sheetName val="Definitions"/>
      <sheetName val="Input_Output"/>
      <sheetName val="OCIP Resource Allocation"/>
      <sheetName val="Oil Parameters"/>
      <sheetName val="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A1:K43"/>
  <sheetViews>
    <sheetView tabSelected="1" zoomScale="85" zoomScaleNormal="85" workbookViewId="0">
      <selection activeCell="B30" sqref="B30"/>
    </sheetView>
  </sheetViews>
  <sheetFormatPr defaultRowHeight="14.5" x14ac:dyDescent="0.35"/>
  <cols>
    <col min="2" max="2" width="53.4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35">
      <c r="B7" s="7" t="s">
        <v>9</v>
      </c>
      <c r="C7" s="11">
        <v>31</v>
      </c>
      <c r="E7" s="7" t="s">
        <v>9</v>
      </c>
      <c r="F7" s="11"/>
      <c r="I7" s="7" t="s">
        <v>9</v>
      </c>
      <c r="J7" s="11">
        <v>31</v>
      </c>
    </row>
    <row r="8" spans="2:11" x14ac:dyDescent="0.35">
      <c r="B8" s="7" t="s">
        <v>10</v>
      </c>
      <c r="C8" s="27">
        <f>'Oct 2019 Production'!P14/31/1000</f>
        <v>3.078078500974712</v>
      </c>
      <c r="D8" t="s">
        <v>11</v>
      </c>
      <c r="E8" s="7" t="s">
        <v>10</v>
      </c>
      <c r="F8" s="12"/>
      <c r="G8" t="s">
        <v>11</v>
      </c>
      <c r="I8" s="7" t="s">
        <v>10</v>
      </c>
      <c r="J8" s="12"/>
      <c r="K8" t="s">
        <v>11</v>
      </c>
    </row>
    <row r="9" spans="2:11" x14ac:dyDescent="0.35">
      <c r="B9" s="7" t="s">
        <v>12</v>
      </c>
      <c r="C9" s="14">
        <f>C8*C7*1000</f>
        <v>95420.433530216076</v>
      </c>
      <c r="E9" s="7" t="s">
        <v>13</v>
      </c>
      <c r="F9" s="14">
        <f>F8*F7*1000</f>
        <v>0</v>
      </c>
      <c r="I9" s="7" t="s">
        <v>13</v>
      </c>
      <c r="J9" s="13">
        <f t="shared" ref="J9" si="0">J8*J7*1000</f>
        <v>0</v>
      </c>
    </row>
    <row r="10" spans="2:11" x14ac:dyDescent="0.35">
      <c r="B10" s="7" t="s">
        <v>14</v>
      </c>
      <c r="C10" s="16">
        <f t="shared" ref="C10" si="1">+C9*C6</f>
        <v>6321317.4600762241</v>
      </c>
      <c r="E10" s="7" t="s">
        <v>14</v>
      </c>
      <c r="F10" s="16">
        <f>+F9*F6*5.8</f>
        <v>0</v>
      </c>
      <c r="I10" s="7" t="s">
        <v>14</v>
      </c>
      <c r="J10" s="16">
        <f>+J9*J6*5.8</f>
        <v>0</v>
      </c>
    </row>
    <row r="11" spans="2:11" x14ac:dyDescent="0.35">
      <c r="B11" s="7" t="s">
        <v>15</v>
      </c>
      <c r="C11" s="18">
        <f t="shared" ref="C11" si="2">-C10*0.2</f>
        <v>-1264263.4920152449</v>
      </c>
      <c r="D11" t="s">
        <v>16</v>
      </c>
      <c r="E11" s="7" t="s">
        <v>17</v>
      </c>
      <c r="F11" s="18">
        <f>-F10*0.07</f>
        <v>0</v>
      </c>
      <c r="G11" t="s">
        <v>18</v>
      </c>
      <c r="I11" s="7" t="s">
        <v>17</v>
      </c>
      <c r="J11" s="18">
        <f>-J10*0.07</f>
        <v>0</v>
      </c>
      <c r="K11" t="s">
        <v>18</v>
      </c>
    </row>
    <row r="12" spans="2:11" x14ac:dyDescent="0.35">
      <c r="B12" s="7" t="s">
        <v>19</v>
      </c>
      <c r="C12" s="17"/>
      <c r="E12" s="7" t="s">
        <v>19</v>
      </c>
      <c r="F12" s="17">
        <v>0</v>
      </c>
      <c r="I12" s="7" t="s">
        <v>19</v>
      </c>
      <c r="J12" s="17">
        <v>0</v>
      </c>
    </row>
    <row r="13" spans="2:11" x14ac:dyDescent="0.35">
      <c r="B13" s="7" t="s">
        <v>20</v>
      </c>
      <c r="C13" s="17"/>
      <c r="E13" s="7" t="s">
        <v>20</v>
      </c>
      <c r="F13" s="17"/>
      <c r="I13" s="7" t="s">
        <v>20</v>
      </c>
      <c r="J13" s="17"/>
    </row>
    <row r="14" spans="2:11" x14ac:dyDescent="0.35">
      <c r="B14" s="7" t="s">
        <v>21</v>
      </c>
      <c r="C14" s="17"/>
      <c r="E14" s="7" t="s">
        <v>21</v>
      </c>
      <c r="F14" s="17"/>
      <c r="I14" s="7" t="s">
        <v>21</v>
      </c>
      <c r="J14" s="17">
        <f>-J8*J7*2706</f>
        <v>0</v>
      </c>
    </row>
    <row r="15" spans="2:11" x14ac:dyDescent="0.35">
      <c r="B15" s="7" t="s">
        <v>22</v>
      </c>
      <c r="C15" s="19">
        <f>+C10+C11+C12+C13+C14</f>
        <v>5057053.9680609796</v>
      </c>
      <c r="E15" s="7" t="s">
        <v>22</v>
      </c>
      <c r="F15" s="19">
        <f>+F10+F11+F12+F13+F14</f>
        <v>0</v>
      </c>
      <c r="I15" s="7" t="s">
        <v>22</v>
      </c>
      <c r="J15" s="19">
        <f>+J10+J11+J12+J13+J14</f>
        <v>0</v>
      </c>
    </row>
    <row r="16" spans="2:11" x14ac:dyDescent="0.35">
      <c r="B16" s="7" t="s">
        <v>23</v>
      </c>
      <c r="C16" s="17">
        <f>-C15*0.1275</f>
        <v>-644774.38092777494</v>
      </c>
      <c r="D16" t="s">
        <v>31</v>
      </c>
      <c r="E16" s="7" t="s">
        <v>24</v>
      </c>
      <c r="F16" s="17">
        <f>-F15*0.3</f>
        <v>0</v>
      </c>
      <c r="I16" s="7" t="s">
        <v>24</v>
      </c>
      <c r="J16" s="17">
        <f>-J15*0.3</f>
        <v>0</v>
      </c>
    </row>
    <row r="17" spans="1:11" x14ac:dyDescent="0.35">
      <c r="B17" s="20"/>
      <c r="C17" s="21"/>
      <c r="E17" s="20"/>
      <c r="F17" s="21"/>
      <c r="I17" s="20"/>
      <c r="J17" s="21"/>
    </row>
    <row r="18" spans="1:11" ht="15" thickBot="1" x14ac:dyDescent="0.4">
      <c r="B18" s="22" t="s">
        <v>25</v>
      </c>
      <c r="C18" s="15">
        <f t="shared" ref="C18" si="3">+C15+C16</f>
        <v>4412279.5871332046</v>
      </c>
      <c r="E18" s="22" t="s">
        <v>25</v>
      </c>
      <c r="F18" s="15">
        <f t="shared" ref="F18" si="4">+F15+F16</f>
        <v>0</v>
      </c>
      <c r="I18" s="22" t="s">
        <v>25</v>
      </c>
      <c r="J18" s="15">
        <f t="shared" ref="J18" si="5">+J15+J16</f>
        <v>0</v>
      </c>
    </row>
    <row r="19" spans="1:11" ht="15" thickTop="1" x14ac:dyDescent="0.35"/>
    <row r="20" spans="1:11" ht="15" thickBot="1" x14ac:dyDescent="0.4">
      <c r="B20" t="s">
        <v>26</v>
      </c>
      <c r="C20" s="23">
        <f>C18-C14</f>
        <v>4412279.5871332046</v>
      </c>
      <c r="D20" t="s">
        <v>27</v>
      </c>
      <c r="E20" t="s">
        <v>26</v>
      </c>
      <c r="F20" s="23">
        <f>F18-F14</f>
        <v>0</v>
      </c>
      <c r="G20" t="s">
        <v>27</v>
      </c>
      <c r="I20" t="s">
        <v>26</v>
      </c>
      <c r="J20" s="23">
        <f>J18-J14</f>
        <v>0</v>
      </c>
      <c r="K20" t="s">
        <v>27</v>
      </c>
    </row>
    <row r="21" spans="1:11" ht="15" thickTop="1" x14ac:dyDescent="0.35"/>
    <row r="22" spans="1:11" x14ac:dyDescent="0.35">
      <c r="B22" s="5" t="s">
        <v>4</v>
      </c>
      <c r="C22" s="6"/>
    </row>
    <row r="23" spans="1:11" x14ac:dyDescent="0.35">
      <c r="B23" s="5" t="s">
        <v>28</v>
      </c>
      <c r="C23" s="6">
        <f>(-0.2*C22*0.1275)</f>
        <v>0</v>
      </c>
    </row>
    <row r="24" spans="1:11" x14ac:dyDescent="0.35">
      <c r="B24" t="s">
        <v>33</v>
      </c>
      <c r="C24" s="24">
        <f>C23+C22+C20</f>
        <v>4412279.5871332046</v>
      </c>
    </row>
    <row r="25" spans="1:11" x14ac:dyDescent="0.35">
      <c r="B25" t="s">
        <v>34</v>
      </c>
      <c r="C25" s="25">
        <f>C24*0.3</f>
        <v>1323683.8761399614</v>
      </c>
      <c r="E25" t="s">
        <v>30</v>
      </c>
      <c r="F25" s="25">
        <f>F20*0.3</f>
        <v>0</v>
      </c>
      <c r="I25" t="s">
        <v>29</v>
      </c>
      <c r="J25" s="25">
        <f>J20*0.3</f>
        <v>0</v>
      </c>
    </row>
    <row r="27" spans="1:11" x14ac:dyDescent="0.35">
      <c r="B27" t="s">
        <v>32</v>
      </c>
      <c r="C27" s="4">
        <f>C25+F25+J25</f>
        <v>1323683.8761399614</v>
      </c>
    </row>
    <row r="29" spans="1:11" x14ac:dyDescent="0.35">
      <c r="C29" s="4"/>
    </row>
    <row r="30" spans="1:11" x14ac:dyDescent="0.35">
      <c r="C30" s="4"/>
    </row>
    <row r="31" spans="1:11" x14ac:dyDescent="0.35">
      <c r="C31" s="4"/>
    </row>
    <row r="32" spans="1:11" x14ac:dyDescent="0.35">
      <c r="A32" s="26"/>
      <c r="B32" s="26"/>
      <c r="C32" s="4"/>
    </row>
    <row r="33" spans="1:3" x14ac:dyDescent="0.35">
      <c r="A33" s="26"/>
      <c r="B33" s="26"/>
      <c r="C33" s="4"/>
    </row>
    <row r="34" spans="1:3" x14ac:dyDescent="0.35">
      <c r="C34" s="25"/>
    </row>
    <row r="35" spans="1:3" x14ac:dyDescent="0.35">
      <c r="C35" s="25"/>
    </row>
    <row r="36" spans="1:3" x14ac:dyDescent="0.35">
      <c r="C36" s="25"/>
    </row>
    <row r="37" spans="1:3" x14ac:dyDescent="0.35">
      <c r="C37" s="25"/>
    </row>
    <row r="42" spans="1:3" x14ac:dyDescent="0.35">
      <c r="C42" s="4"/>
    </row>
    <row r="43" spans="1:3" x14ac:dyDescent="0.35">
      <c r="C43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67BAA-6D9F-4B1A-B703-C2BE46E1A8ED}">
  <dimension ref="B1:Z19"/>
  <sheetViews>
    <sheetView workbookViewId="0">
      <selection activeCell="S31" sqref="S31"/>
    </sheetView>
  </sheetViews>
  <sheetFormatPr defaultColWidth="9.1796875" defaultRowHeight="14.5" x14ac:dyDescent="0.35"/>
  <cols>
    <col min="1" max="1" width="9.1796875" style="26"/>
    <col min="2" max="2" width="23.453125" style="26" bestFit="1" customWidth="1"/>
    <col min="3" max="3" width="7.1796875" style="26" customWidth="1"/>
    <col min="4" max="4" width="10" style="26" customWidth="1"/>
    <col min="5" max="5" width="9.7265625" style="26" customWidth="1"/>
    <col min="6" max="6" width="10.54296875" style="26" customWidth="1"/>
    <col min="7" max="7" width="11.7265625" style="26" bestFit="1" customWidth="1"/>
    <col min="8" max="8" width="11.54296875" style="26" bestFit="1" customWidth="1"/>
    <col min="9" max="9" width="9.54296875" style="26" bestFit="1" customWidth="1"/>
    <col min="10" max="10" width="10.54296875" style="26" bestFit="1" customWidth="1"/>
    <col min="11" max="12" width="9.54296875" style="26" bestFit="1" customWidth="1"/>
    <col min="13" max="13" width="11.26953125" style="26" bestFit="1" customWidth="1"/>
    <col min="14" max="22" width="9.1796875" style="26"/>
    <col min="23" max="25" width="14.26953125" style="26" bestFit="1" customWidth="1"/>
    <col min="26" max="16384" width="9.1796875" style="26"/>
  </cols>
  <sheetData>
    <row r="1" spans="2:26" x14ac:dyDescent="0.35">
      <c r="B1" s="5" t="s">
        <v>35</v>
      </c>
      <c r="C1" s="5"/>
    </row>
    <row r="2" spans="2:26" ht="15" thickBot="1" x14ac:dyDescent="0.4">
      <c r="B2" s="28"/>
      <c r="C2" s="29" t="s">
        <v>36</v>
      </c>
      <c r="D2" s="29" t="s">
        <v>37</v>
      </c>
      <c r="E2" s="29" t="s">
        <v>38</v>
      </c>
      <c r="F2" s="29" t="s">
        <v>39</v>
      </c>
      <c r="G2" s="29" t="s">
        <v>40</v>
      </c>
      <c r="H2" s="29" t="s">
        <v>41</v>
      </c>
      <c r="I2" s="29" t="s">
        <v>42</v>
      </c>
      <c r="J2" s="29" t="s">
        <v>43</v>
      </c>
      <c r="K2" s="29" t="s">
        <v>44</v>
      </c>
      <c r="L2" s="29" t="s">
        <v>45</v>
      </c>
      <c r="M2" s="29" t="s">
        <v>75</v>
      </c>
      <c r="N2" s="29" t="s">
        <v>49</v>
      </c>
      <c r="V2" s="40" t="s">
        <v>76</v>
      </c>
      <c r="W2" s="43" t="s">
        <v>77</v>
      </c>
      <c r="X2" s="43"/>
      <c r="Y2" s="43"/>
      <c r="Z2" s="43"/>
    </row>
    <row r="3" spans="2:26" ht="52.5" thickBot="1" x14ac:dyDescent="0.4">
      <c r="B3" s="30" t="s">
        <v>50</v>
      </c>
      <c r="C3" s="31">
        <v>3285.07</v>
      </c>
      <c r="D3" s="31">
        <v>289874.92972134962</v>
      </c>
      <c r="E3" s="31">
        <v>713793.57874598249</v>
      </c>
      <c r="F3" s="31">
        <v>356715.97711513581</v>
      </c>
      <c r="G3" s="31">
        <v>188526.76375875872</v>
      </c>
      <c r="H3" s="31">
        <v>240513.5689629468</v>
      </c>
      <c r="I3" s="31">
        <v>442209.08813436388</v>
      </c>
      <c r="J3" s="31">
        <v>180039.4106347856</v>
      </c>
      <c r="K3" s="31">
        <v>453846.88253663236</v>
      </c>
      <c r="L3" s="31">
        <v>530649.82276522228</v>
      </c>
      <c r="M3" s="31">
        <v>94427.86</v>
      </c>
      <c r="N3" s="31">
        <f>SUM(C3:M3)</f>
        <v>3493882.9523751773</v>
      </c>
      <c r="V3" s="44"/>
      <c r="W3" s="45"/>
      <c r="X3" s="46" t="s">
        <v>51</v>
      </c>
      <c r="Y3" s="46" t="s">
        <v>52</v>
      </c>
      <c r="Z3" s="47" t="s">
        <v>53</v>
      </c>
    </row>
    <row r="4" spans="2:26" x14ac:dyDescent="0.35">
      <c r="B4" s="30" t="s">
        <v>54</v>
      </c>
      <c r="C4" s="31">
        <v>3225.9499986472902</v>
      </c>
      <c r="D4" s="31">
        <v>254883.77989312218</v>
      </c>
      <c r="E4" s="31">
        <v>591220.70975208981</v>
      </c>
      <c r="F4" s="31">
        <v>182475.56992348452</v>
      </c>
      <c r="G4" s="31">
        <v>244267.63989757391</v>
      </c>
      <c r="H4" s="31">
        <v>582703.62975566066</v>
      </c>
      <c r="I4" s="31">
        <v>348012.17985407147</v>
      </c>
      <c r="J4" s="31">
        <v>392145.10983556585</v>
      </c>
      <c r="K4" s="31">
        <v>246753.04989653145</v>
      </c>
      <c r="L4" s="31">
        <v>299831.77987427457</v>
      </c>
      <c r="M4" s="31">
        <v>22948.349990377319</v>
      </c>
      <c r="N4" s="31">
        <f>SUM(C4:M4)</f>
        <v>3168467.748671399</v>
      </c>
      <c r="V4" s="40"/>
      <c r="W4" s="48" t="s">
        <v>55</v>
      </c>
      <c r="X4" s="49">
        <v>348012.18072270218</v>
      </c>
      <c r="Y4" s="50">
        <v>291146.93337782909</v>
      </c>
      <c r="Z4" s="51">
        <v>327695.37180398405</v>
      </c>
    </row>
    <row r="5" spans="2:26" x14ac:dyDescent="0.35">
      <c r="B5" s="30" t="s">
        <v>56</v>
      </c>
      <c r="C5" s="31"/>
      <c r="D5" s="31"/>
      <c r="E5" s="31"/>
      <c r="F5" s="31"/>
      <c r="G5" s="31">
        <f>G4-G3</f>
        <v>55740.876138815191</v>
      </c>
      <c r="H5" s="31">
        <f>H4-H3</f>
        <v>342190.06079271389</v>
      </c>
      <c r="I5" s="31"/>
      <c r="J5" s="31">
        <f>J4-J3</f>
        <v>212105.69920078025</v>
      </c>
      <c r="K5" s="31"/>
      <c r="L5" s="31"/>
      <c r="M5" s="31"/>
      <c r="N5" s="31">
        <f>SUM(C5:L5)</f>
        <v>610036.63613230933</v>
      </c>
      <c r="V5" s="40"/>
      <c r="W5" s="32" t="s">
        <v>57</v>
      </c>
      <c r="X5" s="33">
        <v>244267.64214094487</v>
      </c>
      <c r="Y5" s="34">
        <v>210310.14057358241</v>
      </c>
      <c r="Z5" s="35">
        <v>236040.51211933375</v>
      </c>
    </row>
    <row r="6" spans="2:26" x14ac:dyDescent="0.35">
      <c r="B6" s="30" t="s">
        <v>58</v>
      </c>
      <c r="C6" s="30"/>
      <c r="D6" s="28"/>
      <c r="E6" s="28"/>
      <c r="F6" s="28"/>
      <c r="G6" s="28"/>
      <c r="H6" s="36"/>
      <c r="I6" s="36"/>
      <c r="J6" s="36"/>
      <c r="K6" s="36"/>
      <c r="L6" s="36"/>
      <c r="M6" s="36"/>
      <c r="N6" s="36"/>
      <c r="V6" s="40"/>
      <c r="W6" s="32" t="s">
        <v>59</v>
      </c>
      <c r="X6" s="33">
        <v>591220.70551159244</v>
      </c>
      <c r="Y6" s="34">
        <v>503119.18931098882</v>
      </c>
      <c r="Z6" s="35">
        <v>565319.81838876382</v>
      </c>
    </row>
    <row r="7" spans="2:26" x14ac:dyDescent="0.35">
      <c r="B7" s="30" t="s">
        <v>60</v>
      </c>
      <c r="C7" s="30"/>
      <c r="D7" s="28"/>
      <c r="E7" s="28"/>
      <c r="F7" s="28"/>
      <c r="G7" s="28"/>
      <c r="H7" s="36"/>
      <c r="I7" s="36"/>
      <c r="J7" s="36"/>
      <c r="K7" s="36"/>
      <c r="L7" s="36"/>
      <c r="M7" s="36"/>
      <c r="N7" s="36"/>
      <c r="V7" s="40"/>
      <c r="W7" s="32" t="s">
        <v>61</v>
      </c>
      <c r="X7" s="33">
        <v>254883.78157437584</v>
      </c>
      <c r="Y7" s="34">
        <v>222190.70461609238</v>
      </c>
      <c r="Z7" s="35">
        <v>249074.88571010347</v>
      </c>
    </row>
    <row r="8" spans="2:26" x14ac:dyDescent="0.35">
      <c r="B8" s="30" t="s">
        <v>46</v>
      </c>
      <c r="C8" s="30"/>
      <c r="D8" s="28"/>
      <c r="E8" s="28"/>
      <c r="F8" s="28"/>
      <c r="G8" s="28"/>
      <c r="H8" s="37"/>
      <c r="I8" s="37"/>
      <c r="J8" s="37"/>
      <c r="K8" s="37"/>
      <c r="L8" s="37"/>
      <c r="M8" s="37"/>
      <c r="N8" s="37"/>
      <c r="V8" s="40"/>
      <c r="W8" s="32" t="s">
        <v>62</v>
      </c>
      <c r="X8" s="33">
        <v>182475.56641215092</v>
      </c>
      <c r="Y8" s="34">
        <v>137826.64287105782</v>
      </c>
      <c r="Z8" s="35">
        <v>156797.96448126211</v>
      </c>
    </row>
    <row r="9" spans="2:26" x14ac:dyDescent="0.35">
      <c r="V9" s="40"/>
      <c r="W9" s="32" t="s">
        <v>63</v>
      </c>
      <c r="X9" s="33">
        <v>3225.9455506373361</v>
      </c>
      <c r="Y9" s="34">
        <v>3096.8567909178992</v>
      </c>
      <c r="Z9" s="35">
        <v>3109.0019375694583</v>
      </c>
    </row>
    <row r="10" spans="2:26" x14ac:dyDescent="0.35">
      <c r="V10" s="40"/>
      <c r="W10" s="32" t="s">
        <v>64</v>
      </c>
      <c r="X10" s="33">
        <v>246753.04885518877</v>
      </c>
      <c r="Y10" s="34">
        <v>200954.95882515848</v>
      </c>
      <c r="Z10" s="35">
        <v>226798.05120637984</v>
      </c>
    </row>
    <row r="11" spans="2:26" x14ac:dyDescent="0.35">
      <c r="B11" s="30" t="s">
        <v>65</v>
      </c>
      <c r="C11" s="31">
        <f>C4</f>
        <v>3225.9499986472902</v>
      </c>
      <c r="D11" s="31">
        <f t="shared" ref="D11:L11" si="0">D4</f>
        <v>254883.77989312218</v>
      </c>
      <c r="E11" s="31">
        <f t="shared" si="0"/>
        <v>591220.70975208981</v>
      </c>
      <c r="F11" s="31">
        <f t="shared" si="0"/>
        <v>182475.56992348452</v>
      </c>
      <c r="G11" s="31">
        <f t="shared" si="0"/>
        <v>244267.63989757391</v>
      </c>
      <c r="H11" s="31">
        <f t="shared" si="0"/>
        <v>582703.62975566066</v>
      </c>
      <c r="I11" s="31">
        <f t="shared" si="0"/>
        <v>348012.17985407147</v>
      </c>
      <c r="J11" s="31">
        <f t="shared" si="0"/>
        <v>392145.10983556585</v>
      </c>
      <c r="K11" s="31">
        <f t="shared" si="0"/>
        <v>246753.04989653145</v>
      </c>
      <c r="L11" s="31">
        <f t="shared" si="0"/>
        <v>299831.77987427457</v>
      </c>
      <c r="M11" s="31">
        <v>22948.349990377319</v>
      </c>
      <c r="N11" s="31">
        <f>SUM(C11:L11)</f>
        <v>3145519.3986810218</v>
      </c>
      <c r="O11" s="38" t="s">
        <v>66</v>
      </c>
      <c r="P11" s="38" t="s">
        <v>67</v>
      </c>
      <c r="V11" s="40"/>
      <c r="W11" s="32" t="s">
        <v>68</v>
      </c>
      <c r="X11" s="33">
        <v>582703.62833833287</v>
      </c>
      <c r="Y11" s="34">
        <v>434524.99279867054</v>
      </c>
      <c r="Z11" s="35">
        <v>495033.94129346311</v>
      </c>
    </row>
    <row r="12" spans="2:26" x14ac:dyDescent="0.35">
      <c r="B12" s="30" t="s">
        <v>69</v>
      </c>
      <c r="C12" s="31">
        <v>3096.8567909178992</v>
      </c>
      <c r="D12" s="31">
        <v>222190.70461609238</v>
      </c>
      <c r="E12" s="31">
        <v>503119.18931098882</v>
      </c>
      <c r="F12" s="31">
        <v>137826.64287105782</v>
      </c>
      <c r="G12" s="31">
        <v>210310.14057358241</v>
      </c>
      <c r="H12" s="31">
        <v>434524.99279867054</v>
      </c>
      <c r="I12" s="31">
        <v>291146.93337782909</v>
      </c>
      <c r="J12" s="31">
        <v>340567.4689198882</v>
      </c>
      <c r="K12" s="31">
        <v>200954.95882515848</v>
      </c>
      <c r="L12" s="31">
        <v>243343.59178973603</v>
      </c>
      <c r="M12" s="31">
        <v>20542.027830863877</v>
      </c>
      <c r="N12" s="31">
        <f>SUM(C12:L12)</f>
        <v>2587081.4798739217</v>
      </c>
      <c r="O12" s="31"/>
      <c r="P12" s="31"/>
      <c r="V12" s="40"/>
      <c r="W12" s="32" t="s">
        <v>78</v>
      </c>
      <c r="X12" s="34">
        <v>22948.352088984258</v>
      </c>
      <c r="Y12" s="34">
        <v>20542.027830863877</v>
      </c>
      <c r="Z12" s="35">
        <v>22969.500487731715</v>
      </c>
    </row>
    <row r="13" spans="2:26" x14ac:dyDescent="0.35">
      <c r="B13" s="30" t="s">
        <v>47</v>
      </c>
      <c r="C13" s="31">
        <f>C11-C12</f>
        <v>129.093207729391</v>
      </c>
      <c r="D13" s="31">
        <f t="shared" ref="D13:M13" si="1">D11-D12</f>
        <v>32693.075277029799</v>
      </c>
      <c r="E13" s="31">
        <f t="shared" si="1"/>
        <v>88101.520441100991</v>
      </c>
      <c r="F13" s="31">
        <f t="shared" si="1"/>
        <v>44648.927052426705</v>
      </c>
      <c r="G13" s="31">
        <f t="shared" si="1"/>
        <v>33957.499323991506</v>
      </c>
      <c r="H13" s="31">
        <f t="shared" si="1"/>
        <v>148178.63695699011</v>
      </c>
      <c r="I13" s="31">
        <f t="shared" si="1"/>
        <v>56865.246476242377</v>
      </c>
      <c r="J13" s="31">
        <f t="shared" si="1"/>
        <v>51577.64091567765</v>
      </c>
      <c r="K13" s="31">
        <f t="shared" si="1"/>
        <v>45798.091071372968</v>
      </c>
      <c r="L13" s="31">
        <f t="shared" si="1"/>
        <v>56488.188084538531</v>
      </c>
      <c r="M13" s="31">
        <f t="shared" si="1"/>
        <v>2406.3221595134419</v>
      </c>
      <c r="N13" s="31">
        <f>N11-N12</f>
        <v>558437.91880710004</v>
      </c>
      <c r="O13" s="31"/>
      <c r="P13" s="31"/>
      <c r="V13" s="40"/>
      <c r="W13" s="32" t="s">
        <v>70</v>
      </c>
      <c r="X13" s="34">
        <v>392145.11483134201</v>
      </c>
      <c r="Y13" s="34">
        <v>340567.4689198882</v>
      </c>
      <c r="Z13" s="35">
        <v>381912.87670067418</v>
      </c>
    </row>
    <row r="14" spans="2:26" ht="15" thickBot="1" x14ac:dyDescent="0.4">
      <c r="B14" s="30" t="s">
        <v>72</v>
      </c>
      <c r="C14" s="31"/>
      <c r="D14" s="31"/>
      <c r="E14" s="31"/>
      <c r="F14" s="31"/>
      <c r="G14" s="31">
        <f>G13</f>
        <v>33957.499323991506</v>
      </c>
      <c r="H14" s="31">
        <f>H13</f>
        <v>148178.63695699011</v>
      </c>
      <c r="I14" s="31"/>
      <c r="J14" s="31">
        <f>J13</f>
        <v>51577.64091567765</v>
      </c>
      <c r="K14" s="31"/>
      <c r="L14" s="31"/>
      <c r="M14" s="31"/>
      <c r="N14" s="38">
        <f>SUM(C14:L14)</f>
        <v>233713.77719665927</v>
      </c>
      <c r="O14" s="38">
        <f>Y18/Y16*N14</f>
        <v>138293.34366644319</v>
      </c>
      <c r="P14" s="38">
        <f>Y17/Y16*N14</f>
        <v>95420.433530216076</v>
      </c>
      <c r="V14" s="52"/>
      <c r="W14" s="53" t="s">
        <v>71</v>
      </c>
      <c r="X14" s="54">
        <v>299831.78264514817</v>
      </c>
      <c r="Y14" s="54">
        <v>243343.59178973603</v>
      </c>
      <c r="Z14" s="55">
        <v>274734.88359003927</v>
      </c>
    </row>
    <row r="15" spans="2:26" ht="15" thickBot="1" x14ac:dyDescent="0.4">
      <c r="B15" s="30"/>
      <c r="V15" s="40"/>
      <c r="W15" s="39"/>
      <c r="X15" s="56">
        <f>SUM(X4:X14)</f>
        <v>3168467.7486713994</v>
      </c>
      <c r="Y15" s="56">
        <f>SUM(Y4:Y14)</f>
        <v>2607623.5077047856</v>
      </c>
      <c r="Z15" s="57">
        <f>SUM(Z4:Z14)</f>
        <v>2939486.8077193047</v>
      </c>
    </row>
    <row r="16" spans="2:26" ht="26" x14ac:dyDescent="0.35">
      <c r="B16" s="30" t="s">
        <v>48</v>
      </c>
      <c r="C16" s="31"/>
      <c r="D16" s="31"/>
      <c r="E16" s="31"/>
      <c r="F16" s="31"/>
      <c r="G16" s="31">
        <f>G5-G14</f>
        <v>21783.376814823685</v>
      </c>
      <c r="H16" s="31">
        <f t="shared" ref="H16:J16" si="2">H5-H14</f>
        <v>194011.42383572378</v>
      </c>
      <c r="I16" s="31"/>
      <c r="J16" s="31">
        <f t="shared" si="2"/>
        <v>160528.0582851026</v>
      </c>
      <c r="K16" s="31"/>
      <c r="L16" s="31"/>
      <c r="M16" s="31"/>
      <c r="N16" s="31">
        <f>SUM(C16:L16)</f>
        <v>376322.85893565009</v>
      </c>
      <c r="V16" s="40"/>
      <c r="W16" s="40"/>
      <c r="X16" s="58" t="s">
        <v>73</v>
      </c>
      <c r="Y16" s="59">
        <f>X15-Y15</f>
        <v>560844.24096661387</v>
      </c>
      <c r="Z16" s="40"/>
    </row>
    <row r="17" spans="2:26" ht="26.5" thickBot="1" x14ac:dyDescent="0.4">
      <c r="B17" s="30" t="s">
        <v>58</v>
      </c>
      <c r="C17" s="31"/>
      <c r="D17" s="31"/>
      <c r="E17" s="31"/>
      <c r="F17" s="31"/>
      <c r="G17" s="31">
        <f>G5*4.6/30</f>
        <v>8546.9343412849958</v>
      </c>
      <c r="H17" s="31">
        <f>H5*4.6/30</f>
        <v>52469.142654882788</v>
      </c>
      <c r="I17" s="31"/>
      <c r="J17" s="31">
        <f>J5*4.6/30</f>
        <v>32522.87387745297</v>
      </c>
      <c r="K17" s="31"/>
      <c r="L17" s="31"/>
      <c r="M17" s="31"/>
      <c r="N17" s="31">
        <f>N5*2.3/31</f>
        <v>45260.782680784243</v>
      </c>
      <c r="V17" s="40"/>
      <c r="W17" s="40"/>
      <c r="X17" s="60" t="s">
        <v>74</v>
      </c>
      <c r="Y17" s="61">
        <f>X15-Z15</f>
        <v>228980.94095209474</v>
      </c>
      <c r="Z17" s="40"/>
    </row>
    <row r="18" spans="2:26" ht="15" thickBot="1" x14ac:dyDescent="0.4">
      <c r="B18" s="30" t="s">
        <v>60</v>
      </c>
      <c r="C18" s="31"/>
      <c r="D18" s="31"/>
      <c r="E18" s="31"/>
      <c r="F18" s="31"/>
      <c r="G18" s="31">
        <f>G5*0.02</f>
        <v>1114.8175227763038</v>
      </c>
      <c r="H18" s="31">
        <f t="shared" ref="H18:N18" si="3">H5*0.02</f>
        <v>6843.8012158542779</v>
      </c>
      <c r="I18" s="31"/>
      <c r="J18" s="31">
        <f t="shared" si="3"/>
        <v>4242.1139840156047</v>
      </c>
      <c r="K18" s="31"/>
      <c r="L18" s="31"/>
      <c r="M18" s="31"/>
      <c r="N18" s="31">
        <f t="shared" si="3"/>
        <v>12200.732722646188</v>
      </c>
      <c r="W18" s="40"/>
      <c r="X18" s="41"/>
      <c r="Y18" s="42">
        <f>Y16-Y17</f>
        <v>331863.30001451913</v>
      </c>
      <c r="Z18" s="40"/>
    </row>
    <row r="19" spans="2:26" x14ac:dyDescent="0.35">
      <c r="B19" s="30" t="s">
        <v>46</v>
      </c>
      <c r="C19" s="31"/>
      <c r="D19" s="31"/>
      <c r="E19" s="31"/>
      <c r="F19" s="31"/>
      <c r="G19" s="31">
        <f>G16-G17-G18</f>
        <v>12121.624950762385</v>
      </c>
      <c r="H19" s="31">
        <f>H16-H17-H18</f>
        <v>134698.47996498671</v>
      </c>
      <c r="I19" s="31"/>
      <c r="J19" s="31">
        <f>J16-J17-J18</f>
        <v>123763.07042363401</v>
      </c>
      <c r="K19" s="31"/>
      <c r="L19" s="31"/>
      <c r="M19" s="31"/>
      <c r="N19" s="31">
        <f>N16-N17-N18</f>
        <v>318861.34353221965</v>
      </c>
    </row>
  </sheetData>
  <mergeCells count="1">
    <mergeCell ref="W2:Z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Oct 2019 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2019-11-20T08:17:07Z</dcterms:modified>
</cp:coreProperties>
</file>