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87D07A65-FB5E-4650-9C4E-B256DC7951A9}" xr6:coauthVersionLast="41" xr6:coauthVersionMax="41" xr10:uidLastSave="{00000000-0000-0000-0000-000000000000}"/>
  <bookViews>
    <workbookView xWindow="-120" yWindow="-120" windowWidth="29040" windowHeight="15840" xr2:uid="{FF9B8E57-B727-43BB-A63A-A8696AA40007}"/>
  </bookViews>
  <sheets>
    <sheet name="FCF" sheetId="1" r:id="rId1"/>
    <sheet name="Jul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3" i="8" l="1"/>
  <c r="X18" i="8"/>
  <c r="H18" i="8"/>
  <c r="H17" i="8"/>
  <c r="M12" i="8"/>
  <c r="L11" i="8"/>
  <c r="L13" i="8" s="1"/>
  <c r="K11" i="8"/>
  <c r="K13" i="8" s="1"/>
  <c r="J11" i="8"/>
  <c r="J13" i="8" s="1"/>
  <c r="J14" i="8" s="1"/>
  <c r="I11" i="8"/>
  <c r="I13" i="8" s="1"/>
  <c r="H11" i="8"/>
  <c r="H13" i="8" s="1"/>
  <c r="H14" i="8" s="1"/>
  <c r="H16" i="8" s="1"/>
  <c r="H19" i="8" s="1"/>
  <c r="G11" i="8"/>
  <c r="G13" i="8" s="1"/>
  <c r="G14" i="8" s="1"/>
  <c r="M14" i="8" s="1"/>
  <c r="F11" i="8"/>
  <c r="F13" i="8" s="1"/>
  <c r="E11" i="8"/>
  <c r="E13" i="8" s="1"/>
  <c r="D11" i="8"/>
  <c r="D13" i="8" s="1"/>
  <c r="C11" i="8"/>
  <c r="C13" i="8" s="1"/>
  <c r="J5" i="8"/>
  <c r="J18" i="8" s="1"/>
  <c r="H5" i="8"/>
  <c r="G5" i="8"/>
  <c r="G18" i="8" s="1"/>
  <c r="M4" i="8"/>
  <c r="M3" i="8"/>
  <c r="O14" i="8" l="1"/>
  <c r="N14" i="8"/>
  <c r="M11" i="8"/>
  <c r="M13" i="8" s="1"/>
  <c r="J17" i="8"/>
  <c r="M5" i="8"/>
  <c r="J16" i="8"/>
  <c r="J19" i="8" s="1"/>
  <c r="G16" i="8"/>
  <c r="G17" i="8"/>
  <c r="M16" i="8" l="1"/>
  <c r="G19" i="8"/>
  <c r="H21" i="8" s="1"/>
  <c r="H24" i="8" s="1"/>
  <c r="C8" i="1" s="1"/>
  <c r="M18" i="8"/>
  <c r="M17" i="8"/>
  <c r="M19" i="8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<sst xmlns="http://schemas.openxmlformats.org/spreadsheetml/2006/main" count="114" uniqueCount="79">
  <si>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</si>
  <si>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</si>
  <si>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</si>
  <si>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</si>
  <si>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</si>
  <si>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</si>
  <si>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</si>
  <si>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</si>
  <si>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</si>
  <si>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</si>
  <si>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</si>
  <si>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</si>
  <si>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</si>
  <si>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</si>
  <si>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</si>
  <si>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</si>
  <si>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</si>
  <si>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</si>
  <si>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</si>
  <si>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</si>
  <si>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</si>
  <si>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</si>
  <si>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</si>
  <si>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</si>
  <si>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</si>
  <si>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</si>
  <si>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</si>
  <si>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</si>
  <si>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</si>
  <si>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</si>
  <si>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</si>
  <si>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</si>
  <si>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</si>
  <si>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</si>
  <si>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</si>
  <si>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</si>
  <si>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ESTG1</t>
  </si>
  <si>
    <t>NBKF1</t>
  </si>
  <si>
    <t>SBKF1</t>
  </si>
  <si>
    <t>YOKF1</t>
  </si>
  <si>
    <t>ESCF1</t>
  </si>
  <si>
    <t>OTUF1</t>
  </si>
  <si>
    <t>BENF1</t>
  </si>
  <si>
    <t>OGBF1</t>
  </si>
  <si>
    <t>OPUF1</t>
  </si>
  <si>
    <t>TUNF1</t>
  </si>
  <si>
    <t>Net to Asset</t>
  </si>
  <si>
    <t>LACT Gains</t>
  </si>
  <si>
    <t>Other Gains</t>
  </si>
  <si>
    <t>Allocation to 17728: Increase availability of OTUM-8S PBU for annualized gain of 100 BOPD by May 2019</t>
  </si>
  <si>
    <t>Allocation to 17863 OTUM035S &amp; 030L: 600 bopd Gains to be actualized through identified Bean Optimization candidates by May 2019</t>
  </si>
  <si>
    <t>Total</t>
  </si>
  <si>
    <t>Plan</t>
  </si>
  <si>
    <t>With FRM &amp; OML 40 LACT</t>
  </si>
  <si>
    <t>No FRM &amp; No OML 40 LACT</t>
  </si>
  <si>
    <t>With FRM LACT but No OML 40 LACT</t>
  </si>
  <si>
    <t>Actual</t>
  </si>
  <si>
    <t>BENS/1</t>
  </si>
  <si>
    <t>Inremental</t>
  </si>
  <si>
    <t>ESCB/1</t>
  </si>
  <si>
    <t>Pipeline Share</t>
  </si>
  <si>
    <t>FORC/2</t>
  </si>
  <si>
    <t>IDS Cages Share</t>
  </si>
  <si>
    <t>FORC/3</t>
  </si>
  <si>
    <t>FORC/4</t>
  </si>
  <si>
    <t>FORC/GP</t>
  </si>
  <si>
    <t>OPUK/1</t>
  </si>
  <si>
    <t>Allocation with LACTs</t>
  </si>
  <si>
    <t>FRM</t>
  </si>
  <si>
    <t>OML 40</t>
  </si>
  <si>
    <t>OTUM/1</t>
  </si>
  <si>
    <t>Allocation without LACTs</t>
  </si>
  <si>
    <t>OGBO/1</t>
  </si>
  <si>
    <t>TUNU/1</t>
  </si>
  <si>
    <t>LACT Gains above Plan</t>
  </si>
  <si>
    <t>Gain from the LACTs</t>
  </si>
  <si>
    <t>Gain from OML 40 LACT</t>
  </si>
  <si>
    <t>Gain from FRM LACT</t>
  </si>
  <si>
    <t>Jul'19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</si>
</sst>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69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Futura Medium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6" fillId="0" borderId="0"/>
    <xf numFmtId="43" fontId="1" fillId="0" borderId="0" applyFont="0" applyFill="0" applyBorder="0" applyAlignment="0" applyProtection="0"/>
  </cellStyleXfs>
  <cellXfs count="60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0" xfId="0"/>
    <xf numFmtId="168" fontId="0" fillId="4" borderId="1" xfId="2" applyNumberFormat="1" applyFont="1" applyFill="1" applyBorder="1"/>
    <xf numFmtId="0" fontId="0" fillId="0" borderId="0" xfId="0" applyAlignment="1">
      <alignment vertical="center"/>
    </xf>
    <xf numFmtId="3" fontId="6" fillId="6" borderId="0" xfId="5" applyNumberFormat="1" applyFill="1" applyBorder="1"/>
    <xf numFmtId="0" fontId="0" fillId="0" borderId="7" xfId="0" applyBorder="1"/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3" fontId="0" fillId="0" borderId="7" xfId="0" applyNumberFormat="1" applyBorder="1" applyAlignment="1">
      <alignment horizont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/>
    <xf numFmtId="169" fontId="7" fillId="0" borderId="4" xfId="6" applyNumberFormat="1" applyFont="1" applyBorder="1" applyAlignment="1">
      <alignment horizontal="center"/>
    </xf>
    <xf numFmtId="169" fontId="7" fillId="0" borderId="4" xfId="0" applyNumberFormat="1" applyFont="1" applyBorder="1" applyAlignment="1">
      <alignment horizontal="center"/>
    </xf>
    <xf numFmtId="169" fontId="7" fillId="0" borderId="12" xfId="0" applyNumberFormat="1" applyFont="1" applyBorder="1" applyAlignment="1">
      <alignment horizontal="center"/>
    </xf>
    <xf numFmtId="0" fontId="7" fillId="0" borderId="13" xfId="0" applyFont="1" applyBorder="1"/>
    <xf numFmtId="169" fontId="7" fillId="0" borderId="7" xfId="6" applyNumberFormat="1" applyFont="1" applyBorder="1" applyAlignment="1">
      <alignment horizontal="center"/>
    </xf>
    <xf numFmtId="169" fontId="7" fillId="0" borderId="7" xfId="0" applyNumberFormat="1" applyFont="1" applyBorder="1" applyAlignment="1">
      <alignment horizontal="center"/>
    </xf>
    <xf numFmtId="169" fontId="7" fillId="0" borderId="14" xfId="0" applyNumberFormat="1" applyFont="1" applyBorder="1" applyAlignment="1">
      <alignment horizontal="center"/>
    </xf>
    <xf numFmtId="3" fontId="0" fillId="0" borderId="7" xfId="0" applyNumberFormat="1" applyBorder="1"/>
    <xf numFmtId="3" fontId="3" fillId="0" borderId="7" xfId="0" applyNumberFormat="1" applyFont="1" applyBorder="1"/>
    <xf numFmtId="3" fontId="3" fillId="0" borderId="7" xfId="0" applyNumberFormat="1" applyFont="1" applyBorder="1" applyAlignment="1">
      <alignment horizontal="center"/>
    </xf>
    <xf numFmtId="0" fontId="7" fillId="0" borderId="15" xfId="0" applyFont="1" applyBorder="1"/>
    <xf numFmtId="169" fontId="7" fillId="0" borderId="2" xfId="0" applyNumberFormat="1" applyFont="1" applyBorder="1" applyAlignment="1">
      <alignment horizontal="center"/>
    </xf>
    <xf numFmtId="169" fontId="7" fillId="0" borderId="16" xfId="0" applyNumberFormat="1" applyFont="1" applyBorder="1" applyAlignment="1">
      <alignment horizontal="center"/>
    </xf>
    <xf numFmtId="0" fontId="7" fillId="0" borderId="8" xfId="0" applyFont="1" applyBorder="1" applyAlignment="1">
      <alignment vertical="center"/>
    </xf>
    <xf numFmtId="164" fontId="7" fillId="0" borderId="9" xfId="0" applyNumberFormat="1" applyFont="1" applyBorder="1" applyAlignment="1">
      <alignment vertical="center"/>
    </xf>
    <xf numFmtId="164" fontId="7" fillId="0" borderId="10" xfId="0" applyNumberFormat="1" applyFont="1" applyBorder="1" applyAlignment="1">
      <alignment vertical="center"/>
    </xf>
    <xf numFmtId="0" fontId="7" fillId="0" borderId="0" xfId="0" applyFont="1"/>
    <xf numFmtId="0" fontId="7" fillId="0" borderId="17" xfId="0" applyFont="1" applyBorder="1" applyAlignment="1">
      <alignment wrapText="1"/>
    </xf>
    <xf numFmtId="169" fontId="7" fillId="0" borderId="18" xfId="0" applyNumberFormat="1" applyFont="1" applyBorder="1"/>
    <xf numFmtId="0" fontId="7" fillId="0" borderId="19" xfId="0" applyFont="1" applyBorder="1" applyAlignment="1">
      <alignment wrapText="1"/>
    </xf>
    <xf numFmtId="169" fontId="7" fillId="0" borderId="20" xfId="0" applyNumberFormat="1" applyFont="1" applyBorder="1"/>
    <xf numFmtId="3" fontId="3" fillId="0" borderId="0" xfId="0" applyNumberFormat="1" applyFont="1"/>
  </cellXfs>
  <cellStyles count="7">
    <cellStyle name="Comma" xfId="6" builtinId="3"/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4DCD5427-F8CC-41F5-9298-62C67A7D92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zoomScale="85" zoomScaleNormal="85" workbookViewId="0">
      <selection activeCell="C27" sqref="C27"/>
    </sheetView>
  </sheetViews>
  <sheetFormatPr defaultRowHeight="15" x14ac:dyDescent="0.25"/>
  <cols>
    <col min="2" max="2" width="53.425781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25">
      <c r="B8" s="7" t="s">
        <v>10</v>
      </c>
      <c r="C8" s="27">
        <f>('Jul 2019 Production'!H24)/31/1000</f>
        <v>5.906460287224685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25">
      <c r="B9" s="7" t="s">
        <v>12</v>
      </c>
      <c r="C9" s="14">
        <f>C8*C7*1000</f>
        <v>183100.26890396522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25">
      <c r="B10" s="7" t="s">
        <v>14</v>
      </c>
      <c r="C10" s="16">
        <f t="shared" ref="C10" si="1">+C9*C6</f>
        <v>12129843.514080985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25">
      <c r="B11" s="7" t="s">
        <v>15</v>
      </c>
      <c r="C11" s="18">
        <f t="shared" ref="C11" si="2">-C10*0.2</f>
        <v>-2425968.7028161972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25">
      <c r="B15" s="7" t="s">
        <v>22</v>
      </c>
      <c r="C15" s="19">
        <f>+C10+C11+C12+C13+C14</f>
        <v>9703874.8112647869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25">
      <c r="B16" s="7" t="s">
        <v>23</v>
      </c>
      <c r="C16" s="17">
        <f>-C15*0.1275</f>
        <v>-1237244.0384362603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25">
      <c r="B17" s="20"/>
      <c r="C17" s="21"/>
      <c r="E17" s="20"/>
      <c r="F17" s="21"/>
      <c r="I17" s="20"/>
      <c r="J17" s="21"/>
    </row>
    <row r="18" spans="1:11" ht="15.75" thickBot="1" x14ac:dyDescent="0.3">
      <c r="B18" s="22" t="s">
        <v>25</v>
      </c>
      <c r="C18" s="15">
        <f t="shared" ref="C18" si="3">+C15+C16</f>
        <v>8466630.7728285268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.75" thickTop="1" x14ac:dyDescent="0.25"/>
    <row r="20" spans="1:11" ht="15.75" thickBot="1" x14ac:dyDescent="0.3">
      <c r="B20" t="s">
        <v>26</v>
      </c>
      <c r="C20" s="23">
        <f>C18-C14</f>
        <v>8466630.7728285268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.75" thickTop="1" x14ac:dyDescent="0.25"/>
    <row r="22" spans="1:11" x14ac:dyDescent="0.25">
      <c r="B22" s="5" t="s">
        <v>4</v>
      </c>
      <c r="C22" s="6"/>
    </row>
    <row r="23" spans="1:11" x14ac:dyDescent="0.25">
      <c r="B23" s="5" t="s">
        <v>28</v>
      </c>
      <c r="C23" s="6">
        <f>(-0.2*C22*0.1275)</f>
        <v>0</v>
      </c>
    </row>
    <row r="24" spans="1:11" x14ac:dyDescent="0.25">
      <c r="B24" t="s">
        <v>33</v>
      </c>
      <c r="C24" s="24">
        <f>C23+C22+C20</f>
        <v>8466630.7728285268</v>
      </c>
    </row>
    <row r="25" spans="1:11" x14ac:dyDescent="0.25">
      <c r="B25" t="s">
        <v>34</v>
      </c>
      <c r="C25" s="25">
        <f>C24*0.3</f>
        <v>2539989.2318485579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25">
      <c r="B27" t="s">
        <v>32</v>
      </c>
      <c r="C27" s="4">
        <f>C25+F25+J25</f>
        <v>2539989.2318485579</v>
      </c>
    </row>
    <row r="29" spans="1:11" x14ac:dyDescent="0.25">
      <c r="C29" s="4"/>
    </row>
    <row r="30" spans="1:11" x14ac:dyDescent="0.25">
      <c r="C30" s="4"/>
    </row>
    <row r="31" spans="1:11" x14ac:dyDescent="0.25">
      <c r="C31" s="4"/>
    </row>
    <row r="32" spans="1:11" x14ac:dyDescent="0.25">
      <c r="A32" s="26"/>
      <c r="B32" s="26"/>
      <c r="C32" s="4"/>
    </row>
    <row r="33" spans="1:3" x14ac:dyDescent="0.25">
      <c r="A33" s="26"/>
      <c r="B33" s="26"/>
      <c r="C33" s="4"/>
    </row>
    <row r="34" spans="1:3" x14ac:dyDescent="0.25">
      <c r="C34" s="25"/>
    </row>
    <row r="35" spans="1:3" x14ac:dyDescent="0.25">
      <c r="C35" s="25"/>
    </row>
    <row r="36" spans="1:3" x14ac:dyDescent="0.25">
      <c r="C36" s="25"/>
    </row>
    <row r="37" spans="1:3" x14ac:dyDescent="0.25">
      <c r="C37" s="25"/>
    </row>
    <row r="42" spans="1:3" x14ac:dyDescent="0.25">
      <c r="C42" s="4"/>
    </row>
    <row r="43" spans="1:3" x14ac:dyDescent="0.2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24BDC-F8F0-42A6-8FAC-121F32774139}">
  <dimension ref="B1:Y24"/>
  <sheetViews>
    <sheetView workbookViewId="0">
      <selection activeCell="H22" sqref="H22"/>
    </sheetView>
  </sheetViews>
  <sheetFormatPr defaultRowHeight="15" x14ac:dyDescent="0.25"/>
  <cols>
    <col min="1" max="1" width="9.140625" style="26"/>
    <col min="2" max="2" width="23.42578125" style="26" bestFit="1" customWidth="1"/>
    <col min="3" max="3" width="7.140625" style="26" customWidth="1"/>
    <col min="4" max="4" width="10" style="26" customWidth="1"/>
    <col min="5" max="5" width="9.7109375" style="26" customWidth="1"/>
    <col min="6" max="6" width="10.5703125" style="26" customWidth="1"/>
    <col min="7" max="7" width="11.7109375" style="26" bestFit="1" customWidth="1"/>
    <col min="8" max="8" width="11.5703125" style="26" bestFit="1" customWidth="1"/>
    <col min="9" max="9" width="9.5703125" style="26" bestFit="1" customWidth="1"/>
    <col min="10" max="10" width="10.5703125" style="26" bestFit="1" customWidth="1"/>
    <col min="11" max="12" width="9.5703125" style="26" bestFit="1" customWidth="1"/>
    <col min="13" max="13" width="11.28515625" style="26" bestFit="1" customWidth="1"/>
    <col min="14" max="22" width="9.140625" style="26"/>
    <col min="23" max="25" width="14.28515625" style="26" bestFit="1" customWidth="1"/>
    <col min="26" max="16384" width="9.140625" style="26"/>
  </cols>
  <sheetData>
    <row r="1" spans="2:25" x14ac:dyDescent="0.25">
      <c r="B1" s="5" t="s">
        <v>35</v>
      </c>
      <c r="C1" s="5"/>
    </row>
    <row r="2" spans="2:25" ht="15.75" thickBot="1" x14ac:dyDescent="0.3">
      <c r="B2" s="30"/>
      <c r="C2" s="31" t="s">
        <v>36</v>
      </c>
      <c r="D2" s="31" t="s">
        <v>37</v>
      </c>
      <c r="E2" s="31" t="s">
        <v>38</v>
      </c>
      <c r="F2" s="31" t="s">
        <v>39</v>
      </c>
      <c r="G2" s="31" t="s">
        <v>40</v>
      </c>
      <c r="H2" s="31" t="s">
        <v>41</v>
      </c>
      <c r="I2" s="31" t="s">
        <v>42</v>
      </c>
      <c r="J2" s="31" t="s">
        <v>43</v>
      </c>
      <c r="K2" s="31" t="s">
        <v>44</v>
      </c>
      <c r="L2" s="31" t="s">
        <v>45</v>
      </c>
      <c r="M2" s="31" t="s">
        <v>51</v>
      </c>
      <c r="V2" s="26" t="s">
        <v>78</v>
      </c>
    </row>
    <row r="3" spans="2:25" ht="39" thickBot="1" x14ac:dyDescent="0.3">
      <c r="B3" s="32" t="s">
        <v>52</v>
      </c>
      <c r="C3" s="33">
        <v>11935</v>
      </c>
      <c r="D3" s="33">
        <v>285753.85066983232</v>
      </c>
      <c r="E3" s="33">
        <v>915163.52556425263</v>
      </c>
      <c r="F3" s="33">
        <v>339885.03780462104</v>
      </c>
      <c r="G3" s="33">
        <v>185652.66046965006</v>
      </c>
      <c r="H3" s="33">
        <v>249179.485529528</v>
      </c>
      <c r="I3" s="33">
        <v>436995.06139050494</v>
      </c>
      <c r="J3" s="33">
        <v>185836.85318937805</v>
      </c>
      <c r="K3" s="33">
        <v>491513.21357709501</v>
      </c>
      <c r="L3" s="33">
        <v>432694.91689319187</v>
      </c>
      <c r="M3" s="33">
        <f>SUM(C3:L3)</f>
        <v>3534609.6050880542</v>
      </c>
      <c r="V3" s="34"/>
      <c r="W3" s="35" t="s">
        <v>53</v>
      </c>
      <c r="X3" s="35" t="s">
        <v>54</v>
      </c>
      <c r="Y3" s="36" t="s">
        <v>55</v>
      </c>
    </row>
    <row r="4" spans="2:25" x14ac:dyDescent="0.25">
      <c r="B4" s="32" t="s">
        <v>56</v>
      </c>
      <c r="C4" s="33">
        <v>3571.6999918879601</v>
      </c>
      <c r="D4" s="33">
        <v>278464.31936755218</v>
      </c>
      <c r="E4" s="33">
        <v>437112.87900722947</v>
      </c>
      <c r="F4" s="33">
        <v>168868.49961646608</v>
      </c>
      <c r="G4" s="33">
        <v>241947.74945048848</v>
      </c>
      <c r="H4" s="33">
        <v>534072.83878701448</v>
      </c>
      <c r="I4" s="33">
        <v>255298.24942016698</v>
      </c>
      <c r="J4" s="33">
        <v>389236.16911596735</v>
      </c>
      <c r="K4" s="33">
        <v>214424.42951299931</v>
      </c>
      <c r="L4" s="33">
        <v>251763.81942819437</v>
      </c>
      <c r="M4" s="33">
        <f>SUM(C4:L4)</f>
        <v>2774760.6536979671</v>
      </c>
      <c r="V4" s="37" t="s">
        <v>57</v>
      </c>
      <c r="W4" s="38">
        <v>255298.2497237307</v>
      </c>
      <c r="X4" s="39">
        <v>236814.06518450286</v>
      </c>
      <c r="Y4" s="40">
        <v>242763.58977381838</v>
      </c>
    </row>
    <row r="5" spans="2:25" x14ac:dyDescent="0.25">
      <c r="B5" s="32" t="s">
        <v>58</v>
      </c>
      <c r="C5" s="33"/>
      <c r="D5" s="33"/>
      <c r="E5" s="33"/>
      <c r="F5" s="33"/>
      <c r="G5" s="33">
        <f>G4-G3</f>
        <v>56295.088980838424</v>
      </c>
      <c r="H5" s="33">
        <f>H4-H3</f>
        <v>284893.35325748648</v>
      </c>
      <c r="I5" s="33"/>
      <c r="J5" s="33">
        <f>J4-J3</f>
        <v>203399.3159265893</v>
      </c>
      <c r="K5" s="33"/>
      <c r="L5" s="33"/>
      <c r="M5" s="33">
        <f>SUM(C5:L5)</f>
        <v>544587.75816491421</v>
      </c>
      <c r="V5" s="41" t="s">
        <v>59</v>
      </c>
      <c r="W5" s="42">
        <v>241947.74925492768</v>
      </c>
      <c r="X5" s="43">
        <v>225728.98326655562</v>
      </c>
      <c r="Y5" s="44">
        <v>230779.49347549744</v>
      </c>
    </row>
    <row r="6" spans="2:25" x14ac:dyDescent="0.25">
      <c r="B6" s="32" t="s">
        <v>60</v>
      </c>
      <c r="C6" s="32"/>
      <c r="D6" s="30"/>
      <c r="E6" s="30"/>
      <c r="F6" s="30"/>
      <c r="G6" s="30"/>
      <c r="H6" s="45"/>
      <c r="I6" s="45"/>
      <c r="J6" s="45"/>
      <c r="K6" s="45"/>
      <c r="L6" s="45"/>
      <c r="M6" s="45"/>
      <c r="V6" s="41" t="s">
        <v>61</v>
      </c>
      <c r="W6" s="42">
        <v>437112.88202854863</v>
      </c>
      <c r="X6" s="43">
        <v>394380.20101319416</v>
      </c>
      <c r="Y6" s="44">
        <v>409584.12779084343</v>
      </c>
    </row>
    <row r="7" spans="2:25" x14ac:dyDescent="0.25">
      <c r="B7" s="32" t="s">
        <v>62</v>
      </c>
      <c r="C7" s="32"/>
      <c r="D7" s="30"/>
      <c r="E7" s="30"/>
      <c r="F7" s="30"/>
      <c r="G7" s="30"/>
      <c r="H7" s="45"/>
      <c r="I7" s="45"/>
      <c r="J7" s="45"/>
      <c r="K7" s="45"/>
      <c r="L7" s="45"/>
      <c r="M7" s="45"/>
      <c r="V7" s="41" t="s">
        <v>63</v>
      </c>
      <c r="W7" s="42">
        <v>278464.32348900207</v>
      </c>
      <c r="X7" s="43">
        <v>270698.62947746617</v>
      </c>
      <c r="Y7" s="44">
        <v>271577.22469933942</v>
      </c>
    </row>
    <row r="8" spans="2:25" x14ac:dyDescent="0.25">
      <c r="B8" s="32" t="s">
        <v>46</v>
      </c>
      <c r="C8" s="32"/>
      <c r="D8" s="30"/>
      <c r="E8" s="30"/>
      <c r="F8" s="30"/>
      <c r="G8" s="30"/>
      <c r="H8" s="46"/>
      <c r="I8" s="46"/>
      <c r="J8" s="46"/>
      <c r="K8" s="46"/>
      <c r="L8" s="46"/>
      <c r="M8" s="46"/>
      <c r="V8" s="41" t="s">
        <v>64</v>
      </c>
      <c r="W8" s="42">
        <v>168868.49866883617</v>
      </c>
      <c r="X8" s="43">
        <v>118690.13022370897</v>
      </c>
      <c r="Y8" s="44">
        <v>139803.95143647271</v>
      </c>
    </row>
    <row r="9" spans="2:25" x14ac:dyDescent="0.25">
      <c r="V9" s="41" t="s">
        <v>65</v>
      </c>
      <c r="W9" s="42">
        <v>3571.704841940109</v>
      </c>
      <c r="X9" s="43">
        <v>3346.7956886559778</v>
      </c>
      <c r="Y9" s="44">
        <v>3446.956128146016</v>
      </c>
    </row>
    <row r="10" spans="2:25" x14ac:dyDescent="0.25">
      <c r="V10" s="41" t="s">
        <v>66</v>
      </c>
      <c r="W10" s="42">
        <v>214424.42512474037</v>
      </c>
      <c r="X10" s="43">
        <v>194471.36481866206</v>
      </c>
      <c r="Y10" s="44">
        <v>201472.74501842147</v>
      </c>
    </row>
    <row r="11" spans="2:25" x14ac:dyDescent="0.25">
      <c r="B11" s="32" t="s">
        <v>67</v>
      </c>
      <c r="C11" s="33">
        <f>C4</f>
        <v>3571.6999918879601</v>
      </c>
      <c r="D11" s="33">
        <f t="shared" ref="D11:L11" si="0">D4</f>
        <v>278464.31936755218</v>
      </c>
      <c r="E11" s="33">
        <f t="shared" si="0"/>
        <v>437112.87900722947</v>
      </c>
      <c r="F11" s="33">
        <f t="shared" si="0"/>
        <v>168868.49961646608</v>
      </c>
      <c r="G11" s="33">
        <f t="shared" si="0"/>
        <v>241947.74945048848</v>
      </c>
      <c r="H11" s="33">
        <f t="shared" si="0"/>
        <v>534072.83878701448</v>
      </c>
      <c r="I11" s="33">
        <f t="shared" si="0"/>
        <v>255298.24942016698</v>
      </c>
      <c r="J11" s="33">
        <f t="shared" si="0"/>
        <v>389236.16911596735</v>
      </c>
      <c r="K11" s="33">
        <f t="shared" si="0"/>
        <v>214424.42951299931</v>
      </c>
      <c r="L11" s="33">
        <f t="shared" si="0"/>
        <v>251763.81942819437</v>
      </c>
      <c r="M11" s="33">
        <f>SUM(C11:L11)</f>
        <v>2774760.6536979671</v>
      </c>
      <c r="N11" s="47" t="s">
        <v>68</v>
      </c>
      <c r="O11" s="47" t="s">
        <v>69</v>
      </c>
      <c r="V11" s="41" t="s">
        <v>70</v>
      </c>
      <c r="W11" s="42">
        <v>534072.83672534185</v>
      </c>
      <c r="X11" s="43">
        <v>436772.18167968153</v>
      </c>
      <c r="Y11" s="44">
        <v>475757.65030802519</v>
      </c>
    </row>
    <row r="12" spans="2:25" x14ac:dyDescent="0.25">
      <c r="B12" s="32" t="s">
        <v>71</v>
      </c>
      <c r="C12" s="33">
        <v>3346.7956886559778</v>
      </c>
      <c r="D12" s="33">
        <v>270698.62947746617</v>
      </c>
      <c r="E12" s="33">
        <v>394380.20101319416</v>
      </c>
      <c r="F12" s="33">
        <v>118690.13022370897</v>
      </c>
      <c r="G12" s="33">
        <v>225728.98326655562</v>
      </c>
      <c r="H12" s="33">
        <v>436772.18167968153</v>
      </c>
      <c r="I12" s="33">
        <v>236814.06518450286</v>
      </c>
      <c r="J12" s="33">
        <v>383650.05293388502</v>
      </c>
      <c r="K12" s="33">
        <v>194471.36481866206</v>
      </c>
      <c r="L12" s="33">
        <v>224071.79786281098</v>
      </c>
      <c r="M12" s="33">
        <f>SUM(C12:L12)</f>
        <v>2488624.2021491234</v>
      </c>
      <c r="N12" s="33"/>
      <c r="O12" s="33"/>
      <c r="V12" s="41" t="s">
        <v>72</v>
      </c>
      <c r="W12" s="43">
        <v>389236.16859235271</v>
      </c>
      <c r="X12" s="43">
        <v>383650.05293388502</v>
      </c>
      <c r="Y12" s="44">
        <v>382493.31875941937</v>
      </c>
    </row>
    <row r="13" spans="2:25" ht="15.75" thickBot="1" x14ac:dyDescent="0.3">
      <c r="B13" s="32" t="s">
        <v>47</v>
      </c>
      <c r="C13" s="33">
        <f>C11-C12</f>
        <v>224.90430323198234</v>
      </c>
      <c r="D13" s="33">
        <f t="shared" ref="D13:L13" si="1">D11-D12</f>
        <v>7765.6898900860106</v>
      </c>
      <c r="E13" s="33">
        <f t="shared" si="1"/>
        <v>42732.677994035301</v>
      </c>
      <c r="F13" s="33">
        <f t="shared" si="1"/>
        <v>50178.369392757115</v>
      </c>
      <c r="G13" s="33">
        <f t="shared" si="1"/>
        <v>16218.766183932865</v>
      </c>
      <c r="H13" s="33">
        <f t="shared" si="1"/>
        <v>97300.657107332954</v>
      </c>
      <c r="I13" s="33">
        <f t="shared" si="1"/>
        <v>18484.184235664114</v>
      </c>
      <c r="J13" s="33">
        <f t="shared" si="1"/>
        <v>5586.1161820823327</v>
      </c>
      <c r="K13" s="33">
        <f t="shared" si="1"/>
        <v>19953.064694337256</v>
      </c>
      <c r="L13" s="33">
        <f t="shared" si="1"/>
        <v>27692.021565383387</v>
      </c>
      <c r="M13" s="33">
        <f>M11-M12</f>
        <v>286136.45154884364</v>
      </c>
      <c r="N13" s="33"/>
      <c r="O13" s="33"/>
      <c r="V13" s="48" t="s">
        <v>73</v>
      </c>
      <c r="W13" s="49">
        <v>251763.81524854782</v>
      </c>
      <c r="X13" s="49">
        <v>224071.79786281098</v>
      </c>
      <c r="Y13" s="50">
        <v>234222.60157308428</v>
      </c>
    </row>
    <row r="14" spans="2:25" ht="15.75" thickBot="1" x14ac:dyDescent="0.3">
      <c r="B14" s="32" t="s">
        <v>74</v>
      </c>
      <c r="C14" s="33"/>
      <c r="D14" s="33"/>
      <c r="E14" s="33"/>
      <c r="F14" s="33"/>
      <c r="G14" s="33">
        <f>G13</f>
        <v>16218.766183932865</v>
      </c>
      <c r="H14" s="33">
        <f>H13</f>
        <v>97300.657107332954</v>
      </c>
      <c r="I14" s="33"/>
      <c r="J14" s="33">
        <f>J13</f>
        <v>5586.1161820823327</v>
      </c>
      <c r="K14" s="33"/>
      <c r="L14" s="33"/>
      <c r="M14" s="47">
        <f>SUM(C14:L14)</f>
        <v>119105.53947334815</v>
      </c>
      <c r="N14" s="47">
        <f>X18/X16*M14</f>
        <v>42989.689508889707</v>
      </c>
      <c r="O14" s="47">
        <f>X17/X16*M14</f>
        <v>76115.849964458452</v>
      </c>
      <c r="V14" s="51"/>
      <c r="W14" s="52">
        <v>2774760.6536979685</v>
      </c>
      <c r="X14" s="52">
        <v>2488624.202149123</v>
      </c>
      <c r="Y14" s="53">
        <v>2591901.6589630679</v>
      </c>
    </row>
    <row r="15" spans="2:25" ht="15.75" thickBot="1" x14ac:dyDescent="0.3">
      <c r="B15" s="32"/>
      <c r="V15" s="54"/>
      <c r="W15" s="54"/>
      <c r="X15" s="54"/>
      <c r="Y15" s="54"/>
    </row>
    <row r="16" spans="2:25" ht="26.25" x14ac:dyDescent="0.25">
      <c r="B16" s="32" t="s">
        <v>48</v>
      </c>
      <c r="C16" s="33"/>
      <c r="D16" s="33"/>
      <c r="E16" s="33"/>
      <c r="F16" s="33"/>
      <c r="G16" s="33">
        <f>G5-G14</f>
        <v>40076.322796905559</v>
      </c>
      <c r="H16" s="33">
        <f t="shared" ref="H16:J16" si="2">H5-H14</f>
        <v>187592.69615015353</v>
      </c>
      <c r="I16" s="33"/>
      <c r="J16" s="33">
        <f t="shared" si="2"/>
        <v>197813.19974450697</v>
      </c>
      <c r="K16" s="33"/>
      <c r="L16" s="33"/>
      <c r="M16" s="33">
        <f>SUM(C16:L16)</f>
        <v>425482.21869156603</v>
      </c>
      <c r="V16" s="54"/>
      <c r="W16" s="55" t="s">
        <v>75</v>
      </c>
      <c r="X16" s="56">
        <v>286136.45154884551</v>
      </c>
      <c r="Y16" s="54"/>
    </row>
    <row r="17" spans="2:25" ht="27" thickBot="1" x14ac:dyDescent="0.3">
      <c r="B17" s="32" t="s">
        <v>60</v>
      </c>
      <c r="C17" s="33"/>
      <c r="D17" s="33"/>
      <c r="E17" s="33"/>
      <c r="F17" s="33"/>
      <c r="G17" s="33">
        <f>G5*2.3/31</f>
        <v>4176.7324082557534</v>
      </c>
      <c r="H17" s="33">
        <f>H5*2.3/31</f>
        <v>21137.248790071575</v>
      </c>
      <c r="I17" s="33"/>
      <c r="J17" s="33">
        <f>J5*2.3/31</f>
        <v>15090.916988101786</v>
      </c>
      <c r="K17" s="33"/>
      <c r="L17" s="33"/>
      <c r="M17" s="33">
        <f>M5*2.3/31</f>
        <v>40404.89818642912</v>
      </c>
      <c r="V17" s="54"/>
      <c r="W17" s="57" t="s">
        <v>76</v>
      </c>
      <c r="X17" s="58">
        <v>182858.99473490054</v>
      </c>
      <c r="Y17" s="54"/>
    </row>
    <row r="18" spans="2:25" ht="27" thickBot="1" x14ac:dyDescent="0.3">
      <c r="B18" s="32" t="s">
        <v>62</v>
      </c>
      <c r="C18" s="33"/>
      <c r="D18" s="33"/>
      <c r="E18" s="33"/>
      <c r="F18" s="33"/>
      <c r="G18" s="33">
        <f>G5*0.02</f>
        <v>1125.9017796167684</v>
      </c>
      <c r="H18" s="33">
        <f t="shared" ref="H18:M18" si="3">H5*0.02</f>
        <v>5697.8670651497296</v>
      </c>
      <c r="I18" s="33"/>
      <c r="J18" s="33">
        <f t="shared" si="3"/>
        <v>4067.9863185317863</v>
      </c>
      <c r="K18" s="33"/>
      <c r="L18" s="33"/>
      <c r="M18" s="33">
        <f t="shared" si="3"/>
        <v>10891.755163298285</v>
      </c>
      <c r="V18" s="54"/>
      <c r="W18" s="57" t="s">
        <v>77</v>
      </c>
      <c r="X18" s="58">
        <f>X16-X17</f>
        <v>103277.45681394497</v>
      </c>
      <c r="Y18" s="54"/>
    </row>
    <row r="19" spans="2:25" x14ac:dyDescent="0.25">
      <c r="B19" s="32" t="s">
        <v>46</v>
      </c>
      <c r="C19" s="33"/>
      <c r="D19" s="33"/>
      <c r="E19" s="33"/>
      <c r="F19" s="33"/>
      <c r="G19" s="33">
        <f>G16-G17-G18</f>
        <v>34773.688609033037</v>
      </c>
      <c r="H19" s="33">
        <f>H16-H17-H18</f>
        <v>160757.58029493221</v>
      </c>
      <c r="I19" s="33"/>
      <c r="J19" s="33">
        <f>J16-J17-J18</f>
        <v>178654.29643787339</v>
      </c>
      <c r="K19" s="33"/>
      <c r="L19" s="33"/>
      <c r="M19" s="33">
        <f>M16-M17-M18</f>
        <v>374185.56534183864</v>
      </c>
    </row>
    <row r="21" spans="2:25" x14ac:dyDescent="0.25">
      <c r="H21" s="59">
        <f>H19+G19</f>
        <v>195531.26890396525</v>
      </c>
    </row>
    <row r="22" spans="2:25" x14ac:dyDescent="0.25">
      <c r="H22" s="6"/>
      <c r="I22" s="28" t="s">
        <v>49</v>
      </c>
    </row>
    <row r="23" spans="2:25" x14ac:dyDescent="0.25">
      <c r="H23" s="6">
        <f>401*31</f>
        <v>12431</v>
      </c>
      <c r="I23" s="28" t="s">
        <v>50</v>
      </c>
    </row>
    <row r="24" spans="2:25" x14ac:dyDescent="0.25">
      <c r="H24" s="29">
        <f>H21-H22-H23</f>
        <v>183100.26890396525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Jul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2019-08-23T06:55:35Z</dcterms:modified>
</cp:coreProperties>
</file>