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8CE41770-FE93-424B-97D0-4B0C521CD2E2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Oct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G14" i="8"/>
  <c r="H14" i="8"/>
  <c r="J18" i="8" l="1"/>
  <c r="G18" i="8"/>
  <c r="G17" i="8"/>
  <c r="Y16" i="8"/>
  <c r="Y18" i="8" s="1"/>
  <c r="Z15" i="8"/>
  <c r="Y15" i="8"/>
  <c r="X15" i="8"/>
  <c r="Y17" i="8" s="1"/>
  <c r="M13" i="8"/>
  <c r="N12" i="8"/>
  <c r="L11" i="8"/>
  <c r="L13" i="8" s="1"/>
  <c r="K11" i="8"/>
  <c r="K13" i="8" s="1"/>
  <c r="J11" i="8"/>
  <c r="J13" i="8" s="1"/>
  <c r="J14" i="8" s="1"/>
  <c r="I11" i="8"/>
  <c r="I13" i="8" s="1"/>
  <c r="H11" i="8"/>
  <c r="H13" i="8" s="1"/>
  <c r="G11" i="8"/>
  <c r="G13" i="8" s="1"/>
  <c r="F11" i="8"/>
  <c r="F13" i="8" s="1"/>
  <c r="E11" i="8"/>
  <c r="E13" i="8" s="1"/>
  <c r="D11" i="8"/>
  <c r="N11" i="8" s="1"/>
  <c r="N13" i="8" s="1"/>
  <c r="C11" i="8"/>
  <c r="C13" i="8" s="1"/>
  <c r="J5" i="8"/>
  <c r="J17" i="8" s="1"/>
  <c r="H5" i="8"/>
  <c r="H18" i="8" s="1"/>
  <c r="G5" i="8"/>
  <c r="N4" i="8"/>
  <c r="N3" i="8"/>
  <c r="N14" i="8" l="1"/>
  <c r="O14" i="8" s="1"/>
  <c r="G16" i="8"/>
  <c r="D13" i="8"/>
  <c r="H16" i="8"/>
  <c r="H19" i="8" s="1"/>
  <c r="N5" i="8"/>
  <c r="J16" i="8"/>
  <c r="J19" i="8" s="1"/>
  <c r="H17" i="8"/>
  <c r="N18" i="8" l="1"/>
  <c r="N17" i="8"/>
  <c r="P14" i="8"/>
  <c r="G19" i="8"/>
  <c r="N16" i="8"/>
  <c r="N19" i="8" l="1"/>
  <c r="H22" i="8" l="1"/>
  <c r="H23" i="8"/>
  <c r="H21" i="8" l="1"/>
  <c r="H24" i="8" s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<sst xmlns="http://schemas.openxmlformats.org/spreadsheetml/2006/main" count="116" uniqueCount="81">
  <si>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</si>
  <si>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</si>
  <si>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</si>
  <si>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</si>
  <si>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</si>
  <si>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</si>
  <si>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</si>
  <si>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</si>
  <si>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</si>
  <si>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</si>
  <si>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</si>
  <si>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</si>
  <si>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</si>
  <si>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</si>
  <si>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</si>
  <si>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</si>
  <si>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</si>
  <si>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</si>
  <si>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</si>
  <si>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</si>
  <si>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</si>
  <si>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</si>
  <si>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</si>
  <si>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</si>
  <si>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</si>
  <si>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</si>
  <si>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</si>
  <si>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</si>
  <si>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</si>
  <si>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</si>
  <si>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</si>
  <si>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</si>
  <si>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</si>
  <si>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</si>
  <si>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</si>
  <si>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</si>
  <si>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</si>
  <si>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</si>
  <si>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</si>
  <si>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</si>
  <si>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</si>
  <si>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</si>
  <si>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</si>
  <si>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</si>
  <si>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</si>
  <si>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</si>
  <si>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</si>
  <si>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</si>
  <si>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</si>
  <si>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Allocation to 17728: Increase availability of OTUM-8S PBU for annualized gain of 100 BOPD by May 2019</t>
  </si>
  <si>
    <t>Allocation to 17863 OTUM035S &amp; 030L: 600 bopd Gains to be actualized through identified Bean Optimization candidates by May 2019</t>
  </si>
  <si>
    <t>Total</t>
  </si>
  <si>
    <t>Plan</t>
  </si>
  <si>
    <t>No FRM &amp;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</si>
  <si>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</si>
  <si>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</si>
  <si>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</si>
  <si>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</si>
  <si>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</si>
  <si>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</si>
  <si>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</si>
  <si>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</si>
  <si>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</si>
  <si>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</si>
  <si>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</si>
  <si>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</si>
  <si>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</si>
  <si>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</si>
  <si>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</si>
  <si>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</si>
  <si>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</si>
  <si>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</si>
  <si>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</si>
  <si>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</si>
  <si>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</si>
  <si>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TUNFG1</t>
  </si>
  <si>
    <t>Unit = bbls</t>
  </si>
  <si>
    <t>With FRM &amp; OML 40 LACT</t>
  </si>
  <si>
    <t>With FRM LACT but No OML 40 LACT</t>
  </si>
  <si>
    <t>TUNU CPF</t>
  </si>
  <si>
    <t>Oct'19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</si>
</sst>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6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0" xfId="0" applyAlignment="1">
      <alignment vertical="center"/>
    </xf>
    <xf numFmtId="3" fontId="6" fillId="6" borderId="0" xfId="5" applyNumberForma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11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0" fontId="7" fillId="0" borderId="0" xfId="0" applyFont="1"/>
    <xf numFmtId="0" fontId="7" fillId="0" borderId="15" xfId="0" applyFont="1" applyBorder="1" applyAlignment="1">
      <alignment wrapText="1"/>
    </xf>
    <xf numFmtId="169" fontId="7" fillId="0" borderId="16" xfId="0" applyNumberFormat="1" applyFont="1" applyBorder="1"/>
    <xf numFmtId="3" fontId="3" fillId="0" borderId="0" xfId="0" applyNumberFormat="1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9" fontId="7" fillId="0" borderId="9" xfId="0" applyNumberFormat="1" applyFont="1" applyBorder="1" applyAlignment="1">
      <alignment vertical="center"/>
    </xf>
    <xf numFmtId="169" fontId="7" fillId="0" borderId="10" xfId="0" applyNumberFormat="1" applyFont="1" applyBorder="1" applyAlignment="1">
      <alignment vertical="center"/>
    </xf>
    <xf numFmtId="0" fontId="7" fillId="0" borderId="13" xfId="0" applyFont="1" applyBorder="1" applyAlignment="1">
      <alignment vertical="center" wrapText="1"/>
    </xf>
    <xf numFmtId="169" fontId="7" fillId="0" borderId="14" xfId="0" applyNumberFormat="1" applyFont="1" applyBorder="1" applyAlignment="1">
      <alignment vertical="center"/>
    </xf>
    <xf numFmtId="0" fontId="7" fillId="0" borderId="15" xfId="0" applyFont="1" applyBorder="1" applyAlignment="1">
      <alignment vertical="center" wrapText="1"/>
    </xf>
    <xf numFmtId="169" fontId="7" fillId="0" borderId="16" xfId="0" applyNumberFormat="1" applyFont="1" applyBorder="1" applyAlignment="1">
      <alignment vertical="center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13" xfId="0" applyFont="1" applyBorder="1"/>
    <xf numFmtId="169" fontId="7" fillId="0" borderId="21" xfId="6" applyNumberFormat="1" applyFont="1" applyBorder="1" applyAlignment="1">
      <alignment horizontal="center"/>
    </xf>
    <xf numFmtId="169" fontId="7" fillId="0" borderId="21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topLeftCell="A2" zoomScale="85" zoomScaleNormal="85" workbookViewId="0">
      <selection activeCell="C34" sqref="C34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27">
        <f>('Oct 2019 Production'!H24)/31/1000</f>
        <v>3.9882624166370668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123636.13491574906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8190523.0297636278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-1638104.6059527257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6552418.4238109021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-835433.34903589007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5716985.0747750122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5716985.0747750122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5716985.0747750122</v>
      </c>
    </row>
    <row r="25" spans="1:11" x14ac:dyDescent="0.35">
      <c r="B25" t="s">
        <v>34</v>
      </c>
      <c r="C25" s="25">
        <f>C24*0.3</f>
        <v>1715095.5224325035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1715095.5224325035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4BDC-F8F0-42A6-8FAC-121F32774139}">
  <dimension ref="B1:Z24"/>
  <sheetViews>
    <sheetView workbookViewId="0">
      <selection activeCell="J14" sqref="J14"/>
    </sheetView>
  </sheetViews>
  <sheetFormatPr defaultColWidth="9.1796875" defaultRowHeight="14.5" x14ac:dyDescent="0.35"/>
  <cols>
    <col min="1" max="1" width="9.1796875" style="26"/>
    <col min="2" max="2" width="23.453125" style="26" bestFit="1" customWidth="1"/>
    <col min="3" max="3" width="7.1796875" style="26" customWidth="1"/>
    <col min="4" max="4" width="10" style="26" customWidth="1"/>
    <col min="5" max="5" width="9.7265625" style="26" customWidth="1"/>
    <col min="6" max="6" width="10.54296875" style="26" customWidth="1"/>
    <col min="7" max="7" width="11.7265625" style="26" bestFit="1" customWidth="1"/>
    <col min="8" max="8" width="11.54296875" style="26" bestFit="1" customWidth="1"/>
    <col min="9" max="9" width="9.54296875" style="26" bestFit="1" customWidth="1"/>
    <col min="10" max="10" width="10.54296875" style="26" bestFit="1" customWidth="1"/>
    <col min="11" max="12" width="9.54296875" style="26" bestFit="1" customWidth="1"/>
    <col min="13" max="13" width="11.26953125" style="26" bestFit="1" customWidth="1"/>
    <col min="14" max="22" width="9.1796875" style="26"/>
    <col min="23" max="25" width="14.26953125" style="26" bestFit="1" customWidth="1"/>
    <col min="26" max="16384" width="9.1796875" style="26"/>
  </cols>
  <sheetData>
    <row r="1" spans="2:26" x14ac:dyDescent="0.35">
      <c r="B1" s="5" t="s">
        <v>35</v>
      </c>
      <c r="C1" s="5"/>
    </row>
    <row r="2" spans="2:26" ht="15" thickBot="1" x14ac:dyDescent="0.4">
      <c r="B2" s="30"/>
      <c r="C2" s="31" t="s">
        <v>36</v>
      </c>
      <c r="D2" s="31" t="s">
        <v>37</v>
      </c>
      <c r="E2" s="31" t="s">
        <v>38</v>
      </c>
      <c r="F2" s="31" t="s">
        <v>39</v>
      </c>
      <c r="G2" s="31" t="s">
        <v>40</v>
      </c>
      <c r="H2" s="31" t="s">
        <v>41</v>
      </c>
      <c r="I2" s="31" t="s">
        <v>42</v>
      </c>
      <c r="J2" s="31" t="s">
        <v>43</v>
      </c>
      <c r="K2" s="31" t="s">
        <v>44</v>
      </c>
      <c r="L2" s="31" t="s">
        <v>45</v>
      </c>
      <c r="M2" s="31" t="s">
        <v>75</v>
      </c>
      <c r="N2" s="31" t="s">
        <v>51</v>
      </c>
      <c r="V2" s="42" t="s">
        <v>76</v>
      </c>
      <c r="W2" s="54" t="s">
        <v>80</v>
      </c>
      <c r="X2" s="54"/>
      <c r="Y2" s="54"/>
      <c r="Z2" s="54"/>
    </row>
    <row r="3" spans="2:26" ht="52.5" thickBot="1" x14ac:dyDescent="0.4">
      <c r="B3" s="32" t="s">
        <v>52</v>
      </c>
      <c r="C3" s="33">
        <v>3285.07</v>
      </c>
      <c r="D3" s="33">
        <v>289874.92972134962</v>
      </c>
      <c r="E3" s="33">
        <v>713793.57874598249</v>
      </c>
      <c r="F3" s="33">
        <v>356715.97711513581</v>
      </c>
      <c r="G3" s="33">
        <v>188526.76375875872</v>
      </c>
      <c r="H3" s="33">
        <v>240513.5689629468</v>
      </c>
      <c r="I3" s="33">
        <v>442209.08813436388</v>
      </c>
      <c r="J3" s="33">
        <v>180039.4106347856</v>
      </c>
      <c r="K3" s="33">
        <v>453846.88253663236</v>
      </c>
      <c r="L3" s="33">
        <v>530649.82276522228</v>
      </c>
      <c r="M3" s="33">
        <v>94427.86</v>
      </c>
      <c r="N3" s="33">
        <f>SUM(C3:M3)</f>
        <v>3493882.9523751773</v>
      </c>
      <c r="V3" s="46"/>
      <c r="W3" s="55"/>
      <c r="X3" s="56" t="s">
        <v>77</v>
      </c>
      <c r="Y3" s="56" t="s">
        <v>53</v>
      </c>
      <c r="Z3" s="57" t="s">
        <v>78</v>
      </c>
    </row>
    <row r="4" spans="2:26" x14ac:dyDescent="0.35">
      <c r="B4" s="32" t="s">
        <v>54</v>
      </c>
      <c r="C4" s="33">
        <v>3225.9499986472902</v>
      </c>
      <c r="D4" s="33">
        <v>254883.77989312218</v>
      </c>
      <c r="E4" s="33">
        <v>591220.70975208981</v>
      </c>
      <c r="F4" s="33">
        <v>182475.56992348452</v>
      </c>
      <c r="G4" s="33">
        <v>244267.63989757391</v>
      </c>
      <c r="H4" s="33">
        <v>582703.62975566066</v>
      </c>
      <c r="I4" s="33">
        <v>348012.17985407147</v>
      </c>
      <c r="J4" s="33">
        <v>392145.10983556585</v>
      </c>
      <c r="K4" s="33">
        <v>246753.04989653145</v>
      </c>
      <c r="L4" s="33">
        <v>299831.77987427457</v>
      </c>
      <c r="M4" s="33">
        <v>22948.349990377319</v>
      </c>
      <c r="N4" s="33">
        <f>SUM(C4:M4)</f>
        <v>3168467.748671399</v>
      </c>
      <c r="V4" s="42"/>
      <c r="W4" s="58" t="s">
        <v>55</v>
      </c>
      <c r="X4" s="59">
        <v>348012.18072270218</v>
      </c>
      <c r="Y4" s="60">
        <v>291146.93337782909</v>
      </c>
      <c r="Z4" s="61">
        <v>327695.37180398405</v>
      </c>
    </row>
    <row r="5" spans="2:26" x14ac:dyDescent="0.35">
      <c r="B5" s="32" t="s">
        <v>56</v>
      </c>
      <c r="C5" s="33"/>
      <c r="D5" s="33"/>
      <c r="E5" s="33"/>
      <c r="F5" s="33"/>
      <c r="G5" s="33">
        <f>G4-G3</f>
        <v>55740.876138815191</v>
      </c>
      <c r="H5" s="33">
        <f>H4-H3</f>
        <v>342190.06079271389</v>
      </c>
      <c r="I5" s="33"/>
      <c r="J5" s="33">
        <f>J4-J3</f>
        <v>212105.69920078025</v>
      </c>
      <c r="K5" s="33"/>
      <c r="L5" s="33"/>
      <c r="M5" s="33"/>
      <c r="N5" s="33">
        <f>SUM(C5:L5)</f>
        <v>610036.63613230933</v>
      </c>
      <c r="V5" s="42"/>
      <c r="W5" s="34" t="s">
        <v>57</v>
      </c>
      <c r="X5" s="35">
        <v>244267.64214094487</v>
      </c>
      <c r="Y5" s="36">
        <v>210310.14057358241</v>
      </c>
      <c r="Z5" s="37">
        <v>236040.51211933375</v>
      </c>
    </row>
    <row r="6" spans="2:26" x14ac:dyDescent="0.35">
      <c r="B6" s="32" t="s">
        <v>58</v>
      </c>
      <c r="C6" s="32"/>
      <c r="D6" s="30"/>
      <c r="E6" s="30"/>
      <c r="F6" s="30"/>
      <c r="G6" s="30"/>
      <c r="H6" s="38"/>
      <c r="I6" s="38"/>
      <c r="J6" s="38"/>
      <c r="K6" s="38"/>
      <c r="L6" s="38"/>
      <c r="M6" s="38"/>
      <c r="N6" s="38"/>
      <c r="V6" s="42"/>
      <c r="W6" s="34" t="s">
        <v>59</v>
      </c>
      <c r="X6" s="35">
        <v>591220.70551159244</v>
      </c>
      <c r="Y6" s="36">
        <v>503119.18931098882</v>
      </c>
      <c r="Z6" s="37">
        <v>565319.81838876382</v>
      </c>
    </row>
    <row r="7" spans="2:26" x14ac:dyDescent="0.35">
      <c r="B7" s="32" t="s">
        <v>60</v>
      </c>
      <c r="C7" s="32"/>
      <c r="D7" s="30"/>
      <c r="E7" s="30"/>
      <c r="F7" s="30"/>
      <c r="G7" s="30"/>
      <c r="H7" s="38"/>
      <c r="I7" s="38"/>
      <c r="J7" s="38"/>
      <c r="K7" s="38"/>
      <c r="L7" s="38"/>
      <c r="M7" s="38"/>
      <c r="N7" s="38"/>
      <c r="V7" s="42"/>
      <c r="W7" s="34" t="s">
        <v>61</v>
      </c>
      <c r="X7" s="35">
        <v>254883.78157437584</v>
      </c>
      <c r="Y7" s="36">
        <v>222190.70461609238</v>
      </c>
      <c r="Z7" s="37">
        <v>249074.88571010347</v>
      </c>
    </row>
    <row r="8" spans="2:26" x14ac:dyDescent="0.35">
      <c r="B8" s="32" t="s">
        <v>46</v>
      </c>
      <c r="C8" s="32"/>
      <c r="D8" s="30"/>
      <c r="E8" s="30"/>
      <c r="F8" s="30"/>
      <c r="G8" s="30"/>
      <c r="H8" s="39"/>
      <c r="I8" s="39"/>
      <c r="J8" s="39"/>
      <c r="K8" s="39"/>
      <c r="L8" s="39"/>
      <c r="M8" s="39"/>
      <c r="N8" s="39"/>
      <c r="V8" s="42"/>
      <c r="W8" s="34" t="s">
        <v>62</v>
      </c>
      <c r="X8" s="35">
        <v>182475.56641215092</v>
      </c>
      <c r="Y8" s="36">
        <v>137826.64287105782</v>
      </c>
      <c r="Z8" s="37">
        <v>156797.96448126211</v>
      </c>
    </row>
    <row r="9" spans="2:26" x14ac:dyDescent="0.35">
      <c r="V9" s="42"/>
      <c r="W9" s="34" t="s">
        <v>63</v>
      </c>
      <c r="X9" s="35">
        <v>3225.9455506373361</v>
      </c>
      <c r="Y9" s="36">
        <v>3096.8567909178992</v>
      </c>
      <c r="Z9" s="37">
        <v>3109.0019375694583</v>
      </c>
    </row>
    <row r="10" spans="2:26" x14ac:dyDescent="0.35">
      <c r="V10" s="42"/>
      <c r="W10" s="34" t="s">
        <v>64</v>
      </c>
      <c r="X10" s="35">
        <v>246753.04885518877</v>
      </c>
      <c r="Y10" s="36">
        <v>200954.95882515848</v>
      </c>
      <c r="Z10" s="37">
        <v>226798.05120637984</v>
      </c>
    </row>
    <row r="11" spans="2:26" x14ac:dyDescent="0.35">
      <c r="B11" s="32" t="s">
        <v>65</v>
      </c>
      <c r="C11" s="33">
        <f>C4</f>
        <v>3225.9499986472902</v>
      </c>
      <c r="D11" s="33">
        <f t="shared" ref="D11:L11" si="0">D4</f>
        <v>254883.77989312218</v>
      </c>
      <c r="E11" s="33">
        <f t="shared" si="0"/>
        <v>591220.70975208981</v>
      </c>
      <c r="F11" s="33">
        <f t="shared" si="0"/>
        <v>182475.56992348452</v>
      </c>
      <c r="G11" s="33">
        <f t="shared" si="0"/>
        <v>244267.63989757391</v>
      </c>
      <c r="H11" s="33">
        <f t="shared" si="0"/>
        <v>582703.62975566066</v>
      </c>
      <c r="I11" s="33">
        <f t="shared" si="0"/>
        <v>348012.17985407147</v>
      </c>
      <c r="J11" s="33">
        <f t="shared" si="0"/>
        <v>392145.10983556585</v>
      </c>
      <c r="K11" s="33">
        <f t="shared" si="0"/>
        <v>246753.04989653145</v>
      </c>
      <c r="L11" s="33">
        <f t="shared" si="0"/>
        <v>299831.77987427457</v>
      </c>
      <c r="M11" s="33">
        <v>22948.349990377319</v>
      </c>
      <c r="N11" s="33">
        <f>SUM(C11:L11)</f>
        <v>3145519.3986810218</v>
      </c>
      <c r="O11" s="40" t="s">
        <v>66</v>
      </c>
      <c r="P11" s="40" t="s">
        <v>67</v>
      </c>
      <c r="V11" s="42"/>
      <c r="W11" s="34" t="s">
        <v>68</v>
      </c>
      <c r="X11" s="35">
        <v>582703.62833833287</v>
      </c>
      <c r="Y11" s="36">
        <v>434524.99279867054</v>
      </c>
      <c r="Z11" s="37">
        <v>495033.94129346311</v>
      </c>
    </row>
    <row r="12" spans="2:26" x14ac:dyDescent="0.35">
      <c r="B12" s="32" t="s">
        <v>69</v>
      </c>
      <c r="C12" s="33">
        <v>3096.8567909178992</v>
      </c>
      <c r="D12" s="33">
        <v>222190.70461609238</v>
      </c>
      <c r="E12" s="33">
        <v>503119.18931098882</v>
      </c>
      <c r="F12" s="33">
        <v>137826.64287105782</v>
      </c>
      <c r="G12" s="33">
        <v>210310.14057358241</v>
      </c>
      <c r="H12" s="33">
        <v>434524.99279867054</v>
      </c>
      <c r="I12" s="33">
        <v>291146.93337782909</v>
      </c>
      <c r="J12" s="33">
        <v>340567.4689198882</v>
      </c>
      <c r="K12" s="33">
        <v>200954.95882515848</v>
      </c>
      <c r="L12" s="33">
        <v>243343.59178973603</v>
      </c>
      <c r="M12" s="33">
        <v>20542.027830863877</v>
      </c>
      <c r="N12" s="33">
        <f>SUM(C12:L12)</f>
        <v>2587081.4798739217</v>
      </c>
      <c r="O12" s="33"/>
      <c r="P12" s="33"/>
      <c r="V12" s="42"/>
      <c r="W12" s="34" t="s">
        <v>79</v>
      </c>
      <c r="X12" s="36">
        <v>22948.352088984258</v>
      </c>
      <c r="Y12" s="36">
        <v>20542.027830863877</v>
      </c>
      <c r="Z12" s="37">
        <v>22969.500487731715</v>
      </c>
    </row>
    <row r="13" spans="2:26" x14ac:dyDescent="0.35">
      <c r="B13" s="32" t="s">
        <v>47</v>
      </c>
      <c r="C13" s="33">
        <f>C11-C12</f>
        <v>129.093207729391</v>
      </c>
      <c r="D13" s="33">
        <f t="shared" ref="D13:M13" si="1">D11-D12</f>
        <v>32693.075277029799</v>
      </c>
      <c r="E13" s="33">
        <f t="shared" si="1"/>
        <v>88101.520441100991</v>
      </c>
      <c r="F13" s="33">
        <f t="shared" si="1"/>
        <v>44648.927052426705</v>
      </c>
      <c r="G13" s="33">
        <f t="shared" si="1"/>
        <v>33957.499323991506</v>
      </c>
      <c r="H13" s="33">
        <f t="shared" si="1"/>
        <v>148178.63695699011</v>
      </c>
      <c r="I13" s="33">
        <f t="shared" si="1"/>
        <v>56865.246476242377</v>
      </c>
      <c r="J13" s="33">
        <f t="shared" si="1"/>
        <v>51577.64091567765</v>
      </c>
      <c r="K13" s="33">
        <f t="shared" si="1"/>
        <v>45798.091071372968</v>
      </c>
      <c r="L13" s="33">
        <f t="shared" si="1"/>
        <v>56488.188084538531</v>
      </c>
      <c r="M13" s="33">
        <f t="shared" si="1"/>
        <v>2406.3221595134419</v>
      </c>
      <c r="N13" s="33">
        <f>N11-N12</f>
        <v>558437.91880710004</v>
      </c>
      <c r="O13" s="33"/>
      <c r="P13" s="33"/>
      <c r="V13" s="42"/>
      <c r="W13" s="34" t="s">
        <v>70</v>
      </c>
      <c r="X13" s="36">
        <v>392145.11483134201</v>
      </c>
      <c r="Y13" s="36">
        <v>340567.4689198882</v>
      </c>
      <c r="Z13" s="37">
        <v>381912.87670067418</v>
      </c>
    </row>
    <row r="14" spans="2:26" ht="15" thickBot="1" x14ac:dyDescent="0.4">
      <c r="B14" s="32" t="s">
        <v>72</v>
      </c>
      <c r="C14" s="33"/>
      <c r="D14" s="33"/>
      <c r="E14" s="33"/>
      <c r="F14" s="33"/>
      <c r="G14" s="33">
        <f>G13</f>
        <v>33957.499323991506</v>
      </c>
      <c r="H14" s="33">
        <f>H13</f>
        <v>148178.63695699011</v>
      </c>
      <c r="I14" s="33"/>
      <c r="J14" s="33">
        <f>J13</f>
        <v>51577.64091567765</v>
      </c>
      <c r="K14" s="33"/>
      <c r="L14" s="33"/>
      <c r="M14" s="33"/>
      <c r="N14" s="40">
        <f>SUM(C14:L14)</f>
        <v>233713.77719665927</v>
      </c>
      <c r="O14" s="40">
        <f>Y18/Y16*N14</f>
        <v>138293.34366644319</v>
      </c>
      <c r="P14" s="40">
        <f>Y17/Y16*N14</f>
        <v>95420.433530216076</v>
      </c>
      <c r="V14" s="47"/>
      <c r="W14" s="62" t="s">
        <v>71</v>
      </c>
      <c r="X14" s="63">
        <v>299831.78264514817</v>
      </c>
      <c r="Y14" s="63">
        <v>243343.59178973603</v>
      </c>
      <c r="Z14" s="64">
        <v>274734.88359003927</v>
      </c>
    </row>
    <row r="15" spans="2:26" ht="15" thickBot="1" x14ac:dyDescent="0.4">
      <c r="B15" s="32"/>
      <c r="V15" s="42"/>
      <c r="W15" s="41"/>
      <c r="X15" s="48">
        <f>SUM(X4:X14)</f>
        <v>3168467.7486713994</v>
      </c>
      <c r="Y15" s="48">
        <f>SUM(Y4:Y14)</f>
        <v>2607623.5077047856</v>
      </c>
      <c r="Z15" s="49">
        <f>SUM(Z4:Z14)</f>
        <v>2939486.8077193047</v>
      </c>
    </row>
    <row r="16" spans="2:26" ht="26" x14ac:dyDescent="0.35">
      <c r="B16" s="32" t="s">
        <v>48</v>
      </c>
      <c r="C16" s="33"/>
      <c r="D16" s="33"/>
      <c r="E16" s="33"/>
      <c r="F16" s="33"/>
      <c r="G16" s="33">
        <f>G5-G14</f>
        <v>21783.376814823685</v>
      </c>
      <c r="H16" s="33">
        <f t="shared" ref="H16:J16" si="2">H5-H14</f>
        <v>194011.42383572378</v>
      </c>
      <c r="I16" s="33"/>
      <c r="J16" s="33">
        <f t="shared" si="2"/>
        <v>160528.0582851026</v>
      </c>
      <c r="K16" s="33"/>
      <c r="L16" s="33"/>
      <c r="M16" s="33"/>
      <c r="N16" s="33">
        <f>SUM(C16:L16)</f>
        <v>376322.85893565009</v>
      </c>
      <c r="V16" s="42"/>
      <c r="W16" s="42"/>
      <c r="X16" s="50" t="s">
        <v>73</v>
      </c>
      <c r="Y16" s="51">
        <f>X15-Y15</f>
        <v>560844.24096661387</v>
      </c>
      <c r="Z16" s="42"/>
    </row>
    <row r="17" spans="2:26" ht="26.5" thickBot="1" x14ac:dyDescent="0.4">
      <c r="B17" s="32" t="s">
        <v>58</v>
      </c>
      <c r="C17" s="33"/>
      <c r="D17" s="33"/>
      <c r="E17" s="33"/>
      <c r="F17" s="33"/>
      <c r="G17" s="33">
        <f>G5*4.6/30</f>
        <v>8546.9343412849958</v>
      </c>
      <c r="H17" s="33">
        <f>H5*4.6/30</f>
        <v>52469.142654882788</v>
      </c>
      <c r="I17" s="33"/>
      <c r="J17" s="33">
        <f>J5*4.6/30</f>
        <v>32522.87387745297</v>
      </c>
      <c r="K17" s="33"/>
      <c r="L17" s="33"/>
      <c r="M17" s="33"/>
      <c r="N17" s="33">
        <f>N5*2.3/31</f>
        <v>45260.782680784243</v>
      </c>
      <c r="V17" s="42"/>
      <c r="W17" s="42"/>
      <c r="X17" s="52" t="s">
        <v>74</v>
      </c>
      <c r="Y17" s="53">
        <f>X15-Z15</f>
        <v>228980.94095209474</v>
      </c>
      <c r="Z17" s="42"/>
    </row>
    <row r="18" spans="2:26" ht="15" thickBot="1" x14ac:dyDescent="0.4">
      <c r="B18" s="32" t="s">
        <v>60</v>
      </c>
      <c r="C18" s="33"/>
      <c r="D18" s="33"/>
      <c r="E18" s="33"/>
      <c r="F18" s="33"/>
      <c r="G18" s="33">
        <f>G5*0.02</f>
        <v>1114.8175227763038</v>
      </c>
      <c r="H18" s="33">
        <f t="shared" ref="H18:N18" si="3">H5*0.02</f>
        <v>6843.8012158542779</v>
      </c>
      <c r="I18" s="33"/>
      <c r="J18" s="33">
        <f t="shared" si="3"/>
        <v>4242.1139840156047</v>
      </c>
      <c r="K18" s="33"/>
      <c r="L18" s="33"/>
      <c r="M18" s="33"/>
      <c r="N18" s="33">
        <f t="shared" si="3"/>
        <v>12200.732722646188</v>
      </c>
      <c r="W18" s="42"/>
      <c r="X18" s="43"/>
      <c r="Y18" s="44">
        <f>Y16-Y17</f>
        <v>331863.30001451913</v>
      </c>
      <c r="Z18" s="42"/>
    </row>
    <row r="19" spans="2:26" x14ac:dyDescent="0.35">
      <c r="B19" s="32" t="s">
        <v>46</v>
      </c>
      <c r="C19" s="33"/>
      <c r="D19" s="33"/>
      <c r="E19" s="33"/>
      <c r="F19" s="33"/>
      <c r="G19" s="33">
        <f>G16-G17-G18</f>
        <v>12121.624950762385</v>
      </c>
      <c r="H19" s="33">
        <f>H16-H17-H18</f>
        <v>134698.47996498671</v>
      </c>
      <c r="I19" s="33"/>
      <c r="J19" s="33">
        <f>J16-J17-J18</f>
        <v>123763.07042363401</v>
      </c>
      <c r="K19" s="33"/>
      <c r="L19" s="33"/>
      <c r="M19" s="33"/>
      <c r="N19" s="33">
        <f>N16-N17-N18</f>
        <v>318861.34353221965</v>
      </c>
    </row>
    <row r="21" spans="2:26" x14ac:dyDescent="0.35">
      <c r="H21" s="45">
        <f>H19+G19</f>
        <v>146820.10491574908</v>
      </c>
    </row>
    <row r="22" spans="2:26" x14ac:dyDescent="0.35">
      <c r="H22" s="6">
        <f>(886.87-540)*31</f>
        <v>10752.97</v>
      </c>
      <c r="I22" s="28" t="s">
        <v>49</v>
      </c>
    </row>
    <row r="23" spans="2:26" x14ac:dyDescent="0.35">
      <c r="H23" s="6">
        <f>401*31</f>
        <v>12431</v>
      </c>
      <c r="I23" s="28" t="s">
        <v>50</v>
      </c>
    </row>
    <row r="24" spans="2:26" x14ac:dyDescent="0.35">
      <c r="H24" s="29">
        <f>H21-H22-H23</f>
        <v>123636.13491574908</v>
      </c>
    </row>
  </sheetData>
  <mergeCells count="1">
    <mergeCell ref="W2:Z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2019-11-20T08:16:51Z</dcterms:modified>
</cp:coreProperties>
</file>