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E2936285-8B91-4F4C-A7A1-A2739F5F9440}" xr6:coauthVersionLast="31" xr6:coauthVersionMax="31" xr10:uidLastSave="{00000000-0000-0000-0000-000000000000}"/>
  <bookViews>
    <workbookView xWindow="0" yWindow="60" windowWidth="16820" windowHeight="7040" activeTab="1" xr2:uid="{00000000-000D-0000-FFFF-FFFF00000000}"/>
  </bookViews>
  <sheets>
    <sheet name="FCF" sheetId="7" r:id="rId1"/>
    <sheet name="Details" sheetId="1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5" i="7" l="1"/>
  <c r="F12" i="19"/>
  <c r="E12" i="19"/>
  <c r="D12" i="19"/>
  <c r="C12" i="19"/>
  <c r="I11" i="19"/>
  <c r="H11" i="19"/>
  <c r="I10" i="19"/>
  <c r="H10" i="19"/>
  <c r="I9" i="19"/>
  <c r="H9" i="19"/>
  <c r="I8" i="19"/>
  <c r="H8" i="19"/>
  <c r="I7" i="19"/>
  <c r="H7" i="19"/>
  <c r="I6" i="19"/>
  <c r="I12" i="19" s="1"/>
  <c r="H6" i="19"/>
  <c r="H12" i="19" l="1"/>
  <c r="J13" i="19" s="1"/>
  <c r="J15" i="19" s="1"/>
  <c r="I62" i="7" l="1"/>
  <c r="L53" i="7"/>
  <c r="I53" i="7"/>
  <c r="F49" i="7"/>
  <c r="F50" i="7" s="1"/>
  <c r="F54" i="7" s="1"/>
  <c r="E49" i="7"/>
  <c r="B49" i="7"/>
  <c r="B50" i="7" s="1"/>
  <c r="B54" i="7" s="1"/>
  <c r="P48" i="7"/>
  <c r="P49" i="7" s="1"/>
  <c r="L48" i="7"/>
  <c r="L49" i="7" s="1"/>
  <c r="L50" i="7" s="1"/>
  <c r="L54" i="7" s="1"/>
  <c r="I48" i="7"/>
  <c r="I49" i="7" s="1"/>
  <c r="H48" i="7"/>
  <c r="H49" i="7" s="1"/>
  <c r="G48" i="7"/>
  <c r="G49" i="7" s="1"/>
  <c r="F48" i="7"/>
  <c r="E48" i="7"/>
  <c r="D48" i="7"/>
  <c r="D49" i="7" s="1"/>
  <c r="C48" i="7"/>
  <c r="C49" i="7" s="1"/>
  <c r="B48" i="7"/>
  <c r="P53" i="7"/>
  <c r="I44" i="7"/>
  <c r="J43" i="7"/>
  <c r="D50" i="7" l="1"/>
  <c r="D54" i="7" s="1"/>
  <c r="B55" i="7"/>
  <c r="B57" i="7"/>
  <c r="H50" i="7"/>
  <c r="H54" i="7" s="1"/>
  <c r="F55" i="7"/>
  <c r="F57" i="7" s="1"/>
  <c r="L55" i="7"/>
  <c r="L57" i="7" s="1"/>
  <c r="L59" i="7" s="1"/>
  <c r="L64" i="7" s="1"/>
  <c r="C54" i="7"/>
  <c r="C50" i="7"/>
  <c r="G50" i="7"/>
  <c r="G54" i="7" s="1"/>
  <c r="P50" i="7"/>
  <c r="P54" i="7" s="1"/>
  <c r="E50" i="7"/>
  <c r="E54" i="7" s="1"/>
  <c r="I50" i="7"/>
  <c r="I54" i="7" s="1"/>
  <c r="E57" i="7" l="1"/>
  <c r="E55" i="7"/>
  <c r="G55" i="7"/>
  <c r="G57" i="7"/>
  <c r="H57" i="7"/>
  <c r="H55" i="7"/>
  <c r="D55" i="7"/>
  <c r="D57" i="7" s="1"/>
  <c r="P55" i="7"/>
  <c r="P57" i="7" s="1"/>
  <c r="P59" i="7" s="1"/>
  <c r="P64" i="7" s="1"/>
  <c r="C55" i="7"/>
  <c r="C57" i="7"/>
  <c r="I55" i="7"/>
  <c r="I57" i="7" s="1"/>
  <c r="I59" i="7" s="1"/>
  <c r="I63" i="7" s="1"/>
  <c r="I64" i="7" s="1"/>
  <c r="I71" i="7" l="1"/>
  <c r="I74" i="7" s="1"/>
  <c r="I23" i="7" l="1"/>
  <c r="J4" i="7" l="1"/>
  <c r="P14" i="7" l="1"/>
  <c r="I14" i="7"/>
  <c r="P9" i="7"/>
  <c r="P10" i="7" s="1"/>
  <c r="I9" i="7"/>
  <c r="I10" i="7" s="1"/>
  <c r="H9" i="7"/>
  <c r="H10" i="7" s="1"/>
  <c r="G9" i="7"/>
  <c r="G10" i="7" s="1"/>
  <c r="F9" i="7"/>
  <c r="F10" i="7" s="1"/>
  <c r="F11" i="7" s="1"/>
  <c r="F15" i="7" s="1"/>
  <c r="E9" i="7"/>
  <c r="E10" i="7" s="1"/>
  <c r="D9" i="7"/>
  <c r="D10" i="7" s="1"/>
  <c r="C9" i="7"/>
  <c r="C10" i="7" s="1"/>
  <c r="B9" i="7"/>
  <c r="B10" i="7" s="1"/>
  <c r="B11" i="7" s="1"/>
  <c r="B15" i="7" s="1"/>
  <c r="L9" i="7"/>
  <c r="L10" i="7" s="1"/>
  <c r="I5" i="7"/>
  <c r="G11" i="7" l="1"/>
  <c r="G15" i="7" s="1"/>
  <c r="B16" i="7"/>
  <c r="B18" i="7" s="1"/>
  <c r="D11" i="7"/>
  <c r="D15" i="7"/>
  <c r="H11" i="7"/>
  <c r="H15" i="7" s="1"/>
  <c r="P11" i="7"/>
  <c r="P15" i="7" s="1"/>
  <c r="C11" i="7"/>
  <c r="C15" i="7"/>
  <c r="L11" i="7"/>
  <c r="F16" i="7"/>
  <c r="F18" i="7"/>
  <c r="E11" i="7"/>
  <c r="E15" i="7" s="1"/>
  <c r="I11" i="7"/>
  <c r="I15" i="7" s="1"/>
  <c r="L14" i="7"/>
  <c r="L15" i="7" l="1"/>
  <c r="L16" i="7" s="1"/>
  <c r="L18" i="7" s="1"/>
  <c r="L20" i="7" s="1"/>
  <c r="L25" i="7" s="1"/>
  <c r="I16" i="7"/>
  <c r="I18" i="7" s="1"/>
  <c r="I20" i="7" s="1"/>
  <c r="I24" i="7" s="1"/>
  <c r="I25" i="7" s="1"/>
  <c r="E16" i="7"/>
  <c r="E18" i="7" s="1"/>
  <c r="D16" i="7"/>
  <c r="D18" i="7" s="1"/>
  <c r="G16" i="7"/>
  <c r="G18" i="7" s="1"/>
  <c r="P16" i="7"/>
  <c r="P18" i="7" s="1"/>
  <c r="P20" i="7" s="1"/>
  <c r="P25" i="7" s="1"/>
  <c r="H16" i="7"/>
  <c r="H18" i="7" s="1"/>
  <c r="C16" i="7"/>
  <c r="C18" i="7" s="1"/>
  <c r="I32" i="7" l="1"/>
</calcChain>
</file>

<file path=xl/sharedStrings.xml><?xml version="1.0" encoding="utf-8"?>
<sst xmlns="http://schemas.openxmlformats.org/spreadsheetml/2006/main" count="155" uniqueCount="54">
  <si>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</si>
  <si>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</si>
  <si>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</si>
  <si>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</si>
  <si>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</si>
  <si>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</si>
  <si>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</si>
  <si>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</si>
  <si>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</si>
  <si>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</si>
  <si>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</si>
  <si>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</si>
  <si>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</si>
  <si>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</si>
  <si>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</si>
  <si>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</si>
  <si>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</si>
  <si>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</si>
  <si>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</si>
  <si>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</si>
  <si>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</si>
  <si>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</si>
  <si>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</si>
  <si>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</si>
  <si>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</si>
  <si>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</si>
  <si>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</si>
  <si>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</si>
  <si>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</si>
  <si>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</si>
  <si>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</si>
  <si>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</si>
  <si>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</si>
  <si>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</si>
  <si>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</si>
  <si>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</t>
  </si>
  <si>
    <t>January - December</t>
  </si>
  <si>
    <t>Gbaran Allocation - H2 2017</t>
  </si>
  <si>
    <t xml:space="preserve">Shared Oil theft volumes </t>
  </si>
  <si>
    <t>Allocated Net Oil at the Terminal</t>
  </si>
  <si>
    <t>Metering inaccuracy</t>
  </si>
  <si>
    <t>Claimed Net Oil Injected</t>
  </si>
  <si>
    <t>Gross (including Water)</t>
  </si>
  <si>
    <t>Metering penalty avoidance</t>
  </si>
  <si>
    <t>Estimated additional Oil from improved SGF)</t>
  </si>
  <si>
    <t>Dec</t>
  </si>
  <si>
    <t>Nov</t>
  </si>
  <si>
    <t>Oct</t>
  </si>
  <si>
    <t>Sep</t>
  </si>
  <si>
    <t>Aug</t>
  </si>
  <si>
    <t>Jul</t>
  </si>
  <si>
    <t>Total Upside</t>
  </si>
  <si>
    <t>Recover Factor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</si>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</sst>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9"/>
      <color theme="1"/>
      <name val="Arial monospaced for SAP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7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2" fillId="0" borderId="0"/>
    <xf numFmtId="43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43" fontId="2" fillId="5" borderId="1" xfId="2" applyNumberFormat="1" applyFont="1" applyFill="1" applyBorder="1"/>
    <xf numFmtId="43" fontId="6" fillId="6" borderId="0" xfId="5" applyNumberFormat="1" applyFont="1" applyFill="1"/>
    <xf numFmtId="0" fontId="6" fillId="0" borderId="8" xfId="5" applyFont="1" applyBorder="1" applyAlignment="1">
      <alignment horizontal="center" vertical="center" wrapText="1"/>
    </xf>
    <xf numFmtId="0" fontId="6" fillId="0" borderId="0" xfId="5" applyFont="1" applyBorder="1" applyAlignment="1">
      <alignment horizontal="center" vertical="center" wrapText="1"/>
    </xf>
    <xf numFmtId="0" fontId="6" fillId="2" borderId="0" xfId="5" applyFont="1" applyFill="1" applyBorder="1" applyAlignment="1">
      <alignment horizontal="center" vertical="center" wrapText="1"/>
    </xf>
    <xf numFmtId="43" fontId="6" fillId="6" borderId="0" xfId="6" applyFont="1" applyFill="1"/>
    <xf numFmtId="43" fontId="0" fillId="2" borderId="0" xfId="0" applyNumberFormat="1" applyFill="1"/>
  </cellXfs>
  <cellStyles count="7">
    <cellStyle name="Comma 10 6" xfId="2" xr:uid="{00000000-0005-0000-0000-000000000000}"/>
    <cellStyle name="Comma 2" xfId="3" xr:uid="{00000000-0005-0000-0000-000001000000}"/>
    <cellStyle name="Comma 2 4" xfId="6" xr:uid="{23FB4038-AC9F-4308-B302-A48669DCEC53}"/>
    <cellStyle name="Normal" xfId="0" builtinId="0"/>
    <cellStyle name="Normal 2 2" xfId="1" xr:uid="{00000000-0005-0000-0000-000003000000}"/>
    <cellStyle name="Normal 2 4" xfId="5" xr:uid="{FF127615-01BB-4381-9640-15ACCF59BDC1}"/>
    <cellStyle name="Normal 5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4"/>
  <sheetViews>
    <sheetView topLeftCell="A54" zoomScale="85" zoomScaleNormal="85" workbookViewId="0">
      <selection activeCell="I76" sqref="I76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1">
        <v>0</v>
      </c>
      <c r="J4">
        <f>680000*0.15*0.3</f>
        <v>30600</v>
      </c>
      <c r="K4" s="1"/>
      <c r="L4" s="31"/>
      <c r="M4" s="5"/>
      <c r="O4" s="1"/>
    </row>
    <row r="5" spans="1:18" x14ac:dyDescent="0.35">
      <c r="A5" s="1" t="s">
        <v>32</v>
      </c>
      <c r="I5" s="31">
        <f>I4*0.2</f>
        <v>0</v>
      </c>
      <c r="K5" s="1"/>
      <c r="L5" s="31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v>31</v>
      </c>
      <c r="K7" s="6" t="s">
        <v>7</v>
      </c>
      <c r="L7" s="10">
        <v>0</v>
      </c>
      <c r="O7" s="6" t="s">
        <v>7</v>
      </c>
      <c r="P7" s="10">
        <v>0</v>
      </c>
    </row>
    <row r="8" spans="1:18" x14ac:dyDescent="0.35">
      <c r="A8" s="6" t="s">
        <v>8</v>
      </c>
      <c r="B8" s="11"/>
      <c r="C8" s="11"/>
      <c r="D8" s="11"/>
      <c r="E8" s="11"/>
      <c r="F8" s="11"/>
      <c r="G8" s="11"/>
      <c r="H8" s="11"/>
      <c r="I8" s="12">
        <v>1.1200000000000001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32">
        <f>I8*I7*1000</f>
        <v>34720.000000000007</v>
      </c>
      <c r="K9" s="6" t="s">
        <v>11</v>
      </c>
      <c r="L9" s="32">
        <f>L8*L7*1000</f>
        <v>0</v>
      </c>
      <c r="O9" s="6" t="s">
        <v>11</v>
      </c>
      <c r="P9" s="14">
        <f t="shared" ref="P9" si="1">P8*P7*1000</f>
        <v>0</v>
      </c>
    </row>
    <row r="10" spans="1:18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1785649.6000000003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-357129.9200000001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35">
      <c r="A12" s="6"/>
      <c r="B12" s="17"/>
      <c r="C12" s="17"/>
      <c r="D12" s="17"/>
      <c r="E12" s="17"/>
      <c r="F12" s="17"/>
      <c r="G12" s="17"/>
      <c r="H12" s="18"/>
      <c r="I12" s="17">
        <v>-80000</v>
      </c>
      <c r="K12" s="6" t="s">
        <v>17</v>
      </c>
      <c r="L12" s="17"/>
      <c r="O12" s="6" t="s">
        <v>17</v>
      </c>
      <c r="P12" s="17">
        <v>0</v>
      </c>
    </row>
    <row r="13" spans="1:18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-93952.320000000022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1254567.3600000001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0</v>
      </c>
    </row>
    <row r="16" spans="1:18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-1066382.2560000001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0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188185.10400000005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0</v>
      </c>
    </row>
    <row r="19" spans="1:17" ht="15" thickTop="1" x14ac:dyDescent="0.35"/>
    <row r="20" spans="1:17" ht="15" thickBot="1" x14ac:dyDescent="0.4">
      <c r="A20" t="s">
        <v>26</v>
      </c>
      <c r="I20" s="27">
        <f>I18-I14</f>
        <v>282137.42400000006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1">
        <v>0</v>
      </c>
    </row>
    <row r="23" spans="1:17" x14ac:dyDescent="0.35">
      <c r="A23" s="1" t="s">
        <v>33</v>
      </c>
      <c r="I23" s="31">
        <f>-0.2*I22*0.85</f>
        <v>0</v>
      </c>
    </row>
    <row r="24" spans="1:17" x14ac:dyDescent="0.35">
      <c r="A24" t="s">
        <v>34</v>
      </c>
      <c r="I24" s="28">
        <f>I23+I22+I20</f>
        <v>282137.42400000006</v>
      </c>
    </row>
    <row r="25" spans="1:17" x14ac:dyDescent="0.3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84641.227200000008</v>
      </c>
      <c r="K25" t="s">
        <v>28</v>
      </c>
      <c r="L25" s="30">
        <f>L20*0.3</f>
        <v>0</v>
      </c>
      <c r="O25" t="s">
        <v>29</v>
      </c>
      <c r="P25" s="30">
        <f>P20*0.3</f>
        <v>0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30</v>
      </c>
      <c r="I32" s="28">
        <f>I25+L25+P25</f>
        <v>84641.227200000008</v>
      </c>
    </row>
    <row r="33" spans="1:17" x14ac:dyDescent="0.35">
      <c r="I33" s="28"/>
      <c r="J33" s="28"/>
      <c r="L33" s="28"/>
    </row>
    <row r="34" spans="1:17" x14ac:dyDescent="0.35">
      <c r="A34" s="1" t="s">
        <v>35</v>
      </c>
    </row>
    <row r="35" spans="1:17" x14ac:dyDescent="0.35">
      <c r="A35" t="s">
        <v>53</v>
      </c>
      <c r="I35" s="28">
        <f>I32</f>
        <v>84641.227200000008</v>
      </c>
      <c r="L35" s="28"/>
    </row>
    <row r="41" spans="1:17" ht="18.5" x14ac:dyDescent="0.45">
      <c r="A41" s="3" t="s">
        <v>0</v>
      </c>
      <c r="B41" s="4">
        <v>2008</v>
      </c>
      <c r="C41" s="4">
        <v>2009</v>
      </c>
      <c r="D41" s="4">
        <v>2010</v>
      </c>
      <c r="E41" s="4">
        <v>2011</v>
      </c>
      <c r="F41" s="4">
        <v>2012</v>
      </c>
      <c r="G41" s="4">
        <v>2013</v>
      </c>
      <c r="H41" s="4">
        <v>2014</v>
      </c>
      <c r="I41" s="4">
        <v>2019</v>
      </c>
      <c r="J41" s="5"/>
      <c r="K41" s="3" t="s">
        <v>1</v>
      </c>
      <c r="L41" s="4">
        <v>2019</v>
      </c>
      <c r="O41" s="3" t="s">
        <v>2</v>
      </c>
      <c r="P41" s="4">
        <v>2019</v>
      </c>
    </row>
    <row r="42" spans="1:17" x14ac:dyDescent="0.35">
      <c r="A42" s="1" t="s">
        <v>3</v>
      </c>
      <c r="K42" s="1" t="s">
        <v>3</v>
      </c>
      <c r="M42" s="5"/>
      <c r="O42" s="1" t="s">
        <v>3</v>
      </c>
    </row>
    <row r="43" spans="1:17" x14ac:dyDescent="0.35">
      <c r="A43" s="1" t="s">
        <v>31</v>
      </c>
      <c r="I43" s="31">
        <v>0</v>
      </c>
      <c r="J43">
        <f>680000*0.15*0.3</f>
        <v>30600</v>
      </c>
      <c r="K43" s="1"/>
      <c r="L43" s="31"/>
      <c r="M43" s="5"/>
      <c r="O43" s="1"/>
    </row>
    <row r="44" spans="1:17" x14ac:dyDescent="0.35">
      <c r="A44" s="1" t="s">
        <v>32</v>
      </c>
      <c r="I44" s="31">
        <f>I43*0.2</f>
        <v>0</v>
      </c>
      <c r="K44" s="1"/>
      <c r="L44" s="31"/>
      <c r="M44" s="5"/>
      <c r="O44" s="1"/>
    </row>
    <row r="45" spans="1:17" x14ac:dyDescent="0.35">
      <c r="A45" s="6" t="s">
        <v>4</v>
      </c>
      <c r="B45" s="7"/>
      <c r="C45" s="7"/>
      <c r="D45" s="7"/>
      <c r="E45" s="7"/>
      <c r="F45" s="7"/>
      <c r="G45" s="7"/>
      <c r="H45" s="7"/>
      <c r="I45" s="7">
        <v>51.43</v>
      </c>
      <c r="J45" t="s">
        <v>5</v>
      </c>
      <c r="K45" s="6" t="s">
        <v>6</v>
      </c>
      <c r="L45" s="8">
        <v>1.36</v>
      </c>
      <c r="M45" t="s">
        <v>5</v>
      </c>
      <c r="O45" s="6" t="s">
        <v>6</v>
      </c>
      <c r="P45" s="9">
        <v>2.5099999999999998</v>
      </c>
      <c r="Q45" t="s">
        <v>5</v>
      </c>
    </row>
    <row r="46" spans="1:17" x14ac:dyDescent="0.35">
      <c r="A46" s="6" t="s">
        <v>7</v>
      </c>
      <c r="B46" s="10">
        <v>366</v>
      </c>
      <c r="C46" s="10">
        <v>365</v>
      </c>
      <c r="D46" s="10">
        <v>365</v>
      </c>
      <c r="E46" s="10">
        <v>365</v>
      </c>
      <c r="F46" s="10">
        <v>366</v>
      </c>
      <c r="G46" s="10">
        <v>365</v>
      </c>
      <c r="H46" s="10">
        <v>365</v>
      </c>
      <c r="I46" s="10">
        <v>365</v>
      </c>
      <c r="K46" s="6" t="s">
        <v>7</v>
      </c>
      <c r="L46" s="10">
        <v>365</v>
      </c>
      <c r="O46" s="6" t="s">
        <v>7</v>
      </c>
      <c r="P46" s="10">
        <v>365</v>
      </c>
    </row>
    <row r="47" spans="1:17" x14ac:dyDescent="0.35">
      <c r="A47" s="6" t="s">
        <v>8</v>
      </c>
      <c r="B47" s="11"/>
      <c r="C47" s="11"/>
      <c r="D47" s="11"/>
      <c r="E47" s="11"/>
      <c r="F47" s="11"/>
      <c r="G47" s="11"/>
      <c r="H47" s="11"/>
      <c r="I47" s="12">
        <v>1.1200000000000001</v>
      </c>
      <c r="J47" t="s">
        <v>9</v>
      </c>
      <c r="K47" s="6" t="s">
        <v>8</v>
      </c>
      <c r="L47" s="13"/>
      <c r="M47" t="s">
        <v>9</v>
      </c>
      <c r="O47" s="6" t="s">
        <v>8</v>
      </c>
      <c r="P47" s="13">
        <v>0</v>
      </c>
      <c r="Q47" t="s">
        <v>9</v>
      </c>
    </row>
    <row r="48" spans="1:17" x14ac:dyDescent="0.35">
      <c r="A48" s="6" t="s">
        <v>10</v>
      </c>
      <c r="B48" s="14">
        <f t="shared" ref="B48:H48" si="9">B47*B46*1000</f>
        <v>0</v>
      </c>
      <c r="C48" s="14">
        <f t="shared" si="9"/>
        <v>0</v>
      </c>
      <c r="D48" s="14">
        <f t="shared" si="9"/>
        <v>0</v>
      </c>
      <c r="E48" s="14">
        <f t="shared" si="9"/>
        <v>0</v>
      </c>
      <c r="F48" s="14">
        <f t="shared" si="9"/>
        <v>0</v>
      </c>
      <c r="G48" s="14">
        <f t="shared" si="9"/>
        <v>0</v>
      </c>
      <c r="H48" s="14">
        <f t="shared" si="9"/>
        <v>0</v>
      </c>
      <c r="I48" s="32">
        <f>I47*I46*1000</f>
        <v>408800</v>
      </c>
      <c r="K48" s="6" t="s">
        <v>11</v>
      </c>
      <c r="L48" s="32">
        <f>L47*L46*1000</f>
        <v>0</v>
      </c>
      <c r="O48" s="6" t="s">
        <v>11</v>
      </c>
      <c r="P48" s="14">
        <f t="shared" ref="P48" si="10">P47*P46*1000</f>
        <v>0</v>
      </c>
    </row>
    <row r="49" spans="1:17" ht="15" thickBot="1" x14ac:dyDescent="0.4">
      <c r="A49" s="6" t="s">
        <v>12</v>
      </c>
      <c r="B49" s="15">
        <f t="shared" ref="B49:I49" si="11">+B48*B45</f>
        <v>0</v>
      </c>
      <c r="C49" s="15">
        <f t="shared" si="11"/>
        <v>0</v>
      </c>
      <c r="D49" s="15">
        <f t="shared" si="11"/>
        <v>0</v>
      </c>
      <c r="E49" s="15">
        <f t="shared" si="11"/>
        <v>0</v>
      </c>
      <c r="F49" s="15">
        <f t="shared" si="11"/>
        <v>0</v>
      </c>
      <c r="G49" s="15">
        <f t="shared" si="11"/>
        <v>0</v>
      </c>
      <c r="H49" s="15">
        <f t="shared" si="11"/>
        <v>0</v>
      </c>
      <c r="I49" s="16">
        <f t="shared" si="11"/>
        <v>21024584</v>
      </c>
      <c r="K49" s="6" t="s">
        <v>12</v>
      </c>
      <c r="L49" s="16">
        <f>+L48*L45*5.8</f>
        <v>0</v>
      </c>
      <c r="O49" s="6" t="s">
        <v>12</v>
      </c>
      <c r="P49" s="16">
        <f>+P48*P45*5.8</f>
        <v>0</v>
      </c>
    </row>
    <row r="50" spans="1:17" ht="15" thickTop="1" x14ac:dyDescent="0.35">
      <c r="A50" s="6" t="s">
        <v>13</v>
      </c>
      <c r="B50" s="17">
        <f t="shared" ref="B50:I50" si="12">-B49*0.2</f>
        <v>0</v>
      </c>
      <c r="C50" s="17">
        <f t="shared" si="12"/>
        <v>0</v>
      </c>
      <c r="D50" s="17">
        <f t="shared" si="12"/>
        <v>0</v>
      </c>
      <c r="E50" s="17">
        <f t="shared" si="12"/>
        <v>0</v>
      </c>
      <c r="F50" s="17">
        <f t="shared" si="12"/>
        <v>0</v>
      </c>
      <c r="G50" s="17">
        <f t="shared" si="12"/>
        <v>0</v>
      </c>
      <c r="H50" s="18">
        <f t="shared" si="12"/>
        <v>0</v>
      </c>
      <c r="I50" s="19">
        <f t="shared" si="12"/>
        <v>-4204916.8</v>
      </c>
      <c r="J50" t="s">
        <v>14</v>
      </c>
      <c r="K50" s="6" t="s">
        <v>15</v>
      </c>
      <c r="L50" s="19">
        <f>-L49*0.07</f>
        <v>0</v>
      </c>
      <c r="M50" t="s">
        <v>16</v>
      </c>
      <c r="O50" s="6" t="s">
        <v>15</v>
      </c>
      <c r="P50" s="19">
        <f>-P49*0.07</f>
        <v>0</v>
      </c>
      <c r="Q50" t="s">
        <v>16</v>
      </c>
    </row>
    <row r="51" spans="1:17" x14ac:dyDescent="0.35">
      <c r="A51" s="6" t="s">
        <v>17</v>
      </c>
      <c r="B51" s="17"/>
      <c r="C51" s="17"/>
      <c r="D51" s="17"/>
      <c r="E51" s="17"/>
      <c r="F51" s="17"/>
      <c r="G51" s="17"/>
      <c r="H51" s="18"/>
      <c r="I51" s="17">
        <v>0</v>
      </c>
      <c r="K51" s="6" t="s">
        <v>17</v>
      </c>
      <c r="L51" s="17"/>
      <c r="O51" s="6" t="s">
        <v>17</v>
      </c>
      <c r="P51" s="17">
        <v>0</v>
      </c>
    </row>
    <row r="52" spans="1:17" x14ac:dyDescent="0.35">
      <c r="A52" s="6" t="s">
        <v>18</v>
      </c>
      <c r="B52" s="17"/>
      <c r="C52" s="17"/>
      <c r="D52" s="17"/>
      <c r="E52" s="17"/>
      <c r="F52" s="17"/>
      <c r="G52" s="17"/>
      <c r="H52" s="18"/>
      <c r="I52" s="17"/>
      <c r="K52" s="6" t="s">
        <v>18</v>
      </c>
      <c r="L52" s="17"/>
      <c r="O52" s="6" t="s">
        <v>18</v>
      </c>
      <c r="P52" s="17"/>
    </row>
    <row r="53" spans="1:17" x14ac:dyDescent="0.35">
      <c r="A53" s="6" t="s">
        <v>19</v>
      </c>
      <c r="B53" s="17"/>
      <c r="C53" s="17"/>
      <c r="D53" s="17"/>
      <c r="E53" s="17"/>
      <c r="F53" s="17"/>
      <c r="G53" s="17"/>
      <c r="H53" s="18"/>
      <c r="I53" s="17">
        <f>-I47*I46*2706</f>
        <v>-1106212.8</v>
      </c>
      <c r="J53" t="s">
        <v>20</v>
      </c>
      <c r="K53" s="6" t="s">
        <v>19</v>
      </c>
      <c r="L53" s="17">
        <f>-L47*L46*2706</f>
        <v>0</v>
      </c>
      <c r="O53" s="6" t="s">
        <v>19</v>
      </c>
      <c r="P53" s="17">
        <f>-P47*P46*2706</f>
        <v>0</v>
      </c>
    </row>
    <row r="54" spans="1:17" x14ac:dyDescent="0.35">
      <c r="A54" s="6" t="s">
        <v>21</v>
      </c>
      <c r="B54" s="20">
        <f t="shared" ref="B54:H54" si="13">+B49+B50</f>
        <v>0</v>
      </c>
      <c r="C54" s="20">
        <f t="shared" si="13"/>
        <v>0</v>
      </c>
      <c r="D54" s="20">
        <f t="shared" si="13"/>
        <v>0</v>
      </c>
      <c r="E54" s="20">
        <f t="shared" si="13"/>
        <v>0</v>
      </c>
      <c r="F54" s="20">
        <f t="shared" si="13"/>
        <v>0</v>
      </c>
      <c r="G54" s="20">
        <f t="shared" si="13"/>
        <v>0</v>
      </c>
      <c r="H54" s="21">
        <f t="shared" si="13"/>
        <v>0</v>
      </c>
      <c r="I54" s="20">
        <f>+I49+I50+I51+I52+I53</f>
        <v>15713454.399999999</v>
      </c>
      <c r="K54" s="6" t="s">
        <v>21</v>
      </c>
      <c r="L54" s="20">
        <f>+L49+L50+L51+L52+L53</f>
        <v>0</v>
      </c>
      <c r="O54" s="6" t="s">
        <v>21</v>
      </c>
      <c r="P54" s="20">
        <f>+P49+P50+P51+P52+P53</f>
        <v>0</v>
      </c>
    </row>
    <row r="55" spans="1:17" x14ac:dyDescent="0.35">
      <c r="A55" s="6" t="s">
        <v>22</v>
      </c>
      <c r="B55" s="17">
        <f t="shared" ref="B55:I55" si="14">-B54*0.85</f>
        <v>0</v>
      </c>
      <c r="C55" s="17">
        <f t="shared" si="14"/>
        <v>0</v>
      </c>
      <c r="D55" s="17">
        <f t="shared" si="14"/>
        <v>0</v>
      </c>
      <c r="E55" s="17">
        <f t="shared" si="14"/>
        <v>0</v>
      </c>
      <c r="F55" s="17">
        <f t="shared" si="14"/>
        <v>0</v>
      </c>
      <c r="G55" s="17">
        <f t="shared" si="14"/>
        <v>0</v>
      </c>
      <c r="H55" s="18">
        <f t="shared" si="14"/>
        <v>0</v>
      </c>
      <c r="I55" s="17">
        <f t="shared" si="14"/>
        <v>-13356436.239999998</v>
      </c>
      <c r="J55" t="s">
        <v>23</v>
      </c>
      <c r="K55" s="6" t="s">
        <v>24</v>
      </c>
      <c r="L55" s="17">
        <f>-L54*0.3</f>
        <v>0</v>
      </c>
      <c r="O55" s="6" t="s">
        <v>24</v>
      </c>
      <c r="P55" s="17">
        <f>-P54*0.3</f>
        <v>0</v>
      </c>
    </row>
    <row r="56" spans="1:17" x14ac:dyDescent="0.35">
      <c r="A56" s="22"/>
      <c r="B56" s="23"/>
      <c r="C56" s="23"/>
      <c r="D56" s="23"/>
      <c r="E56" s="23"/>
      <c r="F56" s="23"/>
      <c r="G56" s="23"/>
      <c r="H56" s="23"/>
      <c r="I56" s="24"/>
      <c r="K56" s="22"/>
      <c r="L56" s="24"/>
      <c r="O56" s="22"/>
      <c r="P56" s="24"/>
    </row>
    <row r="57" spans="1:17" ht="15" thickBot="1" x14ac:dyDescent="0.4">
      <c r="A57" s="25" t="s">
        <v>25</v>
      </c>
      <c r="B57" s="26">
        <f t="shared" ref="B57:I57" si="15">+B54+B55</f>
        <v>0</v>
      </c>
      <c r="C57" s="26">
        <f t="shared" si="15"/>
        <v>0</v>
      </c>
      <c r="D57" s="26">
        <f t="shared" si="15"/>
        <v>0</v>
      </c>
      <c r="E57" s="26">
        <f t="shared" si="15"/>
        <v>0</v>
      </c>
      <c r="F57" s="26">
        <f t="shared" si="15"/>
        <v>0</v>
      </c>
      <c r="G57" s="26">
        <f t="shared" si="15"/>
        <v>0</v>
      </c>
      <c r="H57" s="26">
        <f t="shared" si="15"/>
        <v>0</v>
      </c>
      <c r="I57" s="15">
        <f t="shared" si="15"/>
        <v>2357018.16</v>
      </c>
      <c r="K57" s="25" t="s">
        <v>25</v>
      </c>
      <c r="L57" s="15">
        <f t="shared" ref="L57" si="16">+L54+L55</f>
        <v>0</v>
      </c>
      <c r="O57" s="25" t="s">
        <v>25</v>
      </c>
      <c r="P57" s="15">
        <f t="shared" ref="P57" si="17">+P54+P55</f>
        <v>0</v>
      </c>
    </row>
    <row r="58" spans="1:17" ht="15" thickTop="1" x14ac:dyDescent="0.35"/>
    <row r="59" spans="1:17" ht="15" thickBot="1" x14ac:dyDescent="0.4">
      <c r="A59" t="s">
        <v>26</v>
      </c>
      <c r="I59" s="27">
        <f>I57-I53</f>
        <v>3463230.96</v>
      </c>
      <c r="J59" t="s">
        <v>27</v>
      </c>
      <c r="K59" t="s">
        <v>26</v>
      </c>
      <c r="L59" s="27">
        <f>L57-L53</f>
        <v>0</v>
      </c>
      <c r="M59" t="s">
        <v>27</v>
      </c>
      <c r="O59" t="s">
        <v>26</v>
      </c>
      <c r="P59" s="27">
        <f>P57-P53</f>
        <v>0</v>
      </c>
      <c r="Q59" t="s">
        <v>27</v>
      </c>
    </row>
    <row r="60" spans="1:17" ht="15" thickTop="1" x14ac:dyDescent="0.35"/>
    <row r="61" spans="1:17" x14ac:dyDescent="0.35">
      <c r="A61" s="1" t="s">
        <v>31</v>
      </c>
      <c r="I61" s="31">
        <v>0</v>
      </c>
    </row>
    <row r="62" spans="1:17" x14ac:dyDescent="0.35">
      <c r="A62" s="1" t="s">
        <v>33</v>
      </c>
      <c r="I62" s="31">
        <f>-0.2*I61*0.85</f>
        <v>0</v>
      </c>
    </row>
    <row r="63" spans="1:17" x14ac:dyDescent="0.35">
      <c r="A63" t="s">
        <v>34</v>
      </c>
      <c r="I63" s="28">
        <f>I62+I61+I59</f>
        <v>3463230.96</v>
      </c>
    </row>
    <row r="64" spans="1:17" x14ac:dyDescent="0.35">
      <c r="A64" t="s">
        <v>29</v>
      </c>
      <c r="B64" s="29">
        <v>2014</v>
      </c>
      <c r="C64" s="29"/>
      <c r="D64" s="29"/>
      <c r="E64" s="29"/>
      <c r="F64" s="29"/>
      <c r="G64" s="29"/>
      <c r="H64" s="29"/>
      <c r="I64" s="30">
        <f>I63*0.3</f>
        <v>1038969.2879999999</v>
      </c>
      <c r="K64" t="s">
        <v>28</v>
      </c>
      <c r="L64" s="30">
        <f>L59*0.3</f>
        <v>0</v>
      </c>
      <c r="O64" t="s">
        <v>29</v>
      </c>
      <c r="P64" s="30">
        <f>P59*0.3</f>
        <v>0</v>
      </c>
    </row>
    <row r="69" spans="1:16" x14ac:dyDescent="0.35">
      <c r="P69" s="28"/>
    </row>
    <row r="71" spans="1:16" x14ac:dyDescent="0.35">
      <c r="A71" t="s">
        <v>30</v>
      </c>
      <c r="I71" s="28">
        <f>I64+L64+P64</f>
        <v>1038969.2879999999</v>
      </c>
    </row>
    <row r="72" spans="1:16" x14ac:dyDescent="0.35">
      <c r="I72" s="28"/>
      <c r="J72" s="28"/>
      <c r="L72" s="28"/>
    </row>
    <row r="73" spans="1:16" x14ac:dyDescent="0.35">
      <c r="A73" s="1" t="s">
        <v>35</v>
      </c>
    </row>
    <row r="74" spans="1:16" x14ac:dyDescent="0.35">
      <c r="A74" t="s">
        <v>36</v>
      </c>
      <c r="I74" s="28">
        <f>I71/12</f>
        <v>86580.77399999999</v>
      </c>
      <c r="L74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D54E7-41FC-469E-80CE-576C815B43C3}">
  <dimension ref="B4:L15"/>
  <sheetViews>
    <sheetView tabSelected="1" topLeftCell="A3" zoomScale="110" zoomScaleNormal="110" workbookViewId="0">
      <selection activeCell="D15" sqref="D15"/>
    </sheetView>
  </sheetViews>
  <sheetFormatPr defaultRowHeight="14.5" x14ac:dyDescent="0.35"/>
  <cols>
    <col min="3" max="3" width="13.1796875" bestFit="1" customWidth="1"/>
    <col min="4" max="4" width="13.26953125" bestFit="1" customWidth="1"/>
    <col min="5" max="5" width="13.453125" customWidth="1"/>
    <col min="6" max="6" width="13.26953125" bestFit="1" customWidth="1"/>
    <col min="7" max="7" width="13.54296875" customWidth="1"/>
    <col min="8" max="10" width="11.08984375" bestFit="1" customWidth="1"/>
    <col min="11" max="12" width="9.54296875" customWidth="1"/>
  </cols>
  <sheetData>
    <row r="4" spans="2:12" x14ac:dyDescent="0.35">
      <c r="B4" s="1" t="s">
        <v>37</v>
      </c>
    </row>
    <row r="5" spans="2:12" ht="57.5" x14ac:dyDescent="0.35">
      <c r="C5" s="34" t="s">
        <v>38</v>
      </c>
      <c r="D5" s="34" t="s">
        <v>39</v>
      </c>
      <c r="E5" s="34" t="s">
        <v>40</v>
      </c>
      <c r="F5" s="35" t="s">
        <v>41</v>
      </c>
      <c r="G5" s="35" t="s">
        <v>42</v>
      </c>
      <c r="H5" s="36" t="s">
        <v>43</v>
      </c>
      <c r="I5" s="36" t="s">
        <v>44</v>
      </c>
    </row>
    <row r="6" spans="2:12" x14ac:dyDescent="0.35">
      <c r="B6" t="s">
        <v>45</v>
      </c>
      <c r="C6" s="37">
        <v>128079.92972180694</v>
      </c>
      <c r="D6" s="37">
        <v>777356.19801093196</v>
      </c>
      <c r="E6" s="33">
        <v>72729.948957057786</v>
      </c>
      <c r="F6" s="33">
        <v>978166.07668979664</v>
      </c>
      <c r="G6" s="28">
        <v>1092862.8578385401</v>
      </c>
      <c r="H6" s="38">
        <f>F6*0.02</f>
        <v>19563.321533795934</v>
      </c>
      <c r="I6" s="38">
        <f>G6*0.04</f>
        <v>43714.514313541607</v>
      </c>
      <c r="J6" s="28"/>
      <c r="K6" s="28"/>
      <c r="L6" s="28"/>
    </row>
    <row r="7" spans="2:12" x14ac:dyDescent="0.35">
      <c r="B7" t="s">
        <v>46</v>
      </c>
      <c r="C7" s="37">
        <v>177114.77984569909</v>
      </c>
      <c r="D7" s="33">
        <v>685306.33977175958</v>
      </c>
      <c r="E7" s="33">
        <v>69878.786251112702</v>
      </c>
      <c r="F7" s="33">
        <v>932299.90586857137</v>
      </c>
      <c r="G7" s="28">
        <v>1044594.60455729</v>
      </c>
      <c r="H7" s="38">
        <f t="shared" ref="H7:H11" si="0">F7*0.02</f>
        <v>18645.99811737143</v>
      </c>
      <c r="I7" s="38">
        <f>G7*0.04</f>
        <v>41783.784182291602</v>
      </c>
      <c r="J7" s="28"/>
      <c r="K7" s="28"/>
      <c r="L7" s="28"/>
    </row>
    <row r="8" spans="2:12" x14ac:dyDescent="0.35">
      <c r="B8" t="s">
        <v>47</v>
      </c>
      <c r="C8" s="37">
        <v>128596.30349730128</v>
      </c>
      <c r="D8" s="33">
        <v>665422.51634881704</v>
      </c>
      <c r="E8" s="33">
        <v>55263.905199809466</v>
      </c>
      <c r="F8" s="33">
        <v>849282.7250459278</v>
      </c>
      <c r="G8" s="28">
        <v>990537.12235651701</v>
      </c>
      <c r="H8" s="38">
        <f t="shared" si="0"/>
        <v>16985.654500918557</v>
      </c>
      <c r="I8" s="38">
        <f>G8*0.04</f>
        <v>39621.484894260684</v>
      </c>
      <c r="J8" s="28"/>
      <c r="K8" s="28"/>
      <c r="L8" s="28"/>
    </row>
    <row r="9" spans="2:12" x14ac:dyDescent="0.35">
      <c r="B9" t="s">
        <v>48</v>
      </c>
      <c r="C9" s="37">
        <v>74407.58234761357</v>
      </c>
      <c r="D9" s="33">
        <v>649668.97274698014</v>
      </c>
      <c r="E9" s="33">
        <v>66953.149090829538</v>
      </c>
      <c r="F9" s="33">
        <v>791029.70418542321</v>
      </c>
      <c r="G9" s="28">
        <v>921867.50921223999</v>
      </c>
      <c r="H9" s="38">
        <f t="shared" si="0"/>
        <v>15820.594083708465</v>
      </c>
      <c r="I9" s="38">
        <f>G9*0.04</f>
        <v>36874.700368489597</v>
      </c>
      <c r="J9" s="28"/>
      <c r="K9" s="28"/>
      <c r="L9" s="28"/>
    </row>
    <row r="10" spans="2:12" x14ac:dyDescent="0.35">
      <c r="B10" t="s">
        <v>49</v>
      </c>
      <c r="C10" s="37">
        <v>141805.62576110623</v>
      </c>
      <c r="D10" s="33">
        <v>503925.77232289291</v>
      </c>
      <c r="E10" s="33">
        <v>28914.799145552795</v>
      </c>
      <c r="F10" s="33">
        <v>674646.19722955197</v>
      </c>
      <c r="G10" s="28">
        <v>776146.10174479196</v>
      </c>
      <c r="H10" s="38">
        <f t="shared" si="0"/>
        <v>13492.923944591039</v>
      </c>
      <c r="I10" s="38">
        <f>G10*0.04</f>
        <v>31045.844069791678</v>
      </c>
      <c r="J10" s="28"/>
      <c r="K10" s="28"/>
      <c r="L10" s="28"/>
    </row>
    <row r="11" spans="2:12" x14ac:dyDescent="0.35">
      <c r="B11" t="s">
        <v>50</v>
      </c>
      <c r="C11" s="37">
        <v>91330.482948141027</v>
      </c>
      <c r="D11" s="33">
        <v>729045.90414427046</v>
      </c>
      <c r="E11" s="33">
        <v>52432.044663072797</v>
      </c>
      <c r="F11" s="33">
        <v>872808.43175548431</v>
      </c>
      <c r="G11" s="28">
        <v>959490.33231759595</v>
      </c>
      <c r="H11" s="38">
        <f t="shared" si="0"/>
        <v>17456.168635109687</v>
      </c>
      <c r="I11" s="38">
        <f>G11*0.04</f>
        <v>38379.613292703842</v>
      </c>
      <c r="J11" s="28"/>
      <c r="K11" s="28"/>
      <c r="L11" s="28"/>
    </row>
    <row r="12" spans="2:12" x14ac:dyDescent="0.35">
      <c r="C12" s="28">
        <f t="shared" ref="C12:D12" si="1">SUM(C6:C11)</f>
        <v>741334.70412166824</v>
      </c>
      <c r="D12" s="28">
        <f t="shared" si="1"/>
        <v>4010725.7033456517</v>
      </c>
      <c r="E12" s="28">
        <f>SUM(E6:E11)</f>
        <v>346172.63330743508</v>
      </c>
      <c r="F12" s="28">
        <f t="shared" ref="F12" si="2">SUM(F6:F11)</f>
        <v>5098233.0407747552</v>
      </c>
      <c r="H12" s="38">
        <f>SUM(H6:H11)</f>
        <v>101964.66081549511</v>
      </c>
      <c r="I12" s="38">
        <f>SUM(I6:I11)</f>
        <v>231419.941121079</v>
      </c>
      <c r="J12" s="28"/>
    </row>
    <row r="13" spans="2:12" x14ac:dyDescent="0.35">
      <c r="B13" t="s">
        <v>51</v>
      </c>
      <c r="J13" s="28">
        <f>(H12+I12)/184</f>
        <v>1811.8728366118157</v>
      </c>
    </row>
    <row r="14" spans="2:12" x14ac:dyDescent="0.35">
      <c r="B14" t="s">
        <v>52</v>
      </c>
      <c r="J14">
        <v>0.62</v>
      </c>
    </row>
    <row r="15" spans="2:12" x14ac:dyDescent="0.35">
      <c r="J15" s="28">
        <f>J14*J13</f>
        <v>1123.3611586993256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2018-09-05T23:13:45Z</dcterms:modified>
</cp:coreProperties>
</file>