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bafemi.Ilori\Desktop\CP Production Docs\Reports\Wave\"/>
    </mc:Choice>
  </mc:AlternateContent>
  <xr:revisionPtr revIDLastSave="0" documentId="8_{BECD252C-086A-47FA-9590-8D09EBE1C869}" xr6:coauthVersionLast="41" xr6:coauthVersionMax="41" xr10:uidLastSave="{00000000-0000-0000-0000-000000000000}"/>
  <bookViews>
    <workbookView xWindow="-120" yWindow="-120" windowWidth="25440" windowHeight="15390" firstSheet="1" activeTab="1" xr2:uid="{F050863A-2632-40D2-8E7D-E760B74E903A}"/>
  </bookViews>
  <sheets>
    <sheet name="Logistics Weekly Report" sheetId="6" r:id="rId1"/>
    <sheet name="2019 Actuals - SPDC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9" l="1"/>
  <c r="S2" i="9"/>
  <c r="T3" i="9" l="1"/>
  <c r="L10" i="9" l="1"/>
  <c r="M10" i="9" s="1"/>
  <c r="K10" i="9"/>
  <c r="N10" i="9" l="1"/>
  <c r="L9" i="9"/>
  <c r="M9" i="9" s="1"/>
  <c r="N9" i="9" s="1"/>
  <c r="K9" i="9"/>
  <c r="L8" i="9"/>
  <c r="K8" i="9"/>
  <c r="O9" i="9" l="1"/>
  <c r="M8" i="9"/>
  <c r="L2" i="9"/>
  <c r="Q2" i="9" s="1"/>
  <c r="R2" i="9" s="1"/>
  <c r="O2" i="9"/>
  <c r="L3" i="9"/>
  <c r="Q3" i="9" s="1"/>
  <c r="R3" i="9" s="1"/>
  <c r="O3" i="9"/>
  <c r="L4" i="9"/>
  <c r="H7" i="9"/>
  <c r="L7" i="9" s="1"/>
  <c r="M7" i="9" s="1"/>
  <c r="H6" i="9"/>
  <c r="L6" i="9" s="1"/>
  <c r="M6" i="9" s="1"/>
  <c r="H5" i="9"/>
  <c r="H11" i="9" l="1"/>
  <c r="N6" i="9"/>
  <c r="S6" i="9"/>
  <c r="O8" i="9"/>
  <c r="N8" i="9"/>
  <c r="N7" i="9"/>
  <c r="O7" i="9"/>
  <c r="L5" i="9"/>
  <c r="L11" i="9" s="1"/>
  <c r="O6" i="9"/>
  <c r="G6" i="9"/>
  <c r="K6" i="9" s="1"/>
  <c r="G7" i="9"/>
  <c r="K7" i="9" s="1"/>
  <c r="G5" i="9"/>
  <c r="K5" i="9" s="1"/>
  <c r="G4" i="9"/>
  <c r="K4" i="9" s="1"/>
  <c r="G3" i="9"/>
  <c r="K3" i="9" s="1"/>
  <c r="G2" i="9"/>
  <c r="G11" i="9" l="1"/>
  <c r="M5" i="9"/>
  <c r="K2" i="9"/>
  <c r="K11" i="9" s="1"/>
  <c r="M11" i="9" l="1"/>
  <c r="S5" i="9"/>
  <c r="N5" i="9"/>
  <c r="N11" i="9" s="1"/>
  <c r="O5" i="9"/>
  <c r="O11" i="9" s="1"/>
  <c r="R8" i="6" l="1"/>
  <c r="I8" i="6"/>
</calcChain>
</file>

<file path=xl/sharedStrings.xml><?xml version="1.0" encoding="utf-8"?>
<sst xmlns="http://schemas.openxmlformats.org/spreadsheetml/2006/main" count="112" uniqueCount="72">
  <si>
    <t>S/N</t>
  </si>
  <si>
    <t>Initiative ID</t>
  </si>
  <si>
    <t>Initiative name</t>
  </si>
  <si>
    <t>Maturity Gate</t>
  </si>
  <si>
    <t>Category</t>
  </si>
  <si>
    <t>Contract Manager</t>
  </si>
  <si>
    <t>Shell Share</t>
  </si>
  <si>
    <t>Tax</t>
  </si>
  <si>
    <t>L2</t>
  </si>
  <si>
    <t>SNEPCo</t>
  </si>
  <si>
    <t>SPDC</t>
  </si>
  <si>
    <t>L1</t>
  </si>
  <si>
    <t>L3</t>
  </si>
  <si>
    <t>L0</t>
  </si>
  <si>
    <t>30% reuction in contract rates by March 31 2019 - PROVISION OF INTEGRATED PIPELINE REPAIR AND MAINTENANCE SERVICES</t>
  </si>
  <si>
    <t>Pipeline and Flowline mtce</t>
  </si>
  <si>
    <t>Tarere Oji</t>
  </si>
  <si>
    <t>20% Reduction in contract rates by March 2019 - PROVISION OF INTEGRATED PIPELINE PIGGING SERVICES, CORROSION CONTROL AND MONITORING</t>
  </si>
  <si>
    <t>Rotating Equipment</t>
  </si>
  <si>
    <t>Emeka Esekody</t>
  </si>
  <si>
    <t>5% Reduction in contract rates by July 1 2019 -PROVISION OF MAINTENANCE SERVICES FOR SOLAR GAS TURBINES IN SPDC</t>
  </si>
  <si>
    <t xml:space="preserve">10% Reduction in contract rates by July 1 2019  -Provision of Services for Bodo Remediation Project - Phase 2 </t>
  </si>
  <si>
    <t>Remediation (Spills / Clean up)</t>
  </si>
  <si>
    <t>Kunle.Orifowomo</t>
  </si>
  <si>
    <t>5% Reduction in contract rates by Q2 -Corporate Laboratory Analytical, Essential, Equipment Maintenance &amp; Integrity Services for SPDC Lab</t>
  </si>
  <si>
    <t>Prod Chemicals / Lab</t>
  </si>
  <si>
    <t>Femi Ilori</t>
  </si>
  <si>
    <t>10% Reduction in contract rates by Q3 -Provision of Consultancy and Support Services for Bodo Remediation Project ¿ Phase 2</t>
  </si>
  <si>
    <t>5% Reduction in contract rates by Q3 -Corporate Substation Upgrade Services for SPDC Infrastructures in Port Harcourt, FLBs and Lagos</t>
  </si>
  <si>
    <t>IAE ( Instrumental, Analytical and Electrical)</t>
  </si>
  <si>
    <t>Op &amp; Mtc of Clean Agent Automatic Fire Extinguishing, Detection and Alarm Systems in SPDC Facilities: This is expected to lead to reduction in contract rates vid competitive tendering.</t>
  </si>
  <si>
    <t>Gates</t>
  </si>
  <si>
    <t>L4</t>
  </si>
  <si>
    <t>Total</t>
  </si>
  <si>
    <t>Number of Initiatives</t>
  </si>
  <si>
    <t>Number of Late Initiatives</t>
  </si>
  <si>
    <t>Gate Movement in Last 7 days</t>
  </si>
  <si>
    <t>Gate Movement in Next 7 days (Plan)</t>
  </si>
  <si>
    <t>Value in Funnel</t>
  </si>
  <si>
    <t>Value Banked for the week</t>
  </si>
  <si>
    <t>Total Banked</t>
  </si>
  <si>
    <t>Planned Valued expected next week</t>
  </si>
  <si>
    <t>Number of Late Actions</t>
  </si>
  <si>
    <r>
      <rPr>
        <b/>
        <u/>
        <sz val="14"/>
        <color rgb="FFFF0000"/>
        <rFont val="Calibri"/>
        <family val="2"/>
      </rPr>
      <t>Initiatives that have been archived or cancelled (11)</t>
    </r>
    <r>
      <rPr>
        <b/>
        <sz val="14"/>
        <color rgb="FFFFFFFF"/>
        <rFont val="Calibri"/>
        <family val="2"/>
      </rPr>
      <t xml:space="preserve">
15482 - [CLONED FROM #6071] Provision of Terminal Pilotage, Mooring, Loading and Crude offtake related Services
15354 (6073) Newly tendered rates - Provision of Security Vessels in for SPDC Offshore Operations (embedded)
15363 (6077) Renegotiation of Marine Contracts (Embedded)
9460 Integrated Contract For Operate And Maintain/Statutory Dry Docking Of SPDC Owned Hmvs East &amp; West
15417 Marine Hoses for SPDC
6075 Call-off Provision of Jack-up Barges for SPDC Operation
6064 Provision of Fuel Management Support Services 
4542 SPDC - Reduction in Pilotage cost - introduce direct payment to eliminate agency fees
6074 - Provision &amp; Operation of Light Marine Vessel- West - 42% reduction on current rates. (January)
4440 - Refuse Disposal Improvement East - Today and Future
4441 - Reliability and Integrity Assurance of Waste Management IA Facilities (MWI &amp; STP) - This project is an Enabler
</t>
    </r>
  </si>
  <si>
    <t xml:space="preserve">$1.76mln (100%) &amp; 
$455k (FCF)
</t>
  </si>
  <si>
    <r>
      <rPr>
        <b/>
        <u/>
        <sz val="14"/>
        <color rgb="FFFF0000"/>
        <rFont val="Calibri"/>
        <family val="2"/>
      </rPr>
      <t>Initiatives that have been archived or cancelled (9)</t>
    </r>
    <r>
      <rPr>
        <b/>
        <sz val="14"/>
        <color rgb="FFFFFFFF"/>
        <rFont val="Calibri"/>
        <family val="2"/>
      </rPr>
      <t xml:space="preserve">
9686 Newly tendered rates - Provision of Security Vessels in for SNEPCo Operations (embedded)
6082 Provision of Standy by Vessel for Bonga (Temile)
 15494/10293 Provision of Large PSV for Wells operation (Portplus) embedded
4677 SNEPCo - Reduction in Pilotage cost - introduce direct payment to eliminate agency fees
11155 Opportunities to streamline NPA charges at the Ports - OPTS/ICE initiative
6084 - Provision of PSV for Production operation (New Contract)
9021 - Installation of offshore mooring buoys on SNEPCO Vessels
6081 - Supply Of Petroleum Products (AGO &amp; PMS) for SNEPCo Operations
13234</t>
    </r>
    <r>
      <rPr>
        <sz val="14"/>
        <color rgb="FFFFFFFF"/>
        <rFont val="Calibri"/>
        <family val="2"/>
      </rPr>
      <t xml:space="preserve"> -</t>
    </r>
    <r>
      <rPr>
        <b/>
        <sz val="14"/>
        <color rgb="FFFFFFFF"/>
        <rFont val="Calibri"/>
        <family val="2"/>
      </rPr>
      <t xml:space="preserve"> Reduced specification of well intervention vessel</t>
    </r>
  </si>
  <si>
    <t xml:space="preserve">$338k (100%) &amp; 
$88.2k (FCF)
</t>
  </si>
  <si>
    <t xml:space="preserve">$750k (100%) &amp; 
$194k (FCF)
</t>
  </si>
  <si>
    <t xml:space="preserve">$7.1mln (100%) &amp; 
$1.85mln (FCF)
</t>
  </si>
  <si>
    <t>$1.89mln (100%) &amp; 
$493k (FCF)</t>
  </si>
  <si>
    <t xml:space="preserve">$10.69mln (100%) &amp; 
$2.79mln (FCF)
</t>
  </si>
  <si>
    <t>$543k (100%) &amp; $123k (FCF)</t>
  </si>
  <si>
    <t>$1.357mln (100%) &amp; $367k (FCF)</t>
  </si>
  <si>
    <r>
      <t xml:space="preserve">Note: Initiatives being reviewed by the logistics team currently, expect changes next week. 
Following initiatives identified </t>
    </r>
    <r>
      <rPr>
        <b/>
        <sz val="18"/>
        <color rgb="FFFF0000"/>
        <rFont val="Calibri"/>
        <family val="2"/>
      </rPr>
      <t xml:space="preserve"> yet to be</t>
    </r>
    <r>
      <rPr>
        <b/>
        <sz val="18"/>
        <color rgb="FFFFFFFF"/>
        <rFont val="Calibri"/>
        <family val="2"/>
      </rPr>
      <t xml:space="preserve"> loaded in Wave:
*Fully outsource HMV vessels and source contractor owned
*NPT supply base improving efficiency
*Use of Surfer boats for crew change to and from swamp locations
*Shared facility vs Owned - Aviation
Gate Movements planned (</t>
    </r>
    <r>
      <rPr>
        <b/>
        <sz val="18"/>
        <color rgb="FF92D050"/>
        <rFont val="Calibri"/>
        <family val="2"/>
      </rPr>
      <t>Achieved</t>
    </r>
    <r>
      <rPr>
        <b/>
        <sz val="18"/>
        <color theme="0"/>
        <rFont val="Calibri"/>
        <family val="2"/>
      </rPr>
      <t>)</t>
    </r>
    <r>
      <rPr>
        <b/>
        <sz val="18"/>
        <color rgb="FFFFFFFF"/>
        <rFont val="Calibri"/>
        <family val="2"/>
      </rPr>
      <t xml:space="preserve">:
</t>
    </r>
    <r>
      <rPr>
        <sz val="18"/>
        <color theme="0"/>
        <rFont val="Calibri"/>
        <family val="2"/>
      </rPr>
      <t xml:space="preserve">*10264 - Generation of Biogas from Biodegradable waste - </t>
    </r>
    <r>
      <rPr>
        <b/>
        <sz val="18"/>
        <color theme="0"/>
        <rFont val="Calibri"/>
        <family val="2"/>
      </rPr>
      <t>Move to L3</t>
    </r>
    <r>
      <rPr>
        <b/>
        <sz val="18"/>
        <color rgb="FFFFFFFF"/>
        <rFont val="Calibri"/>
        <family val="2"/>
      </rPr>
      <t xml:space="preserve">
</t>
    </r>
    <r>
      <rPr>
        <sz val="18"/>
        <color rgb="FFFFFFFF"/>
        <rFont val="Calibri"/>
        <family val="2"/>
      </rPr>
      <t xml:space="preserve">
</t>
    </r>
    <r>
      <rPr>
        <b/>
        <sz val="18"/>
        <color rgb="FFFFFFFF"/>
        <rFont val="Calibri"/>
        <family val="2"/>
      </rPr>
      <t>Planned Value expected next week:</t>
    </r>
    <r>
      <rPr>
        <sz val="18"/>
        <color rgb="FFFFFFFF"/>
        <rFont val="Calibri"/>
        <family val="2"/>
      </rPr>
      <t xml:space="preserve">
*$1.357mln (100%) &amp; $367k (FCF) - </t>
    </r>
    <r>
      <rPr>
        <b/>
        <sz val="18"/>
        <color rgb="FFFFFFFF"/>
        <rFont val="Calibri"/>
        <family val="2"/>
      </rPr>
      <t xml:space="preserve">STOL (Discussions still ongoing with Finance to adjust budget)
</t>
    </r>
  </si>
  <si>
    <t xml:space="preserve">$3.92mln (100%) &amp; 
$603k (FCF)
</t>
  </si>
  <si>
    <t xml:space="preserve">$3.58mln (100%) &amp; 
$909k(FCF)
</t>
  </si>
  <si>
    <t xml:space="preserve">$9.25mln (100%) &amp; 
$1.97mln (FCF)
</t>
  </si>
  <si>
    <r>
      <t>Note: Initiatives being reviewed by the logistics team currently, expect changes next week.
Following initiatives identified</t>
    </r>
    <r>
      <rPr>
        <b/>
        <sz val="18"/>
        <color rgb="FFFF0000"/>
        <rFont val="Calibri"/>
        <family val="2"/>
      </rPr>
      <t xml:space="preserve">  yet to be</t>
    </r>
    <r>
      <rPr>
        <b/>
        <sz val="18"/>
        <color rgb="FFFFFFFF"/>
        <rFont val="Calibri"/>
        <family val="2"/>
      </rPr>
      <t xml:space="preserve"> loaded in Wave:
*Total Cost of Ownership for PSVs
Gate Movements planned </t>
    </r>
    <r>
      <rPr>
        <b/>
        <sz val="18"/>
        <color rgb="FF92D050"/>
        <rFont val="Calibri"/>
        <family val="2"/>
      </rPr>
      <t>(Achieved)</t>
    </r>
    <r>
      <rPr>
        <b/>
        <sz val="18"/>
        <color rgb="FFFFFFFF"/>
        <rFont val="Calibri"/>
        <family val="2"/>
      </rPr>
      <t>:</t>
    </r>
    <r>
      <rPr>
        <sz val="18"/>
        <color rgb="FFFFFFFF"/>
        <rFont val="Calibri"/>
        <family val="2"/>
      </rPr>
      <t xml:space="preserve">
*10790 - New Tendered Helicopter Rates (SNEPCo)- </t>
    </r>
    <r>
      <rPr>
        <b/>
        <sz val="18"/>
        <color rgb="FFFFFFFF"/>
        <rFont val="Calibri"/>
        <family val="2"/>
      </rPr>
      <t>Move to L3
*</t>
    </r>
    <r>
      <rPr>
        <sz val="18"/>
        <color rgb="FFFFFFFF"/>
        <rFont val="Calibri"/>
        <family val="2"/>
      </rPr>
      <t>15430</t>
    </r>
    <r>
      <rPr>
        <b/>
        <sz val="18"/>
        <color rgb="FFFFFFFF"/>
        <rFont val="Calibri"/>
        <family val="2"/>
      </rPr>
      <t xml:space="preserve"> -</t>
    </r>
    <r>
      <rPr>
        <sz val="18"/>
        <color rgb="FFFFFFFF"/>
        <rFont val="Calibri"/>
        <family val="2"/>
      </rPr>
      <t xml:space="preserve"> Discounts from Stocking Deals from AGO contracts for SNEPCo Operations - 25-40% discount on Mark-up - </t>
    </r>
    <r>
      <rPr>
        <b/>
        <sz val="18"/>
        <color rgb="FFFFFFFF"/>
        <rFont val="Calibri"/>
        <family val="2"/>
      </rPr>
      <t xml:space="preserve">Move to L2
</t>
    </r>
    <r>
      <rPr>
        <b/>
        <sz val="18"/>
        <color rgb="FFFFFFFF"/>
        <rFont val="Calibri"/>
        <family val="2"/>
      </rPr>
      <t xml:space="preserve">
Planned Value expected next week:
Late Initiatives:
</t>
    </r>
  </si>
  <si>
    <t>Moyede Adeife</t>
  </si>
  <si>
    <t>Monthly FCF (000)</t>
  </si>
  <si>
    <t>Banked FCF (000)</t>
  </si>
  <si>
    <t>Planned Gross Savings ($000)</t>
  </si>
  <si>
    <t>Actual Gross Savings ($000)</t>
  </si>
  <si>
    <r>
      <t>Act</t>
    </r>
    <r>
      <rPr>
        <sz val="9"/>
        <rFont val="Century Gothic"/>
        <family val="2"/>
      </rPr>
      <t>ual</t>
    </r>
    <r>
      <rPr>
        <b/>
        <sz val="9"/>
        <rFont val="Century Gothic"/>
        <family val="2"/>
      </rPr>
      <t xml:space="preserve">  (FCF)
($000)</t>
    </r>
  </si>
  <si>
    <t>Planned (FCF)
($000)</t>
  </si>
  <si>
    <t>To be banked (Nov &amp; Dec)</t>
  </si>
  <si>
    <t xml:space="preserve">Totals </t>
  </si>
  <si>
    <t>Banked but removed by FFF team</t>
  </si>
  <si>
    <t>Banked in Wave</t>
  </si>
  <si>
    <t>Ye to be banked. Awaiting Finance approval</t>
  </si>
  <si>
    <t>Status</t>
  </si>
  <si>
    <t xml:space="preserve">10% Reduction in contract rates by July 1 2019 -MAJOR OVERHAUL OF LM 1600 TURBINES FOR SOKU AGs AND NAG COMPRESSION SYSTEM, REURBISHMENT OF DRY GAS SEALS AND PROCUREMENT OF CATERPILLAR GENERATOR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</si>
</sst>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indexed="64"/>
      <name val="Arial"/>
      <family val="2"/>
    </font>
    <font>
      <sz val="10"/>
      <name val="Tahoma"/>
      <family val="2"/>
    </font>
    <font>
      <sz val="16"/>
      <color theme="1"/>
      <name val="Futura Bold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color rgb="FF595959"/>
      <name val="Calibri"/>
      <family val="2"/>
    </font>
    <font>
      <b/>
      <sz val="14"/>
      <color rgb="FF595959"/>
      <name val="Calibri"/>
      <family val="2"/>
    </font>
    <font>
      <sz val="11"/>
      <color rgb="FF595959"/>
      <name val="Calibri"/>
      <family val="2"/>
    </font>
    <font>
      <sz val="14"/>
      <color rgb="FFFFFFFF"/>
      <name val="Calibri"/>
      <family val="2"/>
    </font>
    <font>
      <b/>
      <u/>
      <sz val="14"/>
      <color rgb="FFFF0000"/>
      <name val="Calibri"/>
      <family val="2"/>
    </font>
    <font>
      <b/>
      <sz val="18"/>
      <color rgb="FFFFFFFF"/>
      <name val="Calibri"/>
      <family val="2"/>
    </font>
    <font>
      <b/>
      <sz val="18"/>
      <color rgb="FFFF0000"/>
      <name val="Calibri"/>
      <family val="2"/>
    </font>
    <font>
      <b/>
      <sz val="18"/>
      <color rgb="FF92D050"/>
      <name val="Calibri"/>
      <family val="2"/>
    </font>
    <font>
      <b/>
      <sz val="18"/>
      <color theme="0"/>
      <name val="Calibri"/>
      <family val="2"/>
    </font>
    <font>
      <sz val="18"/>
      <color theme="0"/>
      <name val="Calibri"/>
      <family val="2"/>
    </font>
    <font>
      <sz val="18"/>
      <color rgb="FFFFFFFF"/>
      <name val="Calibri"/>
      <family val="2"/>
    </font>
    <font>
      <b/>
      <sz val="9"/>
      <name val="Century Gothic"/>
      <family val="2"/>
    </font>
    <font>
      <sz val="9"/>
      <name val="Century Gothic"/>
      <family val="2"/>
    </font>
    <font>
      <sz val="9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3C88"/>
        <bgColor indexed="64"/>
      </patternFill>
    </fill>
    <fill>
      <patternFill patternType="solid">
        <fgColor rgb="FFCBCED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7E8E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rgb="FFFFFFFF"/>
      </right>
      <top style="medium">
        <color theme="1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1"/>
      </top>
      <bottom style="thick">
        <color rgb="FFFFFFFF"/>
      </bottom>
      <diagonal/>
    </border>
    <border>
      <left style="medium">
        <color rgb="FFFFFFFF"/>
      </left>
      <right style="medium">
        <color theme="1"/>
      </right>
      <top style="medium">
        <color theme="1"/>
      </top>
      <bottom style="thick">
        <color rgb="FFFFFFFF"/>
      </bottom>
      <diagonal/>
    </border>
    <border>
      <left style="medium">
        <color theme="1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1"/>
      </right>
      <top style="thick">
        <color rgb="FFFFFFFF"/>
      </top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theme="1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theme="0"/>
      </bottom>
      <diagonal/>
    </border>
    <border>
      <left/>
      <right/>
      <top style="medium">
        <color rgb="FFFFFFFF"/>
      </top>
      <bottom style="thick">
        <color theme="0"/>
      </bottom>
      <diagonal/>
    </border>
    <border>
      <left/>
      <right style="medium">
        <color theme="1"/>
      </right>
      <top style="medium">
        <color rgb="FFFFFFFF"/>
      </top>
      <bottom style="thick">
        <color theme="0"/>
      </bottom>
      <diagonal/>
    </border>
    <border>
      <left style="medium">
        <color theme="1"/>
      </left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thick">
        <color theme="0"/>
      </bottom>
      <diagonal/>
    </border>
    <border>
      <left style="medium">
        <color rgb="FFFFFFFF"/>
      </left>
      <right/>
      <top style="thick">
        <color theme="0"/>
      </top>
      <bottom style="medium">
        <color rgb="FFFFFFFF"/>
      </bottom>
      <diagonal/>
    </border>
    <border>
      <left/>
      <right/>
      <top style="thick">
        <color theme="0"/>
      </top>
      <bottom style="medium">
        <color rgb="FFFFFFFF"/>
      </bottom>
      <diagonal/>
    </border>
    <border>
      <left/>
      <right style="medium">
        <color theme="1"/>
      </right>
      <top style="thick">
        <color theme="0"/>
      </top>
      <bottom style="medium">
        <color rgb="FFFFFFFF"/>
      </bottom>
      <diagonal/>
    </border>
    <border>
      <left style="medium">
        <color theme="1"/>
      </left>
      <right/>
      <top style="medium">
        <color rgb="FFFFFFFF"/>
      </top>
      <bottom style="medium">
        <color theme="1"/>
      </bottom>
      <diagonal/>
    </border>
    <border>
      <left/>
      <right/>
      <top style="medium">
        <color rgb="FFFFFFFF"/>
      </top>
      <bottom style="medium">
        <color theme="1"/>
      </bottom>
      <diagonal/>
    </border>
    <border>
      <left/>
      <right style="medium">
        <color theme="1"/>
      </right>
      <top style="medium">
        <color rgb="FFFFFFFF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</cellStyleXfs>
  <cellXfs count="80">
    <xf numFmtId="0" fontId="0" fillId="0" borderId="0" xfId="0"/>
    <xf numFmtId="0" fontId="4" fillId="2" borderId="1" xfId="2" applyNumberFormat="1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1" xfId="2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43" fontId="4" fillId="2" borderId="1" xfId="0" applyNumberFormat="1" applyFont="1" applyFill="1" applyBorder="1" applyAlignment="1"/>
    <xf numFmtId="43" fontId="4" fillId="2" borderId="1" xfId="1" applyFont="1" applyFill="1" applyBorder="1" applyAlignment="1"/>
    <xf numFmtId="0" fontId="8" fillId="0" borderId="0" xfId="0" applyFont="1" applyAlignment="1">
      <alignment vertical="center"/>
    </xf>
    <xf numFmtId="0" fontId="8" fillId="0" borderId="0" xfId="0" applyFont="1"/>
    <xf numFmtId="0" fontId="9" fillId="5" borderId="8" xfId="0" applyFont="1" applyFill="1" applyBorder="1" applyAlignment="1">
      <alignment horizontal="left" vertical="center" wrapText="1" readingOrder="1"/>
    </xf>
    <xf numFmtId="0" fontId="9" fillId="5" borderId="9" xfId="0" applyFont="1" applyFill="1" applyBorder="1" applyAlignment="1">
      <alignment horizontal="center" vertical="center" wrapText="1" readingOrder="1"/>
    </xf>
    <xf numFmtId="0" fontId="9" fillId="5" borderId="10" xfId="0" applyFont="1" applyFill="1" applyBorder="1" applyAlignment="1">
      <alignment horizontal="center" vertical="center" wrapText="1" readingOrder="1"/>
    </xf>
    <xf numFmtId="0" fontId="9" fillId="5" borderId="11" xfId="0" applyFont="1" applyFill="1" applyBorder="1" applyAlignment="1">
      <alignment horizontal="left" vertical="center" wrapText="1" readingOrder="1"/>
    </xf>
    <xf numFmtId="0" fontId="10" fillId="6" borderId="12" xfId="0" applyFont="1" applyFill="1" applyBorder="1" applyAlignment="1">
      <alignment horizontal="center" vertical="center" wrapText="1" readingOrder="1"/>
    </xf>
    <xf numFmtId="0" fontId="11" fillId="7" borderId="13" xfId="0" applyFont="1" applyFill="1" applyBorder="1" applyAlignment="1">
      <alignment horizontal="center" vertical="center" wrapText="1" readingOrder="1"/>
    </xf>
    <xf numFmtId="0" fontId="9" fillId="5" borderId="14" xfId="0" applyFont="1" applyFill="1" applyBorder="1" applyAlignment="1">
      <alignment horizontal="left" vertical="center" wrapText="1" readingOrder="1"/>
    </xf>
    <xf numFmtId="0" fontId="9" fillId="5" borderId="21" xfId="0" applyFont="1" applyFill="1" applyBorder="1" applyAlignment="1">
      <alignment horizontal="left" vertical="center" wrapText="1" readingOrder="1"/>
    </xf>
    <xf numFmtId="0" fontId="10" fillId="6" borderId="22" xfId="0" applyFont="1" applyFill="1" applyBorder="1" applyAlignment="1">
      <alignment horizontal="center" vertical="top" wrapText="1" readingOrder="1"/>
    </xf>
    <xf numFmtId="9" fontId="12" fillId="6" borderId="23" xfId="0" applyNumberFormat="1" applyFont="1" applyFill="1" applyBorder="1" applyAlignment="1">
      <alignment horizontal="center" vertical="top" wrapText="1" readingOrder="1"/>
    </xf>
    <xf numFmtId="0" fontId="12" fillId="6" borderId="24" xfId="0" applyFont="1" applyFill="1" applyBorder="1" applyAlignment="1">
      <alignment horizontal="center" vertical="top" wrapText="1" readingOrder="1"/>
    </xf>
    <xf numFmtId="0" fontId="11" fillId="7" borderId="25" xfId="0" applyFont="1" applyFill="1" applyBorder="1" applyAlignment="1">
      <alignment horizontal="center" vertical="top" wrapText="1" readingOrder="1"/>
    </xf>
    <xf numFmtId="0" fontId="8" fillId="0" borderId="0" xfId="0" applyFont="1" applyBorder="1"/>
    <xf numFmtId="0" fontId="12" fillId="6" borderId="22" xfId="0" applyFont="1" applyFill="1" applyBorder="1" applyAlignment="1">
      <alignment horizontal="center" vertical="top" wrapText="1" readingOrder="1"/>
    </xf>
    <xf numFmtId="0" fontId="4" fillId="0" borderId="0" xfId="0" applyFont="1" applyAlignment="1"/>
    <xf numFmtId="166" fontId="4" fillId="9" borderId="1" xfId="1" applyNumberFormat="1" applyFont="1" applyFill="1" applyBorder="1" applyAlignment="1"/>
    <xf numFmtId="0" fontId="4" fillId="9" borderId="1" xfId="2" applyNumberFormat="1" applyFont="1" applyFill="1" applyBorder="1" applyAlignment="1">
      <alignment wrapText="1"/>
    </xf>
    <xf numFmtId="0" fontId="4" fillId="3" borderId="1" xfId="2" applyNumberFormat="1" applyFont="1" applyFill="1" applyBorder="1" applyAlignment="1">
      <alignment wrapText="1"/>
    </xf>
    <xf numFmtId="0" fontId="2" fillId="3" borderId="3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43" fontId="21" fillId="9" borderId="1" xfId="1" applyFont="1" applyFill="1" applyBorder="1" applyAlignment="1">
      <alignment horizontal="center" wrapText="1"/>
    </xf>
    <xf numFmtId="0" fontId="4" fillId="2" borderId="32" xfId="0" applyFont="1" applyFill="1" applyBorder="1" applyAlignment="1"/>
    <xf numFmtId="0" fontId="4" fillId="0" borderId="1" xfId="0" applyFont="1" applyBorder="1" applyAlignment="1"/>
    <xf numFmtId="43" fontId="4" fillId="0" borderId="1" xfId="0" applyNumberFormat="1" applyFont="1" applyBorder="1" applyAlignment="1"/>
    <xf numFmtId="43" fontId="4" fillId="0" borderId="1" xfId="1" applyFont="1" applyBorder="1" applyAlignment="1"/>
    <xf numFmtId="43" fontId="3" fillId="0" borderId="1" xfId="0" applyNumberFormat="1" applyFont="1" applyBorder="1" applyAlignment="1"/>
    <xf numFmtId="166" fontId="3" fillId="0" borderId="1" xfId="0" applyNumberFormat="1" applyFont="1" applyBorder="1" applyAlignment="1"/>
    <xf numFmtId="0" fontId="3" fillId="0" borderId="1" xfId="0" applyFont="1" applyBorder="1" applyAlignment="1"/>
    <xf numFmtId="0" fontId="4" fillId="9" borderId="1" xfId="0" applyFont="1" applyFill="1" applyBorder="1" applyAlignment="1">
      <alignment wrapText="1"/>
    </xf>
    <xf numFmtId="0" fontId="23" fillId="0" borderId="1" xfId="0" applyFont="1" applyBorder="1" applyAlignment="1">
      <alignment horizontal="center" wrapText="1"/>
    </xf>
    <xf numFmtId="43" fontId="4" fillId="0" borderId="1" xfId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10" borderId="0" xfId="0" applyFont="1" applyFill="1" applyAlignment="1"/>
    <xf numFmtId="43" fontId="4" fillId="10" borderId="1" xfId="0" applyNumberFormat="1" applyFont="1" applyFill="1" applyBorder="1" applyAlignment="1"/>
    <xf numFmtId="43" fontId="4" fillId="10" borderId="1" xfId="1" applyFont="1" applyFill="1" applyBorder="1" applyAlignment="1"/>
    <xf numFmtId="0" fontId="4" fillId="10" borderId="1" xfId="0" applyFont="1" applyFill="1" applyBorder="1" applyAlignment="1"/>
    <xf numFmtId="43" fontId="4" fillId="0" borderId="0" xfId="0" applyNumberFormat="1" applyFont="1" applyAlignment="1"/>
    <xf numFmtId="43" fontId="4" fillId="10" borderId="0" xfId="0" applyNumberFormat="1" applyFont="1" applyFill="1" applyAlignment="1"/>
    <xf numFmtId="0" fontId="4" fillId="11" borderId="1" xfId="0" applyFont="1" applyFill="1" applyBorder="1" applyAlignment="1">
      <alignment horizontal="right"/>
    </xf>
    <xf numFmtId="0" fontId="4" fillId="9" borderId="1" xfId="0" applyFont="1" applyFill="1" applyBorder="1" applyAlignment="1">
      <alignment horizontal="right"/>
    </xf>
    <xf numFmtId="0" fontId="4" fillId="9" borderId="1" xfId="3" applyFont="1" applyFill="1" applyBorder="1" applyAlignment="1">
      <alignment horizontal="right" wrapText="1"/>
    </xf>
    <xf numFmtId="0" fontId="10" fillId="8" borderId="26" xfId="0" applyFont="1" applyFill="1" applyBorder="1" applyAlignment="1">
      <alignment horizontal="center" vertical="center" wrapText="1" readingOrder="1"/>
    </xf>
    <xf numFmtId="0" fontId="10" fillId="8" borderId="27" xfId="0" applyFont="1" applyFill="1" applyBorder="1" applyAlignment="1">
      <alignment horizontal="center" vertical="center" wrapText="1" readingOrder="1"/>
    </xf>
    <xf numFmtId="0" fontId="10" fillId="8" borderId="28" xfId="0" applyFont="1" applyFill="1" applyBorder="1" applyAlignment="1">
      <alignment horizontal="center" vertical="center" wrapText="1" readingOrder="1"/>
    </xf>
    <xf numFmtId="0" fontId="10" fillId="8" borderId="15" xfId="0" applyFont="1" applyFill="1" applyBorder="1" applyAlignment="1">
      <alignment horizontal="center" vertical="center" wrapText="1" readingOrder="1"/>
    </xf>
    <xf numFmtId="0" fontId="10" fillId="8" borderId="16" xfId="0" applyFont="1" applyFill="1" applyBorder="1" applyAlignment="1">
      <alignment horizontal="center" vertical="center" wrapText="1" readingOrder="1"/>
    </xf>
    <xf numFmtId="0" fontId="10" fillId="8" borderId="17" xfId="0" applyFont="1" applyFill="1" applyBorder="1" applyAlignment="1">
      <alignment horizontal="center" vertical="center" wrapText="1" readingOrder="1"/>
    </xf>
    <xf numFmtId="0" fontId="10" fillId="6" borderId="15" xfId="0" applyFont="1" applyFill="1" applyBorder="1" applyAlignment="1">
      <alignment horizontal="center" vertical="center" wrapText="1" readingOrder="1"/>
    </xf>
    <xf numFmtId="0" fontId="10" fillId="6" borderId="16" xfId="0" applyFont="1" applyFill="1" applyBorder="1" applyAlignment="1">
      <alignment horizontal="center" vertical="center" wrapText="1" readingOrder="1"/>
    </xf>
    <xf numFmtId="0" fontId="10" fillId="6" borderId="17" xfId="0" applyFont="1" applyFill="1" applyBorder="1" applyAlignment="1">
      <alignment horizontal="center" vertical="center" wrapText="1" readingOrder="1"/>
    </xf>
    <xf numFmtId="0" fontId="9" fillId="5" borderId="29" xfId="0" applyFont="1" applyFill="1" applyBorder="1" applyAlignment="1">
      <alignment horizontal="left" vertical="top" wrapText="1" readingOrder="1"/>
    </xf>
    <xf numFmtId="0" fontId="9" fillId="5" borderId="30" xfId="0" applyFont="1" applyFill="1" applyBorder="1" applyAlignment="1">
      <alignment horizontal="left" vertical="top" wrapText="1" readingOrder="1"/>
    </xf>
    <xf numFmtId="0" fontId="9" fillId="5" borderId="31" xfId="0" applyFont="1" applyFill="1" applyBorder="1" applyAlignment="1">
      <alignment horizontal="left" vertical="top" wrapText="1" readingOrder="1"/>
    </xf>
    <xf numFmtId="0" fontId="15" fillId="5" borderId="29" xfId="0" applyFont="1" applyFill="1" applyBorder="1" applyAlignment="1">
      <alignment horizontal="left" vertical="top" wrapText="1" readingOrder="1"/>
    </xf>
    <xf numFmtId="0" fontId="15" fillId="5" borderId="30" xfId="0" applyFont="1" applyFill="1" applyBorder="1" applyAlignment="1">
      <alignment horizontal="left" vertical="top" wrapText="1" readingOrder="1"/>
    </xf>
    <xf numFmtId="0" fontId="15" fillId="5" borderId="31" xfId="0" applyFont="1" applyFill="1" applyBorder="1" applyAlignment="1">
      <alignment horizontal="left" vertical="top" wrapText="1" readingOrder="1"/>
    </xf>
    <xf numFmtId="0" fontId="10" fillId="8" borderId="18" xfId="0" applyFont="1" applyFill="1" applyBorder="1" applyAlignment="1">
      <alignment horizontal="center" vertical="center" wrapText="1" readingOrder="1"/>
    </xf>
    <xf numFmtId="0" fontId="10" fillId="8" borderId="19" xfId="0" applyFont="1" applyFill="1" applyBorder="1" applyAlignment="1">
      <alignment horizontal="center" vertical="center" wrapText="1" readingOrder="1"/>
    </xf>
    <xf numFmtId="0" fontId="10" fillId="8" borderId="20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</cellXfs>
  <cellStyles count="4">
    <cellStyle name="Comma" xfId="1" builtinId="3"/>
    <cellStyle name="Normal" xfId="0" builtinId="0"/>
    <cellStyle name="Normal 2" xfId="3" xr:uid="{7EF109EF-7845-483F-BCF5-B24B6DF8D832}"/>
    <cellStyle name="Normal 2 2" xfId="2" xr:uid="{41C59206-4E53-4B1E-92E5-47798AE59B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89DFC-8425-478E-8E59-F3E1333E6E40}">
  <dimension ref="C3:R20"/>
  <sheetViews>
    <sheetView topLeftCell="B1" zoomScale="50" zoomScaleNormal="50" workbookViewId="0">
      <selection activeCell="T7" sqref="T7"/>
    </sheetView>
  </sheetViews>
  <sheetFormatPr defaultRowHeight="15" x14ac:dyDescent="0.25"/>
  <cols>
    <col min="1" max="1" width="0" hidden="1" customWidth="1"/>
    <col min="3" max="3" width="67.7109375" customWidth="1"/>
    <col min="5" max="5" width="15" customWidth="1"/>
    <col min="6" max="6" width="14.28515625" customWidth="1"/>
    <col min="7" max="7" width="15.85546875" customWidth="1"/>
    <col min="8" max="8" width="13.28515625" customWidth="1"/>
    <col min="9" max="9" width="20.42578125" customWidth="1"/>
    <col min="10" max="10" width="4.42578125" customWidth="1"/>
    <col min="11" max="11" width="4.5703125" customWidth="1"/>
    <col min="12" max="12" width="36.28515625" customWidth="1"/>
    <col min="13" max="13" width="14" customWidth="1"/>
    <col min="14" max="14" width="14.7109375" customWidth="1"/>
    <col min="15" max="15" width="13.28515625" customWidth="1"/>
    <col min="16" max="16" width="14.42578125" customWidth="1"/>
    <col min="17" max="17" width="19.140625" customWidth="1"/>
    <col min="18" max="18" width="17.42578125" customWidth="1"/>
    <col min="19" max="19" width="14.7109375" customWidth="1"/>
  </cols>
  <sheetData>
    <row r="3" spans="3:18" ht="15.75" thickBot="1" x14ac:dyDescent="0.3"/>
    <row r="4" spans="3:18" ht="18.75" x14ac:dyDescent="0.25">
      <c r="C4" s="73" t="s">
        <v>10</v>
      </c>
      <c r="D4" s="74"/>
      <c r="E4" s="74"/>
      <c r="F4" s="74"/>
      <c r="G4" s="74"/>
      <c r="H4" s="74"/>
      <c r="I4" s="75"/>
      <c r="J4" s="8"/>
      <c r="K4" s="8"/>
      <c r="L4" s="73" t="s">
        <v>9</v>
      </c>
      <c r="M4" s="74"/>
      <c r="N4" s="74"/>
      <c r="O4" s="74"/>
      <c r="P4" s="74"/>
      <c r="Q4" s="74"/>
      <c r="R4" s="75"/>
    </row>
    <row r="5" spans="3:18" ht="19.5" thickBot="1" x14ac:dyDescent="0.3">
      <c r="C5" s="76"/>
      <c r="D5" s="77"/>
      <c r="E5" s="77"/>
      <c r="F5" s="77"/>
      <c r="G5" s="77"/>
      <c r="H5" s="77"/>
      <c r="I5" s="78"/>
      <c r="J5" s="8"/>
      <c r="K5" s="8"/>
      <c r="L5" s="76"/>
      <c r="M5" s="77"/>
      <c r="N5" s="77"/>
      <c r="O5" s="77"/>
      <c r="P5" s="77"/>
      <c r="Q5" s="77"/>
      <c r="R5" s="78"/>
    </row>
    <row r="6" spans="3:18" ht="19.5" thickBot="1" x14ac:dyDescent="0.3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3:18" ht="19.5" thickBot="1" x14ac:dyDescent="0.35">
      <c r="C7" s="10" t="s">
        <v>31</v>
      </c>
      <c r="D7" s="11" t="s">
        <v>13</v>
      </c>
      <c r="E7" s="11" t="s">
        <v>11</v>
      </c>
      <c r="F7" s="11" t="s">
        <v>8</v>
      </c>
      <c r="G7" s="11" t="s">
        <v>12</v>
      </c>
      <c r="H7" s="11" t="s">
        <v>32</v>
      </c>
      <c r="I7" s="12" t="s">
        <v>33</v>
      </c>
      <c r="J7" s="9"/>
      <c r="K7" s="9"/>
      <c r="L7" s="10" t="s">
        <v>31</v>
      </c>
      <c r="M7" s="11" t="s">
        <v>13</v>
      </c>
      <c r="N7" s="11" t="s">
        <v>11</v>
      </c>
      <c r="O7" s="11" t="s">
        <v>8</v>
      </c>
      <c r="P7" s="11" t="s">
        <v>12</v>
      </c>
      <c r="Q7" s="11" t="s">
        <v>32</v>
      </c>
      <c r="R7" s="12" t="s">
        <v>33</v>
      </c>
    </row>
    <row r="8" spans="3:18" ht="20.25" thickTop="1" thickBot="1" x14ac:dyDescent="0.35">
      <c r="C8" s="13" t="s">
        <v>34</v>
      </c>
      <c r="D8" s="14">
        <v>6</v>
      </c>
      <c r="E8" s="14">
        <v>4</v>
      </c>
      <c r="F8" s="14">
        <v>6</v>
      </c>
      <c r="G8" s="14">
        <v>3</v>
      </c>
      <c r="H8" s="14">
        <v>1</v>
      </c>
      <c r="I8" s="15">
        <f>SUM(D8:H8)</f>
        <v>20</v>
      </c>
      <c r="J8" s="9"/>
      <c r="K8" s="9"/>
      <c r="L8" s="13" t="s">
        <v>34</v>
      </c>
      <c r="M8" s="14">
        <v>0</v>
      </c>
      <c r="N8" s="14">
        <v>2</v>
      </c>
      <c r="O8" s="14">
        <v>4</v>
      </c>
      <c r="P8" s="14">
        <v>3</v>
      </c>
      <c r="Q8" s="14">
        <v>0</v>
      </c>
      <c r="R8" s="15">
        <f>SUM(M8:Q8)</f>
        <v>9</v>
      </c>
    </row>
    <row r="9" spans="3:18" ht="19.5" thickBot="1" x14ac:dyDescent="0.35">
      <c r="C9" s="16" t="s">
        <v>35</v>
      </c>
      <c r="D9" s="58">
        <v>0</v>
      </c>
      <c r="E9" s="59"/>
      <c r="F9" s="59"/>
      <c r="G9" s="59"/>
      <c r="H9" s="59"/>
      <c r="I9" s="60"/>
      <c r="J9" s="9"/>
      <c r="K9" s="9"/>
      <c r="L9" s="16" t="s">
        <v>35</v>
      </c>
      <c r="M9" s="58">
        <v>0</v>
      </c>
      <c r="N9" s="59"/>
      <c r="O9" s="59"/>
      <c r="P9" s="59"/>
      <c r="Q9" s="59"/>
      <c r="R9" s="60"/>
    </row>
    <row r="10" spans="3:18" ht="19.5" thickBot="1" x14ac:dyDescent="0.35">
      <c r="C10" s="16" t="s">
        <v>42</v>
      </c>
      <c r="D10" s="58">
        <v>0</v>
      </c>
      <c r="E10" s="59"/>
      <c r="F10" s="59"/>
      <c r="G10" s="59"/>
      <c r="H10" s="59"/>
      <c r="I10" s="60"/>
      <c r="J10" s="9"/>
      <c r="K10" s="9"/>
      <c r="L10" s="16" t="s">
        <v>42</v>
      </c>
      <c r="M10" s="58">
        <v>0</v>
      </c>
      <c r="N10" s="59"/>
      <c r="O10" s="59"/>
      <c r="P10" s="59"/>
      <c r="Q10" s="59"/>
      <c r="R10" s="60"/>
    </row>
    <row r="11" spans="3:18" ht="19.5" thickBot="1" x14ac:dyDescent="0.35">
      <c r="C11" s="16" t="s">
        <v>36</v>
      </c>
      <c r="D11" s="61"/>
      <c r="E11" s="62"/>
      <c r="F11" s="62"/>
      <c r="G11" s="62"/>
      <c r="H11" s="62"/>
      <c r="I11" s="63"/>
      <c r="J11" s="9"/>
      <c r="K11" s="9"/>
      <c r="L11" s="16" t="s">
        <v>36</v>
      </c>
      <c r="M11" s="61">
        <v>0</v>
      </c>
      <c r="N11" s="62"/>
      <c r="O11" s="62"/>
      <c r="P11" s="62"/>
      <c r="Q11" s="62"/>
      <c r="R11" s="63"/>
    </row>
    <row r="12" spans="3:18" ht="38.25" thickBot="1" x14ac:dyDescent="0.35">
      <c r="C12" s="16" t="s">
        <v>37</v>
      </c>
      <c r="D12" s="70">
        <v>1</v>
      </c>
      <c r="E12" s="71"/>
      <c r="F12" s="71"/>
      <c r="G12" s="71"/>
      <c r="H12" s="71"/>
      <c r="I12" s="72"/>
      <c r="J12" s="9"/>
      <c r="K12" s="9"/>
      <c r="L12" s="16" t="s">
        <v>37</v>
      </c>
      <c r="M12" s="58">
        <v>2</v>
      </c>
      <c r="N12" s="59"/>
      <c r="O12" s="59"/>
      <c r="P12" s="59"/>
      <c r="Q12" s="59"/>
      <c r="R12" s="60"/>
    </row>
    <row r="13" spans="3:18" ht="64.5" customHeight="1" thickTop="1" thickBot="1" x14ac:dyDescent="0.35">
      <c r="C13" s="17" t="s">
        <v>38</v>
      </c>
      <c r="D13" s="18">
        <v>0</v>
      </c>
      <c r="E13" s="19" t="s">
        <v>46</v>
      </c>
      <c r="F13" s="20" t="s">
        <v>47</v>
      </c>
      <c r="G13" s="20" t="s">
        <v>48</v>
      </c>
      <c r="H13" s="20" t="s">
        <v>49</v>
      </c>
      <c r="I13" s="21" t="s">
        <v>50</v>
      </c>
      <c r="J13" s="22"/>
      <c r="K13" s="9"/>
      <c r="L13" s="16" t="s">
        <v>38</v>
      </c>
      <c r="M13" s="23"/>
      <c r="N13" s="19" t="s">
        <v>54</v>
      </c>
      <c r="O13" s="20" t="s">
        <v>55</v>
      </c>
      <c r="P13" s="20" t="s">
        <v>44</v>
      </c>
      <c r="Q13" s="20"/>
      <c r="R13" s="21" t="s">
        <v>56</v>
      </c>
    </row>
    <row r="14" spans="3:18" ht="20.25" thickTop="1" thickBot="1" x14ac:dyDescent="0.35">
      <c r="C14" s="16" t="s">
        <v>39</v>
      </c>
      <c r="D14" s="55" t="s">
        <v>51</v>
      </c>
      <c r="E14" s="56"/>
      <c r="F14" s="56"/>
      <c r="G14" s="56"/>
      <c r="H14" s="56"/>
      <c r="I14" s="57"/>
      <c r="J14" s="9"/>
      <c r="K14" s="9"/>
      <c r="L14" s="16" t="s">
        <v>39</v>
      </c>
      <c r="M14" s="58">
        <v>0</v>
      </c>
      <c r="N14" s="59"/>
      <c r="O14" s="59"/>
      <c r="P14" s="59"/>
      <c r="Q14" s="59"/>
      <c r="R14" s="60"/>
    </row>
    <row r="15" spans="3:18" ht="19.5" thickBot="1" x14ac:dyDescent="0.35">
      <c r="C15" s="16" t="s">
        <v>40</v>
      </c>
      <c r="D15" s="61" t="s">
        <v>51</v>
      </c>
      <c r="E15" s="62"/>
      <c r="F15" s="62"/>
      <c r="G15" s="62"/>
      <c r="H15" s="62"/>
      <c r="I15" s="63"/>
      <c r="J15" s="9"/>
      <c r="K15" s="9"/>
      <c r="L15" s="16" t="s">
        <v>40</v>
      </c>
      <c r="M15" s="61">
        <v>0</v>
      </c>
      <c r="N15" s="62"/>
      <c r="O15" s="62"/>
      <c r="P15" s="62"/>
      <c r="Q15" s="62"/>
      <c r="R15" s="63"/>
    </row>
    <row r="16" spans="3:18" ht="38.25" thickBot="1" x14ac:dyDescent="0.35">
      <c r="C16" s="16" t="s">
        <v>41</v>
      </c>
      <c r="D16" s="58" t="s">
        <v>52</v>
      </c>
      <c r="E16" s="59"/>
      <c r="F16" s="59"/>
      <c r="G16" s="59"/>
      <c r="H16" s="59"/>
      <c r="I16" s="60"/>
      <c r="J16" s="9"/>
      <c r="K16" s="9"/>
      <c r="L16" s="16" t="s">
        <v>41</v>
      </c>
      <c r="M16" s="58">
        <v>0</v>
      </c>
      <c r="N16" s="59"/>
      <c r="O16" s="59"/>
      <c r="P16" s="59"/>
      <c r="Q16" s="59"/>
      <c r="R16" s="60"/>
    </row>
    <row r="17" spans="3:18" ht="409.5" customHeight="1" thickBot="1" x14ac:dyDescent="0.35">
      <c r="C17" s="67" t="s">
        <v>53</v>
      </c>
      <c r="D17" s="68"/>
      <c r="E17" s="68"/>
      <c r="F17" s="68"/>
      <c r="G17" s="68"/>
      <c r="H17" s="68"/>
      <c r="I17" s="69"/>
      <c r="J17" s="9"/>
      <c r="K17" s="9"/>
      <c r="L17" s="67" t="s">
        <v>57</v>
      </c>
      <c r="M17" s="68"/>
      <c r="N17" s="68"/>
      <c r="O17" s="68"/>
      <c r="P17" s="68"/>
      <c r="Q17" s="68"/>
      <c r="R17" s="69"/>
    </row>
    <row r="19" spans="3:18" ht="15.75" thickBot="1" x14ac:dyDescent="0.3"/>
    <row r="20" spans="3:18" ht="225.6" customHeight="1" thickBot="1" x14ac:dyDescent="0.3">
      <c r="C20" s="64" t="s">
        <v>43</v>
      </c>
      <c r="D20" s="65"/>
      <c r="E20" s="65"/>
      <c r="F20" s="65"/>
      <c r="G20" s="65"/>
      <c r="H20" s="65"/>
      <c r="I20" s="66"/>
      <c r="L20" s="64" t="s">
        <v>45</v>
      </c>
      <c r="M20" s="65"/>
      <c r="N20" s="65"/>
      <c r="O20" s="65"/>
      <c r="P20" s="65"/>
      <c r="Q20" s="65"/>
      <c r="R20" s="66"/>
    </row>
  </sheetData>
  <mergeCells count="20">
    <mergeCell ref="D12:I12"/>
    <mergeCell ref="M12:R12"/>
    <mergeCell ref="C4:I5"/>
    <mergeCell ref="L4:R5"/>
    <mergeCell ref="D9:I9"/>
    <mergeCell ref="M9:R9"/>
    <mergeCell ref="D11:I11"/>
    <mergeCell ref="M11:R11"/>
    <mergeCell ref="D10:I10"/>
    <mergeCell ref="M10:R10"/>
    <mergeCell ref="D14:I14"/>
    <mergeCell ref="M14:R14"/>
    <mergeCell ref="D15:I15"/>
    <mergeCell ref="M15:R15"/>
    <mergeCell ref="C20:I20"/>
    <mergeCell ref="L20:R20"/>
    <mergeCell ref="D16:I16"/>
    <mergeCell ref="M16:R16"/>
    <mergeCell ref="C17:I17"/>
    <mergeCell ref="L17:R1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3971-F960-4BD2-924E-8BD1AA1DC9E9}">
  <dimension ref="A1:T11"/>
  <sheetViews>
    <sheetView tabSelected="1" workbookViewId="0">
      <selection activeCell="C26" sqref="C26"/>
    </sheetView>
  </sheetViews>
  <sheetFormatPr defaultColWidth="8.7109375" defaultRowHeight="14.25" x14ac:dyDescent="0.3"/>
  <cols>
    <col min="1" max="1" width="3.5703125" style="24" bestFit="1" customWidth="1"/>
    <col min="2" max="2" width="8.7109375" style="24"/>
    <col min="3" max="3" width="61.140625" style="45" customWidth="1"/>
    <col min="4" max="4" width="8.7109375" style="24"/>
    <col min="5" max="5" width="25.28515625" style="24" bestFit="1" customWidth="1"/>
    <col min="6" max="6" width="16.140625" style="24" customWidth="1"/>
    <col min="7" max="7" width="12.5703125" style="24" customWidth="1"/>
    <col min="8" max="8" width="13" style="24" customWidth="1"/>
    <col min="9" max="10" width="8.7109375" style="24" customWidth="1"/>
    <col min="11" max="11" width="13.140625" style="24" customWidth="1"/>
    <col min="12" max="12" width="12.85546875" style="24" customWidth="1"/>
    <col min="13" max="14" width="11.140625" style="24" customWidth="1"/>
    <col min="15" max="15" width="12.140625" style="24" bestFit="1" customWidth="1"/>
    <col min="16" max="16" width="16.5703125" style="24" customWidth="1"/>
    <col min="17" max="18" width="9" style="24" bestFit="1" customWidth="1"/>
    <col min="19" max="16384" width="8.7109375" style="24"/>
  </cols>
  <sheetData>
    <row r="1" spans="1:20" ht="42.75" x14ac:dyDescent="0.3">
      <c r="A1" s="28" t="s">
        <v>0</v>
      </c>
      <c r="B1" s="29" t="s">
        <v>1</v>
      </c>
      <c r="C1" s="30" t="s">
        <v>2</v>
      </c>
      <c r="D1" s="29" t="s">
        <v>3</v>
      </c>
      <c r="E1" s="29" t="s">
        <v>4</v>
      </c>
      <c r="F1" s="31" t="s">
        <v>5</v>
      </c>
      <c r="G1" s="32" t="s">
        <v>61</v>
      </c>
      <c r="H1" s="33" t="s">
        <v>62</v>
      </c>
      <c r="I1" s="29" t="s">
        <v>6</v>
      </c>
      <c r="J1" s="29" t="s">
        <v>7</v>
      </c>
      <c r="K1" s="34" t="s">
        <v>64</v>
      </c>
      <c r="L1" s="34" t="s">
        <v>63</v>
      </c>
      <c r="M1" s="30" t="s">
        <v>59</v>
      </c>
      <c r="N1" s="30" t="s">
        <v>60</v>
      </c>
      <c r="O1" s="42" t="s">
        <v>65</v>
      </c>
      <c r="P1" s="36" t="s">
        <v>70</v>
      </c>
      <c r="S1" s="24">
        <v>0.26100000000000001</v>
      </c>
    </row>
    <row r="2" spans="1:20" ht="37.5" x14ac:dyDescent="0.3">
      <c r="A2" s="35">
        <v>1</v>
      </c>
      <c r="B2" s="52">
        <v>13331</v>
      </c>
      <c r="C2" s="26" t="s">
        <v>14</v>
      </c>
      <c r="D2" s="2" t="s">
        <v>32</v>
      </c>
      <c r="E2" s="3" t="s">
        <v>15</v>
      </c>
      <c r="F2" s="5" t="s">
        <v>16</v>
      </c>
      <c r="G2" s="6">
        <f>22.5*1000</f>
        <v>22500</v>
      </c>
      <c r="H2" s="25">
        <v>15374</v>
      </c>
      <c r="I2" s="4">
        <v>0.3</v>
      </c>
      <c r="J2" s="4">
        <v>0.87</v>
      </c>
      <c r="K2" s="6">
        <f>G2*I2*J2</f>
        <v>5872.5</v>
      </c>
      <c r="L2" s="7">
        <f>H2*I2*J2</f>
        <v>4012.614</v>
      </c>
      <c r="M2" s="37">
        <v>802.52279999999996</v>
      </c>
      <c r="N2" s="37">
        <v>2407.5684000000001</v>
      </c>
      <c r="O2" s="37">
        <f>M2*2</f>
        <v>1605.0455999999999</v>
      </c>
      <c r="P2" s="43" t="s">
        <v>67</v>
      </c>
      <c r="Q2" s="50">
        <f>L2/5</f>
        <v>802.52279999999996</v>
      </c>
      <c r="R2" s="50">
        <f>Q2*3</f>
        <v>2407.5684000000001</v>
      </c>
      <c r="S2" s="50">
        <f>M2/S1</f>
        <v>3074.7999999999997</v>
      </c>
    </row>
    <row r="3" spans="1:20" ht="42.75" x14ac:dyDescent="0.3">
      <c r="A3" s="35">
        <v>2</v>
      </c>
      <c r="B3" s="52">
        <v>6376</v>
      </c>
      <c r="C3" s="26" t="s">
        <v>17</v>
      </c>
      <c r="D3" s="2" t="s">
        <v>32</v>
      </c>
      <c r="E3" s="3" t="s">
        <v>15</v>
      </c>
      <c r="F3" s="3" t="s">
        <v>16</v>
      </c>
      <c r="G3" s="6">
        <f>12.492*1000</f>
        <v>12492</v>
      </c>
      <c r="H3" s="25">
        <v>7089</v>
      </c>
      <c r="I3" s="4">
        <v>0.3</v>
      </c>
      <c r="J3" s="4">
        <v>0.87</v>
      </c>
      <c r="K3" s="6">
        <f t="shared" ref="K3:K7" si="0">G3*I3*J3</f>
        <v>3260.4119999999998</v>
      </c>
      <c r="L3" s="7">
        <f t="shared" ref="L3:L7" si="1">H3*I3*J3</f>
        <v>1850.2289999999998</v>
      </c>
      <c r="M3" s="37">
        <v>462.55724999999995</v>
      </c>
      <c r="N3" s="37">
        <v>925.11449999999991</v>
      </c>
      <c r="O3" s="37">
        <f>M3*2</f>
        <v>925.11449999999991</v>
      </c>
      <c r="P3" s="43" t="s">
        <v>67</v>
      </c>
      <c r="Q3" s="50">
        <f>L3/4</f>
        <v>462.55724999999995</v>
      </c>
      <c r="R3" s="51">
        <f>Q3*2</f>
        <v>925.11449999999991</v>
      </c>
      <c r="S3" s="50">
        <f>M3/S1</f>
        <v>1772.2499999999998</v>
      </c>
      <c r="T3" s="51">
        <f>S3*2</f>
        <v>3544.4999999999995</v>
      </c>
    </row>
    <row r="4" spans="1:20" ht="28.5" x14ac:dyDescent="0.3">
      <c r="A4" s="35">
        <v>3</v>
      </c>
      <c r="B4" s="52">
        <v>16023</v>
      </c>
      <c r="C4" s="26" t="s">
        <v>20</v>
      </c>
      <c r="D4" s="2" t="s">
        <v>32</v>
      </c>
      <c r="E4" s="3" t="s">
        <v>18</v>
      </c>
      <c r="F4" s="3" t="s">
        <v>19</v>
      </c>
      <c r="G4" s="6">
        <f>0.9861*1000</f>
        <v>986.1</v>
      </c>
      <c r="H4" s="25">
        <v>8</v>
      </c>
      <c r="I4" s="4">
        <v>0.3</v>
      </c>
      <c r="J4" s="4">
        <v>0.87</v>
      </c>
      <c r="K4" s="6">
        <f t="shared" si="0"/>
        <v>257.37209999999999</v>
      </c>
      <c r="L4" s="7">
        <f t="shared" si="1"/>
        <v>2.0880000000000001</v>
      </c>
      <c r="M4" s="44">
        <v>0</v>
      </c>
      <c r="N4" s="49">
        <v>2.09</v>
      </c>
      <c r="O4" s="44">
        <v>0</v>
      </c>
      <c r="P4" s="43" t="s">
        <v>68</v>
      </c>
    </row>
    <row r="5" spans="1:20" ht="28.5" x14ac:dyDescent="0.3">
      <c r="A5" s="35">
        <v>4</v>
      </c>
      <c r="B5" s="52">
        <v>16039</v>
      </c>
      <c r="C5" s="27" t="s">
        <v>21</v>
      </c>
      <c r="D5" s="2" t="s">
        <v>32</v>
      </c>
      <c r="E5" s="3" t="s">
        <v>22</v>
      </c>
      <c r="F5" s="3" t="s">
        <v>23</v>
      </c>
      <c r="G5" s="6">
        <f>0.71802*1000</f>
        <v>718.02</v>
      </c>
      <c r="H5" s="25">
        <f>490549.408333333/1000</f>
        <v>490.54940833333296</v>
      </c>
      <c r="I5" s="4">
        <v>0.3</v>
      </c>
      <c r="J5" s="4">
        <v>0.87</v>
      </c>
      <c r="K5" s="6">
        <f t="shared" si="0"/>
        <v>187.40321999999998</v>
      </c>
      <c r="L5" s="7">
        <f t="shared" si="1"/>
        <v>128.0333955749999</v>
      </c>
      <c r="M5" s="37">
        <f>L5/3</f>
        <v>42.677798524999965</v>
      </c>
      <c r="N5" s="47">
        <f>M5*1</f>
        <v>42.677798524999965</v>
      </c>
      <c r="O5" s="37">
        <f>M5*2</f>
        <v>85.355597049999929</v>
      </c>
      <c r="P5" s="43" t="s">
        <v>68</v>
      </c>
      <c r="S5" s="50">
        <f>M5/S1</f>
        <v>163.51646944444431</v>
      </c>
    </row>
    <row r="6" spans="1:20" ht="28.5" x14ac:dyDescent="0.3">
      <c r="A6" s="35">
        <v>5</v>
      </c>
      <c r="B6" s="52">
        <v>16042</v>
      </c>
      <c r="C6" s="27" t="s">
        <v>27</v>
      </c>
      <c r="D6" s="2" t="s">
        <v>32</v>
      </c>
      <c r="E6" s="3" t="s">
        <v>22</v>
      </c>
      <c r="F6" s="3" t="s">
        <v>23</v>
      </c>
      <c r="G6" s="6">
        <f>0.09258*1000</f>
        <v>92.58</v>
      </c>
      <c r="H6" s="25">
        <f>57153.0916666666/1000</f>
        <v>57.153091666666604</v>
      </c>
      <c r="I6" s="4">
        <v>0.3</v>
      </c>
      <c r="J6" s="4">
        <v>0.87</v>
      </c>
      <c r="K6" s="6">
        <f t="shared" si="0"/>
        <v>24.163379999999997</v>
      </c>
      <c r="L6" s="7">
        <f t="shared" si="1"/>
        <v>14.916956924999983</v>
      </c>
      <c r="M6" s="37">
        <f>L6/3</f>
        <v>4.9723189749999941</v>
      </c>
      <c r="N6" s="47">
        <f>M6*1</f>
        <v>4.9723189749999941</v>
      </c>
      <c r="O6" s="37">
        <f>M6*2</f>
        <v>9.9446379499999882</v>
      </c>
      <c r="P6" s="43" t="s">
        <v>68</v>
      </c>
      <c r="S6" s="50">
        <f>M6/S1</f>
        <v>19.051030555555531</v>
      </c>
    </row>
    <row r="7" spans="1:20" ht="42.75" x14ac:dyDescent="0.3">
      <c r="A7" s="35">
        <v>6</v>
      </c>
      <c r="B7" s="52">
        <v>14362</v>
      </c>
      <c r="C7" s="27" t="s">
        <v>24</v>
      </c>
      <c r="D7" s="2" t="s">
        <v>32</v>
      </c>
      <c r="E7" s="3" t="s">
        <v>25</v>
      </c>
      <c r="F7" s="3" t="s">
        <v>26</v>
      </c>
      <c r="G7" s="6">
        <f>0.10566*1000</f>
        <v>105.66000000000001</v>
      </c>
      <c r="H7" s="25">
        <f>8934.09350310583/1000</f>
        <v>8.9340935031058315</v>
      </c>
      <c r="I7" s="4">
        <v>0.3</v>
      </c>
      <c r="J7" s="4">
        <v>0.87</v>
      </c>
      <c r="K7" s="6">
        <f t="shared" si="0"/>
        <v>27.577259999999999</v>
      </c>
      <c r="L7" s="7">
        <f t="shared" si="1"/>
        <v>2.3317984043106219</v>
      </c>
      <c r="M7" s="37">
        <f>L7/3</f>
        <v>0.77726613477020734</v>
      </c>
      <c r="N7" s="37">
        <f>M7*2</f>
        <v>1.5545322695404147</v>
      </c>
      <c r="O7" s="37">
        <f>M7*2</f>
        <v>1.5545322695404147</v>
      </c>
      <c r="P7" s="43" t="s">
        <v>69</v>
      </c>
    </row>
    <row r="8" spans="1:20" x14ac:dyDescent="0.3">
      <c r="A8" s="35">
        <v>8</v>
      </c>
      <c r="B8" s="53">
        <v>6354</v>
      </c>
      <c r="C8" s="1" t="s">
        <v>28</v>
      </c>
      <c r="D8" s="2" t="s">
        <v>32</v>
      </c>
      <c r="E8" s="3" t="s">
        <v>29</v>
      </c>
      <c r="F8" s="3" t="s">
        <v>58</v>
      </c>
      <c r="G8" s="38">
        <v>81</v>
      </c>
      <c r="H8" s="38">
        <v>2325</v>
      </c>
      <c r="I8" s="38"/>
      <c r="J8" s="38"/>
      <c r="K8" s="38">
        <f t="shared" ref="K8:L10" si="2">0.3*0.87*G8</f>
        <v>21.141000000000002</v>
      </c>
      <c r="L8" s="38">
        <f t="shared" si="2"/>
        <v>606.82500000000005</v>
      </c>
      <c r="M8" s="38">
        <f>L8/8</f>
        <v>75.853125000000006</v>
      </c>
      <c r="N8" s="48">
        <f>M8*6</f>
        <v>455.11875000000003</v>
      </c>
      <c r="O8" s="38">
        <f>M8*2</f>
        <v>151.70625000000001</v>
      </c>
      <c r="P8" s="43" t="s">
        <v>68</v>
      </c>
    </row>
    <row r="9" spans="1:20" x14ac:dyDescent="0.3">
      <c r="A9" s="35">
        <v>9</v>
      </c>
      <c r="B9" s="53">
        <v>15958</v>
      </c>
      <c r="C9" s="5" t="s">
        <v>30</v>
      </c>
      <c r="D9" s="2" t="s">
        <v>32</v>
      </c>
      <c r="E9" s="3" t="s">
        <v>29</v>
      </c>
      <c r="F9" s="3" t="s">
        <v>58</v>
      </c>
      <c r="G9" s="36">
        <v>68</v>
      </c>
      <c r="H9" s="36">
        <v>192</v>
      </c>
      <c r="I9" s="36"/>
      <c r="J9" s="36"/>
      <c r="K9" s="38">
        <f t="shared" si="2"/>
        <v>17.748000000000001</v>
      </c>
      <c r="L9" s="38">
        <f t="shared" si="2"/>
        <v>50.112000000000002</v>
      </c>
      <c r="M9" s="37">
        <f>L9/6</f>
        <v>8.3520000000000003</v>
      </c>
      <c r="N9" s="47">
        <f>M9*4</f>
        <v>33.408000000000001</v>
      </c>
      <c r="O9" s="37">
        <f>M9*2</f>
        <v>16.704000000000001</v>
      </c>
      <c r="P9" s="43" t="s">
        <v>68</v>
      </c>
    </row>
    <row r="10" spans="1:20" x14ac:dyDescent="0.3">
      <c r="A10" s="35">
        <v>10</v>
      </c>
      <c r="B10" s="54">
        <v>6359</v>
      </c>
      <c r="C10" s="1" t="s">
        <v>71</v>
      </c>
      <c r="D10" s="2" t="s">
        <v>32</v>
      </c>
      <c r="E10" s="3" t="s">
        <v>18</v>
      </c>
      <c r="F10" s="3" t="s">
        <v>19</v>
      </c>
      <c r="G10" s="24">
        <v>295</v>
      </c>
      <c r="H10" s="24">
        <v>832</v>
      </c>
      <c r="K10" s="24">
        <f t="shared" si="2"/>
        <v>76.995000000000005</v>
      </c>
      <c r="L10" s="24">
        <f t="shared" si="2"/>
        <v>217.15200000000002</v>
      </c>
      <c r="M10" s="24">
        <f>L10</f>
        <v>217.15200000000002</v>
      </c>
      <c r="N10" s="46">
        <f>L10</f>
        <v>217.15200000000002</v>
      </c>
      <c r="O10" s="24">
        <v>0</v>
      </c>
      <c r="P10" s="43" t="s">
        <v>68</v>
      </c>
    </row>
    <row r="11" spans="1:20" x14ac:dyDescent="0.3">
      <c r="A11" s="35">
        <v>11</v>
      </c>
      <c r="B11" s="36"/>
      <c r="C11" s="79" t="s">
        <v>66</v>
      </c>
      <c r="D11" s="79"/>
      <c r="E11" s="79"/>
      <c r="F11" s="79"/>
      <c r="G11" s="39">
        <f>SUM(G2:G10)</f>
        <v>37338.36</v>
      </c>
      <c r="H11" s="40">
        <f>SUM(H2:H10)</f>
        <v>26376.636593503106</v>
      </c>
      <c r="I11" s="41"/>
      <c r="J11" s="41"/>
      <c r="K11" s="39">
        <f>SUM(K2:K10)</f>
        <v>9745.3119600000009</v>
      </c>
      <c r="L11" s="39">
        <f>SUM(L2:L10)</f>
        <v>6884.3021509043101</v>
      </c>
      <c r="M11" s="39">
        <f>SUM(M2:M10)</f>
        <v>1614.8645586347704</v>
      </c>
      <c r="N11" s="39">
        <f>SUM(N2:N10)</f>
        <v>4089.6562997695401</v>
      </c>
      <c r="O11" s="39">
        <f>SUM(O2:O10)</f>
        <v>2795.4251172695408</v>
      </c>
      <c r="P11" s="36"/>
    </row>
  </sheetData>
  <mergeCells count="1">
    <mergeCell ref="C11:F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Logistics Weekly Report</vt:lpstr>
      <vt:lpstr>2019 Actuals - SPDC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Suleiman, Amina B SPDC-PTC/UA</dc:creator>
  <cp:lastModifiedBy>Ilori, Obafemi A SNEPCO-PTC/U/GL</cp:lastModifiedBy>
  <dcterms:created xsi:type="dcterms:W3CDTF">2019-02-06T11:07:56Z</dcterms:created>
  <dcterms:modified xsi:type="dcterms:W3CDTF">2019-12-19T09:44:26Z</dcterms:modified>
</cp:coreProperties>
</file>