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33F9A4FD-B46A-44B9-AA2C-A0A9E65E54CF}" xr6:coauthVersionLast="41" xr6:coauthVersionMax="41" xr10:uidLastSave="{00000000-0000-0000-0000-000000000000}"/>
  <bookViews>
    <workbookView xWindow="-110" yWindow="-110" windowWidth="19420" windowHeight="10420" xr2:uid="{EB888601-44E8-486C-8737-244AEE1BBFCD}"/>
  </bookViews>
  <sheets>
    <sheet name="FCF " sheetId="5" r:id="rId1"/>
    <sheet name="Oct 2019 Production" sheetId="7" r:id="rId2"/>
    <sheet name="K39&amp;40 Rerouting" sheetId="2" r:id="rId3"/>
    <sheet name="K2S Optimisation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5" l="1"/>
  <c r="C11" i="7"/>
  <c r="L25" i="3"/>
  <c r="L26" i="3" s="1"/>
  <c r="L24" i="3"/>
  <c r="L20" i="3"/>
  <c r="L21" i="3"/>
  <c r="L19" i="3"/>
  <c r="D8" i="7"/>
  <c r="D7" i="7"/>
  <c r="D20" i="7"/>
  <c r="D19" i="7"/>
  <c r="C19" i="7"/>
  <c r="C7" i="7"/>
  <c r="C18" i="7" l="1"/>
  <c r="C20" i="7" l="1"/>
  <c r="C21" i="7"/>
  <c r="C23" i="7" s="1"/>
  <c r="D17" i="7"/>
  <c r="D16" i="7"/>
  <c r="D18" i="7" l="1"/>
  <c r="D21" i="7"/>
  <c r="P9" i="3" l="1"/>
  <c r="L9" i="3"/>
  <c r="D5" i="7" l="1"/>
  <c r="D4" i="7"/>
  <c r="C6" i="7"/>
  <c r="P10" i="3"/>
  <c r="L10" i="3"/>
  <c r="C8" i="5" l="1"/>
  <c r="D6" i="7"/>
  <c r="C8" i="7"/>
  <c r="D9" i="7" l="1"/>
  <c r="C9" i="7"/>
  <c r="C12" i="7" s="1"/>
  <c r="C23" i="5"/>
  <c r="J8" i="5"/>
  <c r="J9" i="5" s="1"/>
  <c r="J10" i="5" s="1"/>
  <c r="C5" i="5"/>
  <c r="D4" i="5"/>
  <c r="J11" i="5" l="1"/>
  <c r="J15" i="5"/>
  <c r="O21" i="3"/>
  <c r="O26" i="3" l="1"/>
  <c r="J16" i="5"/>
  <c r="J18" i="5" s="1"/>
  <c r="J20" i="5" s="1"/>
  <c r="J25" i="5" s="1"/>
  <c r="K6" i="2" l="1"/>
  <c r="O6" i="2"/>
  <c r="C9" i="5" l="1"/>
  <c r="C10" i="5" l="1"/>
  <c r="C11" i="5" s="1"/>
  <c r="C15" i="5" s="1"/>
  <c r="C16" i="5" s="1"/>
  <c r="C18" i="5" s="1"/>
  <c r="C20" i="5" s="1"/>
  <c r="C24" i="5" s="1"/>
  <c r="C25" i="5" s="1"/>
  <c r="F9" i="5"/>
  <c r="F10" i="5" l="1"/>
  <c r="F11" i="5" s="1"/>
  <c r="F15" i="5" s="1"/>
  <c r="F16" i="5" s="1"/>
  <c r="F18" i="5" s="1"/>
  <c r="F20" i="5" s="1"/>
  <c r="F25" i="5" s="1"/>
  <c r="C27" i="5" s="1"/>
  <c r="F34" i="5"/>
</calcChain>
</file>

<file path=xl/sharedStrings.xml><?xml version="1.0" encoding="utf-8"?>
<sst xmlns="http://schemas.openxmlformats.org/spreadsheetml/2006/main" count="188" uniqueCount="95">
  <si>
    <t>May</t>
  </si>
  <si>
    <t>Apr</t>
  </si>
  <si>
    <t>Mar</t>
  </si>
  <si>
    <t>Production Unit Code</t>
  </si>
  <si>
    <t>Production Sub Unit Code</t>
  </si>
  <si>
    <t>Area Code</t>
  </si>
  <si>
    <t>Well Code</t>
  </si>
  <si>
    <t>Field Code</t>
  </si>
  <si>
    <t>Facility Code</t>
  </si>
  <si>
    <t>Well Type</t>
  </si>
  <si>
    <t>Allocated Condensate Volume [bbls]</t>
  </si>
  <si>
    <t>Allocated Net Oil Volume [bbls]</t>
  </si>
  <si>
    <t>Alloc Prodn Net Oil</t>
  </si>
  <si>
    <t>BSW % Alloc</t>
  </si>
  <si>
    <t>BS&amp;W % Theo</t>
  </si>
  <si>
    <t>Allocated Water Volume [bbl]</t>
  </si>
  <si>
    <t>Sales Gas Volume [Mscf]</t>
  </si>
  <si>
    <t>SPDC-E</t>
  </si>
  <si>
    <t>PE</t>
  </si>
  <si>
    <t>GBAR-UBIE</t>
  </si>
  <si>
    <t>KOCR039T</t>
  </si>
  <si>
    <t>KOCR</t>
  </si>
  <si>
    <t>GBAR/GP</t>
  </si>
  <si>
    <t>GP</t>
  </si>
  <si>
    <t>KOCR040T</t>
  </si>
  <si>
    <t>Net to Asset</t>
  </si>
  <si>
    <t>KOCR048T</t>
  </si>
  <si>
    <t>KOCR049T</t>
  </si>
  <si>
    <t>KOCR043T</t>
  </si>
  <si>
    <t>KOCR045T</t>
  </si>
  <si>
    <t>KOCR047T</t>
  </si>
  <si>
    <t>Jan</t>
  </si>
  <si>
    <t>Feb</t>
  </si>
  <si>
    <t>Jun</t>
  </si>
  <si>
    <t>Jul</t>
  </si>
  <si>
    <t>Aug</t>
  </si>
  <si>
    <t>Sep</t>
  </si>
  <si>
    <t>Oct</t>
  </si>
  <si>
    <t>Nov</t>
  </si>
  <si>
    <t>Dec</t>
  </si>
  <si>
    <t>KOCR 43 - 49</t>
  </si>
  <si>
    <t>Oil - bbl/d</t>
  </si>
  <si>
    <t>Gas - Mscf/d</t>
  </si>
  <si>
    <t xml:space="preserve">    OP18</t>
  </si>
  <si>
    <t xml:space="preserve">   OP18</t>
  </si>
  <si>
    <t xml:space="preserve">    Actual</t>
  </si>
  <si>
    <t>Incremental Oil - bbl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</si>
  <si>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</si>
  <si>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</si>
  <si>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</si>
  <si>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</si>
  <si>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</si>
  <si>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</si>
  <si>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</si>
  <si>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</si>
  <si>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</si>
  <si>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</si>
  <si>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</si>
  <si>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</si>
  <si>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</si>
  <si>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</si>
  <si>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</si>
  <si>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</si>
  <si>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</si>
  <si>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</si>
  <si>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</si>
  <si>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</si>
  <si>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</si>
  <si>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</si>
  <si>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</si>
  <si>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</si>
  <si>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</si>
  <si>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</si>
  <si>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</si>
  <si>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</si>
  <si>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</si>
  <si>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</si>
  <si>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</si>
  <si>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</si>
  <si>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</si>
  <si>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</si>
  <si>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</si>
  <si>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</si>
  <si>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</si>
  <si>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</si>
  <si>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Incremental Gas - Mscf</t>
  </si>
  <si>
    <t>Inremental</t>
  </si>
  <si>
    <t>Pipeline Share</t>
  </si>
  <si>
    <t>IDS Cages Share</t>
  </si>
  <si>
    <t>GBARF2</t>
  </si>
  <si>
    <t>TOTAL</t>
  </si>
  <si>
    <t>Gas</t>
  </si>
  <si>
    <t>GBRF2_G</t>
  </si>
  <si>
    <t>K2S Optimisation</t>
  </si>
  <si>
    <t>K39/40 Re-routing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</si>
</sst>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.00_ ;\-#,##0.00\ "/>
    <numFmt numFmtId="168" formatCode="#,##0_ ;[Red]\-#,##0\ "/>
    <numFmt numFmtId="169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3">
    <xf numFmtId="0" fontId="0" fillId="0" borderId="0" xfId="0"/>
    <xf numFmtId="4" fontId="0" fillId="0" borderId="0" xfId="0" applyNumberFormat="1"/>
    <xf numFmtId="49" fontId="4" fillId="2" borderId="1" xfId="0" applyNumberFormat="1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left" vertical="center"/>
    </xf>
    <xf numFmtId="3" fontId="0" fillId="0" borderId="0" xfId="0" applyNumberFormat="1"/>
    <xf numFmtId="0" fontId="3" fillId="0" borderId="0" xfId="0" applyFont="1"/>
    <xf numFmtId="3" fontId="3" fillId="0" borderId="0" xfId="0" applyNumberFormat="1" applyFont="1"/>
    <xf numFmtId="0" fontId="0" fillId="0" borderId="0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0" xfId="0" applyFill="1" applyAlignment="1">
      <alignment horizontal="center" wrapText="1"/>
    </xf>
    <xf numFmtId="9" fontId="6" fillId="5" borderId="0" xfId="1" applyNumberFormat="1" applyFont="1" applyFill="1"/>
    <xf numFmtId="0" fontId="2" fillId="5" borderId="0" xfId="0" applyFont="1" applyFill="1"/>
    <xf numFmtId="43" fontId="0" fillId="0" borderId="0" xfId="0" applyNumberFormat="1"/>
    <xf numFmtId="165" fontId="0" fillId="6" borderId="3" xfId="0" applyNumberFormat="1" applyFill="1" applyBorder="1"/>
    <xf numFmtId="43" fontId="0" fillId="6" borderId="3" xfId="2" applyFont="1" applyFill="1" applyBorder="1"/>
    <xf numFmtId="166" fontId="0" fillId="6" borderId="3" xfId="0" applyNumberFormat="1" applyFill="1" applyBorder="1"/>
    <xf numFmtId="0" fontId="0" fillId="6" borderId="2" xfId="0" applyFill="1" applyBorder="1"/>
    <xf numFmtId="167" fontId="0" fillId="6" borderId="2" xfId="2" applyNumberFormat="1" applyFont="1" applyFill="1" applyBorder="1"/>
    <xf numFmtId="43" fontId="0" fillId="6" borderId="2" xfId="2" applyFont="1" applyFill="1" applyBorder="1"/>
    <xf numFmtId="164" fontId="1" fillId="7" borderId="2" xfId="1" applyNumberFormat="1" applyFont="1" applyFill="1" applyBorder="1"/>
    <xf numFmtId="165" fontId="1" fillId="7" borderId="2" xfId="1" applyNumberFormat="1" applyFont="1" applyFill="1" applyBorder="1"/>
    <xf numFmtId="165" fontId="3" fillId="7" borderId="3" xfId="0" applyNumberFormat="1" applyFont="1" applyFill="1" applyBorder="1"/>
    <xf numFmtId="168" fontId="0" fillId="7" borderId="3" xfId="0" applyNumberFormat="1" applyFill="1" applyBorder="1"/>
    <xf numFmtId="168" fontId="0" fillId="7" borderId="2" xfId="0" applyNumberFormat="1" applyFill="1" applyBorder="1"/>
    <xf numFmtId="165" fontId="3" fillId="7" borderId="2" xfId="0" applyNumberFormat="1" applyFont="1" applyFill="1" applyBorder="1"/>
    <xf numFmtId="168" fontId="0" fillId="7" borderId="4" xfId="0" applyNumberFormat="1" applyFill="1" applyBorder="1"/>
    <xf numFmtId="0" fontId="3" fillId="0" borderId="5" xfId="0" applyFont="1" applyBorder="1"/>
    <xf numFmtId="165" fontId="3" fillId="7" borderId="6" xfId="0" applyNumberFormat="1" applyFont="1" applyFill="1" applyBorder="1"/>
    <xf numFmtId="165" fontId="3" fillId="0" borderId="7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8" xfId="0" applyBorder="1"/>
    <xf numFmtId="0" fontId="3" fillId="0" borderId="8" xfId="0" applyFont="1" applyBorder="1" applyAlignment="1">
      <alignment horizontal="left" indent="2"/>
    </xf>
    <xf numFmtId="0" fontId="3" fillId="0" borderId="8" xfId="0" applyFont="1" applyBorder="1"/>
    <xf numFmtId="3" fontId="0" fillId="0" borderId="8" xfId="0" applyNumberFormat="1" applyBorder="1"/>
    <xf numFmtId="3" fontId="3" fillId="0" borderId="8" xfId="0" applyNumberFormat="1" applyFont="1" applyBorder="1"/>
    <xf numFmtId="0" fontId="3" fillId="0" borderId="8" xfId="0" applyFont="1" applyBorder="1" applyAlignment="1">
      <alignment horizontal="center"/>
    </xf>
    <xf numFmtId="0" fontId="3" fillId="0" borderId="0" xfId="0" applyFont="1" applyFill="1" applyBorder="1"/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right" vertical="center"/>
    </xf>
    <xf numFmtId="169" fontId="5" fillId="3" borderId="1" xfId="0" applyNumberFormat="1" applyFont="1" applyFill="1" applyBorder="1" applyAlignment="1">
      <alignment horizontal="right" vertical="center"/>
    </xf>
    <xf numFmtId="4" fontId="5" fillId="3" borderId="1" xfId="0" applyNumberFormat="1" applyFont="1" applyFill="1" applyBorder="1" applyAlignment="1">
      <alignment horizontal="right" vertical="center"/>
    </xf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76" Type="http://schemas.openxmlformats.org/officeDocument/2006/relationships/externalLink" Target="externalLinks/externalLink72.xml"/><Relationship Id="rId84" Type="http://schemas.openxmlformats.org/officeDocument/2006/relationships/sharedStrings" Target="sharedStrings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74" Type="http://schemas.openxmlformats.org/officeDocument/2006/relationships/externalLink" Target="externalLinks/externalLink70.xml"/><Relationship Id="rId79" Type="http://schemas.openxmlformats.org/officeDocument/2006/relationships/externalLink" Target="externalLinks/externalLink75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82" Type="http://schemas.openxmlformats.org/officeDocument/2006/relationships/theme" Target="theme/theme1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externalLink" Target="externalLinks/externalLink76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externalLink" Target="externalLinks/externalLink74.xml"/><Relationship Id="rId81" Type="http://schemas.openxmlformats.org/officeDocument/2006/relationships/externalLink" Target="externalLinks/externalLink7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topLeftCell="A8" zoomScale="85" zoomScaleNormal="85" workbookViewId="0">
      <selection activeCell="A25" sqref="A25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0"/>
      <c r="F1" s="10"/>
      <c r="J1" s="10"/>
    </row>
    <row r="2" spans="2:11" ht="18.5" x14ac:dyDescent="0.45">
      <c r="B2" s="11" t="s">
        <v>47</v>
      </c>
      <c r="C2" s="12">
        <v>2019</v>
      </c>
      <c r="D2" s="13"/>
      <c r="E2" s="11" t="s">
        <v>48</v>
      </c>
      <c r="F2" s="12">
        <v>2019</v>
      </c>
      <c r="I2" s="11" t="s">
        <v>49</v>
      </c>
      <c r="J2" s="12">
        <v>2019</v>
      </c>
    </row>
    <row r="3" spans="2:11" x14ac:dyDescent="0.35">
      <c r="B3" s="5" t="s">
        <v>50</v>
      </c>
      <c r="E3" s="5" t="s">
        <v>50</v>
      </c>
      <c r="G3" s="13"/>
      <c r="I3" s="5" t="s">
        <v>50</v>
      </c>
    </row>
    <row r="4" spans="2:11" x14ac:dyDescent="0.35">
      <c r="B4" s="5" t="s">
        <v>51</v>
      </c>
      <c r="C4" s="4">
        <v>0</v>
      </c>
      <c r="D4">
        <f>680000*0.15*0.3</f>
        <v>30600</v>
      </c>
      <c r="E4" s="5"/>
      <c r="F4" s="4"/>
      <c r="G4" s="13"/>
      <c r="I4" s="5"/>
    </row>
    <row r="5" spans="2:11" x14ac:dyDescent="0.35">
      <c r="B5" s="5" t="s">
        <v>52</v>
      </c>
      <c r="C5" s="4">
        <f>C4*0.2</f>
        <v>0</v>
      </c>
      <c r="E5" s="5"/>
      <c r="F5" s="4"/>
      <c r="G5" s="13"/>
      <c r="I5" s="5"/>
    </row>
    <row r="6" spans="2:11" x14ac:dyDescent="0.35">
      <c r="B6" s="8" t="s">
        <v>53</v>
      </c>
      <c r="C6" s="14">
        <v>66.247</v>
      </c>
      <c r="D6" t="s">
        <v>54</v>
      </c>
      <c r="E6" s="8" t="s">
        <v>55</v>
      </c>
      <c r="F6" s="15">
        <v>1.637</v>
      </c>
      <c r="G6" t="s">
        <v>54</v>
      </c>
      <c r="I6" s="8" t="s">
        <v>55</v>
      </c>
      <c r="J6" s="16">
        <v>2.5299999999999998</v>
      </c>
      <c r="K6" t="s">
        <v>54</v>
      </c>
    </row>
    <row r="7" spans="2:11" x14ac:dyDescent="0.35">
      <c r="B7" s="8" t="s">
        <v>56</v>
      </c>
      <c r="C7" s="17">
        <v>31</v>
      </c>
      <c r="E7" s="8" t="s">
        <v>56</v>
      </c>
      <c r="F7" s="17">
        <v>31</v>
      </c>
      <c r="I7" s="8" t="s">
        <v>56</v>
      </c>
      <c r="J7" s="17">
        <v>30</v>
      </c>
    </row>
    <row r="8" spans="2:11" x14ac:dyDescent="0.35">
      <c r="B8" s="8" t="s">
        <v>57</v>
      </c>
      <c r="C8" s="18">
        <f>'Oct 2019 Production'!C11/31/1000</f>
        <v>0.81821522394448598</v>
      </c>
      <c r="D8" t="s">
        <v>58</v>
      </c>
      <c r="E8" s="8" t="s">
        <v>57</v>
      </c>
      <c r="F8" s="19">
        <f>'Oct 2019 Production'!C23/31/5.8/1000</f>
        <v>2.2112147475109909</v>
      </c>
      <c r="G8" t="s">
        <v>58</v>
      </c>
      <c r="I8" s="8" t="s">
        <v>57</v>
      </c>
      <c r="J8" s="19">
        <f>0/28/1000/5.8</f>
        <v>0</v>
      </c>
      <c r="K8" t="s">
        <v>58</v>
      </c>
    </row>
    <row r="9" spans="2:11" x14ac:dyDescent="0.35">
      <c r="B9" s="8" t="s">
        <v>59</v>
      </c>
      <c r="C9" s="20">
        <f>C8*C7*1000</f>
        <v>25364.671942279067</v>
      </c>
      <c r="E9" s="8" t="s">
        <v>60</v>
      </c>
      <c r="F9" s="20">
        <f>F8*F7*1000</f>
        <v>68547.657172840714</v>
      </c>
      <c r="I9" s="8" t="s">
        <v>60</v>
      </c>
      <c r="J9" s="21">
        <f t="shared" ref="J9" si="0">J8*J7*1000</f>
        <v>0</v>
      </c>
    </row>
    <row r="10" spans="2:11" x14ac:dyDescent="0.35">
      <c r="B10" s="8" t="s">
        <v>61</v>
      </c>
      <c r="C10" s="22">
        <f t="shared" ref="C10" si="1">+C9*C6</f>
        <v>1680333.4221601614</v>
      </c>
      <c r="E10" s="8" t="s">
        <v>61</v>
      </c>
      <c r="F10" s="22">
        <f>+F9*F6*5.8</f>
        <v>650832.58579325338</v>
      </c>
      <c r="I10" s="8" t="s">
        <v>61</v>
      </c>
      <c r="J10" s="22">
        <f>+J9*J6*5.8</f>
        <v>0</v>
      </c>
    </row>
    <row r="11" spans="2:11" x14ac:dyDescent="0.35">
      <c r="B11" s="8" t="s">
        <v>62</v>
      </c>
      <c r="C11" s="23">
        <f t="shared" ref="C11" si="2">-C10*0.2</f>
        <v>-336066.68443203229</v>
      </c>
      <c r="D11" t="s">
        <v>63</v>
      </c>
      <c r="E11" s="8" t="s">
        <v>64</v>
      </c>
      <c r="F11" s="23">
        <f>-F10*0.07</f>
        <v>-45558.281005527744</v>
      </c>
      <c r="G11" t="s">
        <v>65</v>
      </c>
      <c r="I11" s="8" t="s">
        <v>64</v>
      </c>
      <c r="J11" s="23">
        <f>-J10*0.07</f>
        <v>0</v>
      </c>
      <c r="K11" t="s">
        <v>65</v>
      </c>
    </row>
    <row r="12" spans="2:11" x14ac:dyDescent="0.35">
      <c r="B12" s="8" t="s">
        <v>66</v>
      </c>
      <c r="C12" s="24"/>
      <c r="E12" s="8" t="s">
        <v>66</v>
      </c>
      <c r="F12" s="24">
        <v>0</v>
      </c>
      <c r="I12" s="8" t="s">
        <v>66</v>
      </c>
      <c r="J12" s="24">
        <v>0</v>
      </c>
    </row>
    <row r="13" spans="2:11" x14ac:dyDescent="0.35">
      <c r="B13" s="8" t="s">
        <v>67</v>
      </c>
      <c r="C13" s="24"/>
      <c r="E13" s="8" t="s">
        <v>67</v>
      </c>
      <c r="F13" s="24"/>
      <c r="I13" s="8" t="s">
        <v>67</v>
      </c>
      <c r="J13" s="24"/>
    </row>
    <row r="14" spans="2:11" x14ac:dyDescent="0.35">
      <c r="B14" s="8" t="s">
        <v>68</v>
      </c>
      <c r="C14" s="24"/>
      <c r="E14" s="8" t="s">
        <v>68</v>
      </c>
      <c r="F14" s="24"/>
      <c r="I14" s="8" t="s">
        <v>68</v>
      </c>
      <c r="J14" s="24"/>
    </row>
    <row r="15" spans="2:11" x14ac:dyDescent="0.35">
      <c r="B15" s="8" t="s">
        <v>69</v>
      </c>
      <c r="C15" s="25">
        <f>+C10+C11+C12+C13+C14</f>
        <v>1344266.7377281291</v>
      </c>
      <c r="E15" s="8" t="s">
        <v>69</v>
      </c>
      <c r="F15" s="25">
        <f>+F10+F11+F12+F13+F14</f>
        <v>605274.30478772568</v>
      </c>
      <c r="I15" s="8" t="s">
        <v>69</v>
      </c>
      <c r="J15" s="25">
        <f>+J10+J11+J12+J13+J14</f>
        <v>0</v>
      </c>
    </row>
    <row r="16" spans="2:11" x14ac:dyDescent="0.35">
      <c r="B16" s="8" t="s">
        <v>70</v>
      </c>
      <c r="C16" s="24">
        <f>-C15*0.1275</f>
        <v>-171394.00906033648</v>
      </c>
      <c r="D16" t="s">
        <v>71</v>
      </c>
      <c r="E16" s="8" t="s">
        <v>72</v>
      </c>
      <c r="F16" s="24">
        <f>-F15*0.3</f>
        <v>-181582.2914363177</v>
      </c>
      <c r="I16" s="8" t="s">
        <v>72</v>
      </c>
      <c r="J16" s="24">
        <f>-J15*0.3</f>
        <v>0</v>
      </c>
    </row>
    <row r="17" spans="2:11" x14ac:dyDescent="0.35">
      <c r="B17" s="7"/>
      <c r="C17" s="26"/>
      <c r="E17" s="7"/>
      <c r="F17" s="26"/>
      <c r="I17" s="7"/>
      <c r="J17" s="26"/>
    </row>
    <row r="18" spans="2:11" ht="15" thickBot="1" x14ac:dyDescent="0.4">
      <c r="B18" s="27" t="s">
        <v>73</v>
      </c>
      <c r="C18" s="28">
        <f t="shared" ref="C18" si="3">+C15+C16</f>
        <v>1172872.7286677926</v>
      </c>
      <c r="E18" s="27" t="s">
        <v>73</v>
      </c>
      <c r="F18" s="28">
        <f t="shared" ref="F18" si="4">+F15+F16</f>
        <v>423692.01335140795</v>
      </c>
      <c r="I18" s="27" t="s">
        <v>73</v>
      </c>
      <c r="J18" s="28">
        <f t="shared" ref="J18" si="5">+J15+J16</f>
        <v>0</v>
      </c>
    </row>
    <row r="19" spans="2:11" ht="15" thickTop="1" x14ac:dyDescent="0.35"/>
    <row r="20" spans="2:11" ht="15" thickBot="1" x14ac:dyDescent="0.4">
      <c r="B20" t="s">
        <v>74</v>
      </c>
      <c r="C20" s="29">
        <f>C18-C14</f>
        <v>1172872.7286677926</v>
      </c>
      <c r="D20" t="s">
        <v>75</v>
      </c>
      <c r="E20" t="s">
        <v>74</v>
      </c>
      <c r="F20" s="29">
        <f>F18-F14</f>
        <v>423692.01335140795</v>
      </c>
      <c r="G20" t="s">
        <v>75</v>
      </c>
      <c r="I20" t="s">
        <v>74</v>
      </c>
      <c r="J20" s="29">
        <f>J18-J14</f>
        <v>0</v>
      </c>
      <c r="K20" t="s">
        <v>75</v>
      </c>
    </row>
    <row r="21" spans="2:11" ht="15" thickTop="1" x14ac:dyDescent="0.35"/>
    <row r="22" spans="2:11" x14ac:dyDescent="0.35">
      <c r="B22" s="5" t="s">
        <v>51</v>
      </c>
      <c r="C22" s="4"/>
    </row>
    <row r="23" spans="2:11" x14ac:dyDescent="0.35">
      <c r="B23" s="5" t="s">
        <v>76</v>
      </c>
      <c r="C23" s="4">
        <f>(-0.2*C22*0.1275)</f>
        <v>0</v>
      </c>
    </row>
    <row r="24" spans="2:11" x14ac:dyDescent="0.35">
      <c r="B24" t="s">
        <v>77</v>
      </c>
      <c r="C24" s="30">
        <f>C23+C22+C20</f>
        <v>1172872.7286677926</v>
      </c>
    </row>
    <row r="25" spans="2:11" x14ac:dyDescent="0.35">
      <c r="B25" t="s">
        <v>78</v>
      </c>
      <c r="C25" s="31">
        <f>C24*0.3</f>
        <v>351861.81860033778</v>
      </c>
      <c r="E25" t="s">
        <v>79</v>
      </c>
      <c r="F25" s="31">
        <f>F20*0.3</f>
        <v>127107.60400542238</v>
      </c>
      <c r="I25" t="s">
        <v>80</v>
      </c>
      <c r="J25" s="31">
        <f>J20*0.3</f>
        <v>0</v>
      </c>
    </row>
    <row r="27" spans="2:11" x14ac:dyDescent="0.35">
      <c r="B27" t="s">
        <v>81</v>
      </c>
      <c r="C27" s="13">
        <f>C25+F25+J25</f>
        <v>478969.42260576016</v>
      </c>
    </row>
    <row r="29" spans="2:11" x14ac:dyDescent="0.35">
      <c r="C29" s="13"/>
    </row>
    <row r="30" spans="2:11" x14ac:dyDescent="0.35">
      <c r="C30" s="13"/>
    </row>
    <row r="31" spans="2:11" x14ac:dyDescent="0.35">
      <c r="C31" s="13"/>
    </row>
    <row r="33" spans="3:6" x14ac:dyDescent="0.35">
      <c r="C33" s="31"/>
    </row>
    <row r="34" spans="3:6" x14ac:dyDescent="0.35">
      <c r="C34" s="13"/>
      <c r="F34" s="13">
        <f>F9/31*5.8/1000</f>
        <v>12.825045535563747</v>
      </c>
    </row>
    <row r="35" spans="3:6" x14ac:dyDescent="0.35">
      <c r="C35" s="31"/>
    </row>
    <row r="36" spans="3:6" x14ac:dyDescent="0.35">
      <c r="C36" s="31"/>
    </row>
    <row r="37" spans="3:6" x14ac:dyDescent="0.35">
      <c r="C37" s="31"/>
    </row>
    <row r="38" spans="3:6" x14ac:dyDescent="0.35">
      <c r="C38" s="31"/>
    </row>
    <row r="43" spans="3:6" x14ac:dyDescent="0.35">
      <c r="C43" s="13"/>
    </row>
    <row r="44" spans="3:6" x14ac:dyDescent="0.35">
      <c r="C44" s="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24"/>
  <sheetViews>
    <sheetView topLeftCell="A10" workbookViewId="0">
      <selection activeCell="C25" sqref="C25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5" t="s">
        <v>82</v>
      </c>
    </row>
    <row r="3" spans="2:4" x14ac:dyDescent="0.35">
      <c r="B3" s="32"/>
      <c r="C3" s="33" t="s">
        <v>89</v>
      </c>
      <c r="D3" s="33" t="s">
        <v>90</v>
      </c>
    </row>
    <row r="4" spans="2:4" x14ac:dyDescent="0.35">
      <c r="B4" s="34" t="s">
        <v>84</v>
      </c>
      <c r="C4" s="35">
        <v>1137670.9352636572</v>
      </c>
      <c r="D4" s="35">
        <f>SUM(C4:C4)</f>
        <v>1137670.9352636572</v>
      </c>
    </row>
    <row r="5" spans="2:4" x14ac:dyDescent="0.35">
      <c r="B5" s="34" t="s">
        <v>83</v>
      </c>
      <c r="C5" s="35">
        <v>1227911.4862201298</v>
      </c>
      <c r="D5" s="35">
        <f>SUM(C5:C5)</f>
        <v>1227911.4862201298</v>
      </c>
    </row>
    <row r="6" spans="2:4" x14ac:dyDescent="0.35">
      <c r="B6" s="34" t="s">
        <v>86</v>
      </c>
      <c r="C6" s="35">
        <f>C5-C4</f>
        <v>90240.550956472522</v>
      </c>
      <c r="D6" s="35">
        <f>D5-D4</f>
        <v>90240.550956472522</v>
      </c>
    </row>
    <row r="7" spans="2:4" x14ac:dyDescent="0.35">
      <c r="B7" s="34" t="s">
        <v>87</v>
      </c>
      <c r="C7" s="35">
        <f>C6*4.29/31</f>
        <v>12488.127858169906</v>
      </c>
      <c r="D7" s="35">
        <f>D6*4.29/31</f>
        <v>12488.127858169906</v>
      </c>
    </row>
    <row r="8" spans="2:4" x14ac:dyDescent="0.35">
      <c r="B8" s="34" t="s">
        <v>88</v>
      </c>
      <c r="C8" s="35">
        <f>C6*0.02</f>
        <v>1804.8110191294504</v>
      </c>
      <c r="D8" s="35">
        <f>D6*0.02</f>
        <v>1804.8110191294504</v>
      </c>
    </row>
    <row r="9" spans="2:4" x14ac:dyDescent="0.35">
      <c r="B9" s="34" t="s">
        <v>25</v>
      </c>
      <c r="C9" s="36">
        <f>C6-C7-C8</f>
        <v>75947.612079173166</v>
      </c>
      <c r="D9" s="36">
        <f>D6-D7-D8</f>
        <v>75947.612079173166</v>
      </c>
    </row>
    <row r="11" spans="2:4" x14ac:dyDescent="0.35">
      <c r="B11" s="38" t="s">
        <v>93</v>
      </c>
      <c r="C11" s="4">
        <f>'K2S Optimisation'!L21</f>
        <v>25364.671942279063</v>
      </c>
    </row>
    <row r="12" spans="2:4" x14ac:dyDescent="0.35">
      <c r="B12" s="38" t="s">
        <v>94</v>
      </c>
      <c r="C12" s="4">
        <f>C9-C11</f>
        <v>50582.940136894103</v>
      </c>
    </row>
    <row r="14" spans="2:4" x14ac:dyDescent="0.35">
      <c r="B14" s="34" t="s">
        <v>91</v>
      </c>
    </row>
    <row r="15" spans="2:4" x14ac:dyDescent="0.35">
      <c r="B15" s="34"/>
      <c r="C15" s="37" t="s">
        <v>92</v>
      </c>
      <c r="D15" s="33" t="s">
        <v>90</v>
      </c>
    </row>
    <row r="16" spans="2:4" x14ac:dyDescent="0.35">
      <c r="B16" s="34" t="s">
        <v>84</v>
      </c>
      <c r="C16" s="35">
        <v>40101829.167523429</v>
      </c>
      <c r="D16" s="35">
        <f>SUM(C16:C16)</f>
        <v>40101829.167523429</v>
      </c>
    </row>
    <row r="17" spans="2:4" x14ac:dyDescent="0.35">
      <c r="B17" s="34" t="s">
        <v>83</v>
      </c>
      <c r="C17" s="35">
        <v>40574227.356855616</v>
      </c>
      <c r="D17" s="35">
        <f>SUM(C17:C17)</f>
        <v>40574227.356855616</v>
      </c>
    </row>
    <row r="18" spans="2:4" x14ac:dyDescent="0.35">
      <c r="B18" s="34" t="s">
        <v>86</v>
      </c>
      <c r="C18" s="35">
        <f>C17-C16</f>
        <v>472398.18933218718</v>
      </c>
      <c r="D18" s="35">
        <f>D17-D16</f>
        <v>472398.18933218718</v>
      </c>
    </row>
    <row r="19" spans="2:4" x14ac:dyDescent="0.35">
      <c r="B19" s="34" t="s">
        <v>87</v>
      </c>
      <c r="C19" s="35">
        <f>C18*4.29/31</f>
        <v>65373.813943067187</v>
      </c>
      <c r="D19" s="35">
        <f>D18*4.29/31</f>
        <v>65373.813943067187</v>
      </c>
    </row>
    <row r="20" spans="2:4" x14ac:dyDescent="0.35">
      <c r="B20" s="34" t="s">
        <v>88</v>
      </c>
      <c r="C20" s="35">
        <f>C18*0.02</f>
        <v>9447.9637866437442</v>
      </c>
      <c r="D20" s="35">
        <f>D18*0.02</f>
        <v>9447.9637866437442</v>
      </c>
    </row>
    <row r="21" spans="2:4" x14ac:dyDescent="0.35">
      <c r="B21" s="34" t="s">
        <v>25</v>
      </c>
      <c r="C21" s="36">
        <f>C18-C19-C20</f>
        <v>397576.4116024762</v>
      </c>
      <c r="D21" s="36">
        <f>D18-D19-D20</f>
        <v>397576.4116024762</v>
      </c>
    </row>
    <row r="23" spans="2:4" x14ac:dyDescent="0.35">
      <c r="B23" s="38" t="s">
        <v>93</v>
      </c>
      <c r="C23" s="4">
        <f>C21</f>
        <v>397576.4116024762</v>
      </c>
    </row>
    <row r="24" spans="2:4" x14ac:dyDescent="0.35">
      <c r="B24" s="38" t="s">
        <v>94</v>
      </c>
      <c r="C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16C6-2E2B-491A-B243-3B8EAE4F65EF}">
  <dimension ref="B1:O8"/>
  <sheetViews>
    <sheetView workbookViewId="0">
      <selection activeCell="O6" sqref="O6"/>
    </sheetView>
  </sheetViews>
  <sheetFormatPr defaultRowHeight="14.5" x14ac:dyDescent="0.35"/>
  <cols>
    <col min="11" max="11" width="11.81640625" bestFit="1" customWidth="1"/>
    <col min="15" max="15" width="11.453125" bestFit="1" customWidth="1"/>
  </cols>
  <sheetData>
    <row r="1" spans="2:15" x14ac:dyDescent="0.35">
      <c r="B1" t="s">
        <v>37</v>
      </c>
    </row>
    <row r="3" spans="2:15" ht="65" x14ac:dyDescent="0.35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</row>
    <row r="4" spans="2:15" x14ac:dyDescent="0.35">
      <c r="B4" s="3" t="s">
        <v>17</v>
      </c>
      <c r="C4" s="3" t="s">
        <v>18</v>
      </c>
      <c r="D4" s="3" t="s">
        <v>19</v>
      </c>
      <c r="E4" s="3" t="s">
        <v>20</v>
      </c>
      <c r="F4" s="3" t="s">
        <v>21</v>
      </c>
      <c r="G4" s="3" t="s">
        <v>22</v>
      </c>
      <c r="H4" s="3" t="s">
        <v>23</v>
      </c>
      <c r="I4" s="39">
        <v>7425.5045322365404</v>
      </c>
      <c r="J4" s="39"/>
      <c r="K4" s="40">
        <v>7425.5045322365404</v>
      </c>
      <c r="L4" s="41">
        <v>4.39809791877619E-2</v>
      </c>
      <c r="M4" s="41">
        <v>1.13368797418679E-2</v>
      </c>
      <c r="N4" s="42">
        <v>341.60508649028998</v>
      </c>
      <c r="O4" s="42">
        <v>856741.74842584459</v>
      </c>
    </row>
    <row r="5" spans="2:15" x14ac:dyDescent="0.35">
      <c r="B5" s="3" t="s">
        <v>17</v>
      </c>
      <c r="C5" s="3" t="s">
        <v>18</v>
      </c>
      <c r="D5" s="3" t="s">
        <v>19</v>
      </c>
      <c r="E5" s="3" t="s">
        <v>24</v>
      </c>
      <c r="F5" s="3" t="s">
        <v>21</v>
      </c>
      <c r="G5" s="3" t="s">
        <v>22</v>
      </c>
      <c r="H5" s="3" t="s">
        <v>23</v>
      </c>
      <c r="I5" s="39">
        <v>19468.1576611294</v>
      </c>
      <c r="J5" s="39"/>
      <c r="K5" s="40">
        <v>19468.1576611294</v>
      </c>
      <c r="L5" s="41">
        <v>0.119080897000824</v>
      </c>
      <c r="M5" s="41">
        <v>3.2595744680851101E-2</v>
      </c>
      <c r="N5" s="42">
        <v>2631.6669366664</v>
      </c>
      <c r="O5" s="42">
        <v>2240273.8220235156</v>
      </c>
    </row>
    <row r="6" spans="2:15" x14ac:dyDescent="0.35">
      <c r="K6" s="4">
        <f>SUM(K4:K5)</f>
        <v>26893.662193365941</v>
      </c>
      <c r="O6" s="1">
        <f>SUM(O4:O5)</f>
        <v>3097015.5704493602</v>
      </c>
    </row>
    <row r="8" spans="2:15" x14ac:dyDescent="0.35">
      <c r="K8" s="6"/>
      <c r="L8" s="4"/>
      <c r="M8" s="4"/>
      <c r="N8" s="4"/>
      <c r="O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72C6-E865-42CE-A445-06B3194814CC}">
  <dimension ref="A3:P27"/>
  <sheetViews>
    <sheetView topLeftCell="C8" workbookViewId="0">
      <selection activeCell="K24" sqref="K24:K26"/>
    </sheetView>
  </sheetViews>
  <sheetFormatPr defaultRowHeight="14.5" x14ac:dyDescent="0.35"/>
  <cols>
    <col min="1" max="1" width="12.1796875" customWidth="1"/>
    <col min="2" max="2" width="17.81640625" bestFit="1" customWidth="1"/>
    <col min="5" max="5" width="15" customWidth="1"/>
    <col min="6" max="6" width="13.54296875" customWidth="1"/>
    <col min="7" max="7" width="11.7265625" customWidth="1"/>
    <col min="10" max="10" width="11.81640625" bestFit="1" customWidth="1"/>
    <col min="12" max="12" width="11.81640625" bestFit="1" customWidth="1"/>
    <col min="15" max="15" width="14.26953125" bestFit="1" customWidth="1"/>
    <col min="16" max="16" width="11.453125" bestFit="1" customWidth="1"/>
  </cols>
  <sheetData>
    <row r="3" spans="1:16" ht="52" x14ac:dyDescent="0.35"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</row>
    <row r="4" spans="1:16" x14ac:dyDescent="0.35">
      <c r="C4" s="3" t="s">
        <v>17</v>
      </c>
      <c r="D4" s="3" t="s">
        <v>18</v>
      </c>
      <c r="E4" s="3" t="s">
        <v>19</v>
      </c>
      <c r="F4" s="3" t="s">
        <v>28</v>
      </c>
      <c r="G4" s="3" t="s">
        <v>21</v>
      </c>
      <c r="H4" s="3" t="s">
        <v>22</v>
      </c>
      <c r="I4" s="3" t="s">
        <v>23</v>
      </c>
      <c r="J4" s="39">
        <v>0</v>
      </c>
      <c r="K4" s="39"/>
      <c r="L4" s="40">
        <v>0</v>
      </c>
      <c r="M4" s="41">
        <v>0</v>
      </c>
      <c r="N4" s="41">
        <v>0</v>
      </c>
      <c r="O4" s="42">
        <v>0</v>
      </c>
      <c r="P4" s="42">
        <v>0</v>
      </c>
    </row>
    <row r="5" spans="1:16" x14ac:dyDescent="0.35">
      <c r="C5" s="3" t="s">
        <v>17</v>
      </c>
      <c r="D5" s="3" t="s">
        <v>18</v>
      </c>
      <c r="E5" s="3" t="s">
        <v>19</v>
      </c>
      <c r="F5" s="3" t="s">
        <v>26</v>
      </c>
      <c r="G5" s="3" t="s">
        <v>21</v>
      </c>
      <c r="H5" s="3" t="s">
        <v>22</v>
      </c>
      <c r="I5" s="3" t="s">
        <v>23</v>
      </c>
      <c r="J5" s="39">
        <v>0</v>
      </c>
      <c r="K5" s="39"/>
      <c r="L5" s="40">
        <v>0</v>
      </c>
      <c r="M5" s="41">
        <v>0</v>
      </c>
      <c r="N5" s="41">
        <v>0</v>
      </c>
      <c r="O5" s="42">
        <v>0</v>
      </c>
      <c r="P5" s="42">
        <v>0</v>
      </c>
    </row>
    <row r="6" spans="1:16" x14ac:dyDescent="0.35">
      <c r="C6" s="3" t="s">
        <v>17</v>
      </c>
      <c r="D6" s="3" t="s">
        <v>18</v>
      </c>
      <c r="E6" s="3" t="s">
        <v>19</v>
      </c>
      <c r="F6" s="3" t="s">
        <v>27</v>
      </c>
      <c r="G6" s="3" t="s">
        <v>21</v>
      </c>
      <c r="H6" s="3" t="s">
        <v>22</v>
      </c>
      <c r="I6" s="3" t="s">
        <v>23</v>
      </c>
      <c r="J6" s="39">
        <v>0</v>
      </c>
      <c r="K6" s="39"/>
      <c r="L6" s="40">
        <v>0</v>
      </c>
      <c r="M6" s="41">
        <v>0</v>
      </c>
      <c r="N6" s="41">
        <v>0</v>
      </c>
      <c r="O6" s="42">
        <v>0</v>
      </c>
      <c r="P6" s="42">
        <v>0</v>
      </c>
    </row>
    <row r="7" spans="1:16" x14ac:dyDescent="0.35">
      <c r="C7" s="3" t="s">
        <v>17</v>
      </c>
      <c r="D7" s="3" t="s">
        <v>18</v>
      </c>
      <c r="E7" s="3" t="s">
        <v>19</v>
      </c>
      <c r="F7" s="3" t="s">
        <v>30</v>
      </c>
      <c r="G7" s="3" t="s">
        <v>21</v>
      </c>
      <c r="H7" s="3" t="s">
        <v>22</v>
      </c>
      <c r="I7" s="3" t="s">
        <v>23</v>
      </c>
      <c r="J7" s="39">
        <v>138058.18539271699</v>
      </c>
      <c r="K7" s="39"/>
      <c r="L7" s="40">
        <v>138058.18539271699</v>
      </c>
      <c r="M7" s="41">
        <v>3.9199941170828298E-2</v>
      </c>
      <c r="N7" s="41">
        <v>1.00671140939597E-2</v>
      </c>
      <c r="O7" s="42">
        <v>5632.6732037680204</v>
      </c>
      <c r="P7" s="42">
        <v>3060781.0127744377</v>
      </c>
    </row>
    <row r="8" spans="1:16" x14ac:dyDescent="0.35">
      <c r="C8" s="3" t="s">
        <v>17</v>
      </c>
      <c r="D8" s="3" t="s">
        <v>18</v>
      </c>
      <c r="E8" s="3" t="s">
        <v>19</v>
      </c>
      <c r="F8" s="3" t="s">
        <v>29</v>
      </c>
      <c r="G8" s="3" t="s">
        <v>21</v>
      </c>
      <c r="H8" s="3" t="s">
        <v>22</v>
      </c>
      <c r="I8" s="3" t="s">
        <v>23</v>
      </c>
      <c r="J8" s="39">
        <v>157976.78654956201</v>
      </c>
      <c r="K8" s="39"/>
      <c r="L8" s="40">
        <v>157976.78654956201</v>
      </c>
      <c r="M8" s="41">
        <v>3.9661279667655598E-2</v>
      </c>
      <c r="N8" s="41">
        <v>1.0189228529839899E-2</v>
      </c>
      <c r="O8" s="42">
        <v>6524.3245739080303</v>
      </c>
      <c r="P8" s="42">
        <v>3038830.4686769219</v>
      </c>
    </row>
    <row r="9" spans="1:16" x14ac:dyDescent="0.35">
      <c r="L9" s="4">
        <f>SUM(L4:L8)</f>
        <v>296034.97194227902</v>
      </c>
      <c r="P9" s="4">
        <f>SUM(P4:P8)</f>
        <v>6099611.4814513596</v>
      </c>
    </row>
    <row r="10" spans="1:16" x14ac:dyDescent="0.35">
      <c r="L10" s="4">
        <f>L9/31</f>
        <v>9549.5152239444851</v>
      </c>
      <c r="P10" s="4">
        <f>P9/31</f>
        <v>196761.66069197934</v>
      </c>
    </row>
    <row r="15" spans="1:16" x14ac:dyDescent="0.35">
      <c r="C15" s="9" t="s">
        <v>31</v>
      </c>
      <c r="D15" t="s">
        <v>32</v>
      </c>
      <c r="E15" s="9" t="s">
        <v>2</v>
      </c>
      <c r="F15" t="s">
        <v>1</v>
      </c>
      <c r="G15" s="9" t="s">
        <v>0</v>
      </c>
      <c r="H15" t="s">
        <v>33</v>
      </c>
      <c r="I15" s="9" t="s">
        <v>34</v>
      </c>
      <c r="J15" t="s">
        <v>35</v>
      </c>
      <c r="K15" s="9" t="s">
        <v>36</v>
      </c>
      <c r="L15" t="s">
        <v>37</v>
      </c>
      <c r="M15" s="9" t="s">
        <v>38</v>
      </c>
      <c r="N15" t="s">
        <v>39</v>
      </c>
    </row>
    <row r="16" spans="1:16" x14ac:dyDescent="0.35">
      <c r="A16" t="s">
        <v>40</v>
      </c>
      <c r="C16">
        <v>31</v>
      </c>
      <c r="D16">
        <v>28</v>
      </c>
      <c r="E16">
        <v>31</v>
      </c>
      <c r="F16">
        <v>30</v>
      </c>
      <c r="G16">
        <v>31</v>
      </c>
      <c r="H16">
        <v>30</v>
      </c>
      <c r="I16">
        <v>31</v>
      </c>
      <c r="J16">
        <v>31</v>
      </c>
      <c r="K16">
        <v>30</v>
      </c>
      <c r="L16">
        <v>31</v>
      </c>
      <c r="M16">
        <v>30</v>
      </c>
      <c r="N16">
        <v>31</v>
      </c>
    </row>
    <row r="17" spans="1:15" x14ac:dyDescent="0.35">
      <c r="B17" t="s">
        <v>41</v>
      </c>
    </row>
    <row r="18" spans="1:15" x14ac:dyDescent="0.35">
      <c r="A18" s="4"/>
      <c r="B18" s="4" t="s">
        <v>43</v>
      </c>
      <c r="C18" s="4">
        <v>11539.060000000001</v>
      </c>
      <c r="D18" s="4">
        <v>10707.23</v>
      </c>
      <c r="E18" s="4">
        <v>3272.1499999999996</v>
      </c>
      <c r="F18" s="4">
        <v>5924.2</v>
      </c>
      <c r="G18" s="4">
        <v>6629.1</v>
      </c>
      <c r="H18" s="4">
        <v>6896.59</v>
      </c>
      <c r="I18" s="4">
        <v>3495.1</v>
      </c>
      <c r="J18" s="4">
        <v>3329.2</v>
      </c>
      <c r="K18" s="4">
        <v>3217.7</v>
      </c>
      <c r="L18" s="4">
        <v>8731.2999999999993</v>
      </c>
      <c r="M18" s="4">
        <v>8697.0999999999985</v>
      </c>
      <c r="N18" s="4">
        <v>15468.800000000003</v>
      </c>
    </row>
    <row r="19" spans="1:15" x14ac:dyDescent="0.35">
      <c r="A19" s="4"/>
      <c r="B19" s="4" t="s">
        <v>45</v>
      </c>
      <c r="C19" s="4"/>
      <c r="D19" s="4"/>
      <c r="E19" s="4"/>
      <c r="F19" s="4"/>
      <c r="G19" s="4"/>
      <c r="H19" s="4"/>
      <c r="I19" s="4"/>
      <c r="J19" s="4"/>
      <c r="K19" s="4"/>
      <c r="L19" s="4">
        <f>L10</f>
        <v>9549.5152239444851</v>
      </c>
      <c r="M19" s="4"/>
      <c r="N19" s="4"/>
    </row>
    <row r="20" spans="1:15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>
        <f>L19-L18</f>
        <v>818.21522394448584</v>
      </c>
      <c r="M20" s="4"/>
      <c r="N20" s="4"/>
    </row>
    <row r="21" spans="1:15" x14ac:dyDescent="0.35">
      <c r="A21" s="4"/>
      <c r="B21" s="4" t="s">
        <v>46</v>
      </c>
      <c r="C21" s="4"/>
      <c r="D21" s="4"/>
      <c r="E21" s="4"/>
      <c r="F21" s="4"/>
      <c r="G21" s="4"/>
      <c r="H21" s="4"/>
      <c r="I21" s="4"/>
      <c r="J21" s="4"/>
      <c r="K21" s="4"/>
      <c r="L21" s="4">
        <f>L20*31</f>
        <v>25364.671942279063</v>
      </c>
      <c r="M21" s="4"/>
      <c r="N21" s="4"/>
      <c r="O21" s="4">
        <f>SUM(C21:N21)</f>
        <v>25364.671942279063</v>
      </c>
    </row>
    <row r="22" spans="1:15" x14ac:dyDescent="0.35">
      <c r="A22" s="4"/>
      <c r="B22" t="s">
        <v>42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35">
      <c r="B23" s="4" t="s">
        <v>44</v>
      </c>
      <c r="C23" s="4">
        <v>224202</v>
      </c>
      <c r="D23" s="4">
        <v>211673.60000000001</v>
      </c>
      <c r="E23" s="4">
        <v>44151.6</v>
      </c>
      <c r="F23" s="4">
        <v>117262</v>
      </c>
      <c r="G23" s="4">
        <v>127599</v>
      </c>
      <c r="H23" s="4">
        <v>128067</v>
      </c>
      <c r="I23" s="4">
        <v>58283</v>
      </c>
      <c r="J23" s="4">
        <v>55717</v>
      </c>
      <c r="K23" s="4">
        <v>54048</v>
      </c>
      <c r="L23" s="4">
        <v>152146</v>
      </c>
      <c r="M23" s="4">
        <v>152146</v>
      </c>
      <c r="N23" s="4">
        <v>270322</v>
      </c>
    </row>
    <row r="24" spans="1:15" x14ac:dyDescent="0.35">
      <c r="B24" s="4" t="s">
        <v>45</v>
      </c>
      <c r="E24" s="4"/>
      <c r="F24" s="4"/>
      <c r="G24" s="4"/>
      <c r="I24" s="4"/>
      <c r="J24" s="4"/>
      <c r="K24" s="4"/>
      <c r="L24" s="4">
        <f>P10</f>
        <v>196761.66069197934</v>
      </c>
    </row>
    <row r="25" spans="1:15" x14ac:dyDescent="0.35">
      <c r="B25" s="4"/>
      <c r="E25" s="4"/>
      <c r="F25" s="4"/>
      <c r="G25" s="4"/>
      <c r="I25" s="4"/>
      <c r="J25" s="4"/>
      <c r="K25" s="4"/>
      <c r="L25" s="4">
        <f t="shared" ref="K25:L25" si="0">L24-L23</f>
        <v>44615.660691979341</v>
      </c>
    </row>
    <row r="26" spans="1:15" x14ac:dyDescent="0.35">
      <c r="B26" s="4" t="s">
        <v>85</v>
      </c>
      <c r="E26" s="4"/>
      <c r="F26" s="4"/>
      <c r="G26" s="4"/>
      <c r="I26" s="4"/>
      <c r="J26" s="4"/>
      <c r="K26" s="4"/>
      <c r="L26" s="4">
        <f>L25*L16</f>
        <v>1383085.4814513596</v>
      </c>
      <c r="O26" s="4">
        <f>SUM(C26:N26)</f>
        <v>1383085.4814513596</v>
      </c>
    </row>
    <row r="27" spans="1:15" x14ac:dyDescent="0.35">
      <c r="E27" s="4"/>
      <c r="F27" s="4"/>
      <c r="G27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FCF </vt:lpstr>
      <vt:lpstr>Oct 2019 Production</vt:lpstr>
      <vt:lpstr>K39&amp;40 Rerouting</vt:lpstr>
      <vt:lpstr>K2S Optimisation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2019-11-19T21:48:36Z</dcterms:modified>
</cp:coreProperties>
</file>