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mikpong.Ngwobia\Desktop\"/>
    </mc:Choice>
  </mc:AlternateContent>
  <xr:revisionPtr revIDLastSave="0" documentId="13_ncr:1_{A18ACE51-C473-4D9D-828F-069756DB9916}" xr6:coauthVersionLast="41" xr6:coauthVersionMax="41" xr10:uidLastSave="{00000000-0000-0000-0000-000000000000}"/>
  <bookViews>
    <workbookView xWindow="-110" yWindow="-110" windowWidth="19420" windowHeight="10420" xr2:uid="{09C79EC7-9758-42FF-BE0A-95C09A378C5B}"/>
  </bookViews>
  <sheets>
    <sheet name="2020 Gas Rev &amp; Collection Plan " sheetId="2" r:id="rId1"/>
    <sheet name="OP19 Target" sheetId="1" r:id="rId2"/>
  </sheets>
  <externalReferences>
    <externalReference r:id="rId3"/>
    <externalReference r:id="rId4"/>
  </externalReferences>
  <definedNames>
    <definedName name="PRACTICE" localSheetId="0" hidden="1">{#N/A,#N/A,FALSE,"CoverPage";#N/A,#N/A,FALSE,"Objective";#N/A,#N/A,FALSE,"TeamNorm";#N/A,#N/A,FALSE,"PAE";#N/A,#N/A,FALSE,"PBE";#N/A,#N/A,FALSE,"PSE";#N/A,#N/A,FALSE,"PME";#N/A,#N/A,FALSE,"HSE"}</definedName>
    <definedName name="PRACTICE" localSheetId="1" hidden="1">{#N/A,#N/A,FALSE,"CoverPage";#N/A,#N/A,FALSE,"Objective";#N/A,#N/A,FALSE,"TeamNorm";#N/A,#N/A,FALSE,"PAE";#N/A,#N/A,FALSE,"PBE";#N/A,#N/A,FALSE,"PSE";#N/A,#N/A,FALSE,"PME";#N/A,#N/A,FALSE,"HSE"}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Sample" localSheetId="0" hidden="1">{#N/A,#N/A,FALSE,"CoverPage";#N/A,#N/A,FALSE,"Objective";#N/A,#N/A,FALSE,"TeamNorm";#N/A,#N/A,FALSE,"PAE";#N/A,#N/A,FALSE,"PBE";#N/A,#N/A,FALSE,"PSE";#N/A,#N/A,FALSE,"PME";#N/A,#N/A,FALSE,"HSE"}</definedName>
    <definedName name="Sample" localSheetId="1" hidden="1">{#N/A,#N/A,FALSE,"CoverPage";#N/A,#N/A,FALSE,"Objective";#N/A,#N/A,FALSE,"TeamNorm";#N/A,#N/A,FALSE,"PAE";#N/A,#N/A,FALSE,"PBE";#N/A,#N/A,FALSE,"PSE";#N/A,#N/A,FALSE,"PME";#N/A,#N/A,FALSE,"HSE"}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wrn.PDDManning." localSheetId="0" hidden="1">{#N/A,#N/A,FALSE,"CoverPage";#N/A,#N/A,FALSE,"Objective";#N/A,#N/A,FALSE,"TeamNorm";#N/A,#N/A,FALSE,"PAE";#N/A,#N/A,FALSE,"PBE";#N/A,#N/A,FALSE,"PSE";#N/A,#N/A,FALSE,"PME";#N/A,#N/A,FALSE,"HSE"}</definedName>
    <definedName name="wrn.PDDManning." localSheetId="1" hidden="1">{#N/A,#N/A,FALSE,"CoverPage";#N/A,#N/A,FALSE,"Objective";#N/A,#N/A,FALSE,"TeamNorm";#N/A,#N/A,FALSE,"PAE";#N/A,#N/A,FALSE,"PBE";#N/A,#N/A,FALSE,"PSE";#N/A,#N/A,FALSE,"PME";#N/A,#N/A,FALSE,"HSE"}</definedName>
    <definedName name="wrn.PDDManning." hidden="1">{#N/A,#N/A,FALSE,"CoverPage";#N/A,#N/A,FALSE,"Objective";#N/A,#N/A,FALSE,"TeamNorm";#N/A,#N/A,FALSE,"PAE";#N/A,#N/A,FALSE,"PBE";#N/A,#N/A,FALSE,"PSE";#N/A,#N/A,FALSE,"PME";#N/A,#N/A,FALSE,"HSE"}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L55" i="1" l="1"/>
  <c r="M55" i="1"/>
  <c r="N55" i="1"/>
  <c r="D55" i="1"/>
  <c r="E55" i="1"/>
  <c r="F55" i="1"/>
  <c r="G55" i="1"/>
  <c r="H55" i="1"/>
  <c r="I55" i="1"/>
  <c r="J55" i="1"/>
  <c r="K55" i="1"/>
  <c r="C55" i="1"/>
  <c r="A55" i="1"/>
  <c r="A54" i="1"/>
  <c r="P16" i="1"/>
  <c r="P37" i="1"/>
  <c r="P30" i="1"/>
  <c r="P27" i="1"/>
  <c r="P23" i="1"/>
  <c r="P8" i="1"/>
  <c r="P9" i="1"/>
  <c r="P10" i="1"/>
  <c r="P11" i="1"/>
  <c r="P12" i="1"/>
  <c r="P13" i="1"/>
  <c r="P15" i="1"/>
  <c r="P17" i="1"/>
  <c r="P18" i="1"/>
  <c r="P19" i="1"/>
  <c r="P7" i="1"/>
  <c r="E16" i="2"/>
  <c r="C15" i="2"/>
  <c r="D16" i="2"/>
  <c r="D23" i="2" s="1"/>
  <c r="D18" i="2" l="1"/>
  <c r="D24" i="2" l="1"/>
  <c r="F16" i="2"/>
  <c r="G16" i="2"/>
  <c r="H16" i="2"/>
  <c r="I16" i="2"/>
  <c r="J16" i="2"/>
  <c r="K16" i="2"/>
  <c r="L16" i="2"/>
  <c r="M16" i="2"/>
  <c r="N18" i="2"/>
  <c r="P18" i="2"/>
  <c r="E18" i="2"/>
  <c r="T37" i="1"/>
  <c r="T30" i="1"/>
  <c r="T27" i="1"/>
  <c r="T23" i="1"/>
  <c r="T22" i="1"/>
  <c r="T19" i="1"/>
  <c r="T18" i="1"/>
  <c r="T17" i="1"/>
  <c r="T16" i="1"/>
  <c r="T15" i="1"/>
  <c r="T13" i="1"/>
  <c r="T11" i="1"/>
  <c r="T9" i="1"/>
  <c r="T8" i="1"/>
  <c r="T7" i="1"/>
  <c r="T6" i="1"/>
  <c r="P6" i="1"/>
  <c r="P17" i="2"/>
  <c r="N17" i="2"/>
  <c r="M17" i="2"/>
  <c r="L17" i="2"/>
  <c r="K17" i="2"/>
  <c r="J17" i="2"/>
  <c r="I17" i="2"/>
  <c r="H17" i="2"/>
  <c r="G17" i="2"/>
  <c r="F17" i="2"/>
  <c r="E17" i="2"/>
  <c r="D17" i="2"/>
  <c r="O17" i="2"/>
  <c r="F18" i="2" l="1"/>
  <c r="M18" i="2"/>
  <c r="I18" i="2"/>
  <c r="D25" i="2"/>
  <c r="G18" i="2"/>
  <c r="J18" i="2"/>
  <c r="L18" i="2"/>
  <c r="H18" i="2"/>
  <c r="O18" i="2"/>
  <c r="C18" i="2" s="1"/>
  <c r="C17" i="2"/>
  <c r="K18" i="2"/>
  <c r="C16" i="2" l="1"/>
  <c r="J86" i="1" l="1"/>
  <c r="J85" i="1"/>
  <c r="R54" i="1"/>
  <c r="U30" i="1" l="1"/>
  <c r="U27" i="1"/>
  <c r="U23" i="1"/>
  <c r="U18" i="1"/>
  <c r="U16" i="1"/>
  <c r="U15" i="1"/>
  <c r="U13" i="1"/>
  <c r="U11" i="1"/>
  <c r="U9" i="1"/>
  <c r="U8" i="1"/>
  <c r="U7" i="1"/>
  <c r="S30" i="1" l="1"/>
  <c r="S27" i="1"/>
  <c r="J77" i="1"/>
  <c r="C77" i="1"/>
  <c r="J76" i="1"/>
  <c r="E76" i="1"/>
  <c r="E77" i="1" s="1"/>
  <c r="D76" i="1"/>
  <c r="D77" i="1" s="1"/>
  <c r="N66" i="1"/>
  <c r="M66" i="1"/>
  <c r="L66" i="1"/>
  <c r="J66" i="1"/>
  <c r="H66" i="1"/>
  <c r="F66" i="1"/>
  <c r="D66" i="1"/>
  <c r="N65" i="1"/>
  <c r="M65" i="1"/>
  <c r="L65" i="1"/>
  <c r="K65" i="1"/>
  <c r="J65" i="1"/>
  <c r="I65" i="1"/>
  <c r="H65" i="1"/>
  <c r="G65" i="1"/>
  <c r="F65" i="1"/>
  <c r="E65" i="1"/>
  <c r="D65" i="1"/>
  <c r="C65" i="1"/>
  <c r="O64" i="1"/>
  <c r="O66" i="1" s="1"/>
  <c r="K64" i="1"/>
  <c r="K66" i="1" s="1"/>
  <c r="J64" i="1"/>
  <c r="I64" i="1"/>
  <c r="I66" i="1" s="1"/>
  <c r="H64" i="1"/>
  <c r="G64" i="1"/>
  <c r="G66" i="1" s="1"/>
  <c r="F64" i="1"/>
  <c r="E64" i="1"/>
  <c r="E66" i="1" s="1"/>
  <c r="D64" i="1"/>
  <c r="C64" i="1"/>
  <c r="C66" i="1" s="1"/>
  <c r="N63" i="1"/>
  <c r="M63" i="1"/>
  <c r="L63" i="1"/>
  <c r="K63" i="1"/>
  <c r="J63" i="1"/>
  <c r="I63" i="1"/>
  <c r="H63" i="1"/>
  <c r="G63" i="1"/>
  <c r="F63" i="1"/>
  <c r="E63" i="1"/>
  <c r="D63" i="1"/>
  <c r="P62" i="1"/>
  <c r="P61" i="1"/>
  <c r="P60" i="1"/>
  <c r="E45" i="1"/>
  <c r="C45" i="1"/>
  <c r="N44" i="1"/>
  <c r="M44" i="1"/>
  <c r="L44" i="1"/>
  <c r="K44" i="1"/>
  <c r="J44" i="1"/>
  <c r="I44" i="1"/>
  <c r="H44" i="1"/>
  <c r="G44" i="1"/>
  <c r="F44" i="1"/>
  <c r="E44" i="1"/>
  <c r="D44" i="1"/>
  <c r="C44" i="1"/>
  <c r="X43" i="1"/>
  <c r="C43" i="1"/>
  <c r="C42" i="1"/>
  <c r="C46" i="1" s="1"/>
  <c r="C50" i="1" s="1"/>
  <c r="D37" i="1"/>
  <c r="E37" i="1" s="1"/>
  <c r="X36" i="1"/>
  <c r="AA35" i="1"/>
  <c r="Z33" i="1"/>
  <c r="X33" i="1"/>
  <c r="C33" i="1"/>
  <c r="AA32" i="1"/>
  <c r="AA31" i="1"/>
  <c r="Z30" i="1"/>
  <c r="Y44" i="1" s="1"/>
  <c r="Y30" i="1"/>
  <c r="X44" i="1" s="1"/>
  <c r="R30" i="1"/>
  <c r="R44" i="1" s="1"/>
  <c r="O30" i="1"/>
  <c r="Z29" i="1"/>
  <c r="Y29" i="1"/>
  <c r="AA29" i="1" s="1"/>
  <c r="R29" i="1"/>
  <c r="O29" i="1"/>
  <c r="O44" i="1" s="1"/>
  <c r="Y28" i="1"/>
  <c r="Z27" i="1"/>
  <c r="Y45" i="1" s="1"/>
  <c r="Y27" i="1"/>
  <c r="U33" i="1"/>
  <c r="D45" i="1"/>
  <c r="C25" i="1"/>
  <c r="Y24" i="1"/>
  <c r="X24" i="1"/>
  <c r="U24" i="1"/>
  <c r="Z23" i="1"/>
  <c r="Y23" i="1"/>
  <c r="R22" i="1"/>
  <c r="S22" i="1" s="1"/>
  <c r="O22" i="1"/>
  <c r="AA21" i="1"/>
  <c r="X20" i="1"/>
  <c r="X25" i="1" s="1"/>
  <c r="R19" i="1"/>
  <c r="O19" i="1"/>
  <c r="AA19" i="1" s="1"/>
  <c r="AB19" i="1" s="1"/>
  <c r="Z18" i="1"/>
  <c r="Y18" i="1"/>
  <c r="Z16" i="1"/>
  <c r="Y16" i="1"/>
  <c r="Z15" i="1"/>
  <c r="Y15" i="1"/>
  <c r="AA14" i="1"/>
  <c r="Z13" i="1"/>
  <c r="Y13" i="1"/>
  <c r="R13" i="1"/>
  <c r="O13" i="1"/>
  <c r="AA13" i="1" s="1"/>
  <c r="AB13" i="1" s="1"/>
  <c r="AA12" i="1"/>
  <c r="Z11" i="1"/>
  <c r="Y11" i="1"/>
  <c r="X42" i="1" s="1"/>
  <c r="R11" i="1"/>
  <c r="S11" i="1" s="1"/>
  <c r="O11" i="1"/>
  <c r="AA10" i="1"/>
  <c r="Z9" i="1"/>
  <c r="Y9" i="1"/>
  <c r="R9" i="1"/>
  <c r="O9" i="1"/>
  <c r="AA9" i="1" s="1"/>
  <c r="AB9" i="1" s="1"/>
  <c r="Z8" i="1"/>
  <c r="Y8" i="1"/>
  <c r="R8" i="1"/>
  <c r="S8" i="1" s="1"/>
  <c r="AA8" i="1"/>
  <c r="AB8" i="1" s="1"/>
  <c r="O8" i="1"/>
  <c r="Z7" i="1"/>
  <c r="Y7" i="1"/>
  <c r="R7" i="1"/>
  <c r="S7" i="1" s="1"/>
  <c r="O7" i="1"/>
  <c r="AA7" i="1" s="1"/>
  <c r="AB7" i="1" s="1"/>
  <c r="Z6" i="1"/>
  <c r="Y6" i="1"/>
  <c r="Y20" i="1" s="1"/>
  <c r="R6" i="1"/>
  <c r="S6" i="1" s="1"/>
  <c r="O6" i="1"/>
  <c r="S9" i="1" l="1"/>
  <c r="S19" i="1"/>
  <c r="AA11" i="1"/>
  <c r="AB11" i="1" s="1"/>
  <c r="P44" i="1"/>
  <c r="AA30" i="1"/>
  <c r="AB30" i="1" s="1"/>
  <c r="S44" i="1"/>
  <c r="S13" i="1"/>
  <c r="P22" i="1"/>
  <c r="Y42" i="1"/>
  <c r="O15" i="1"/>
  <c r="AA15" i="1" s="1"/>
  <c r="AB15" i="1" s="1"/>
  <c r="Z20" i="1"/>
  <c r="Y25" i="1"/>
  <c r="Y34" i="1" s="1"/>
  <c r="F37" i="1"/>
  <c r="C51" i="1"/>
  <c r="U20" i="1"/>
  <c r="U25" i="1" s="1"/>
  <c r="U34" i="1" s="1"/>
  <c r="U36" i="1" s="1"/>
  <c r="R47" i="1" s="1"/>
  <c r="S47" i="1" s="1"/>
  <c r="R15" i="1"/>
  <c r="O17" i="1"/>
  <c r="AA17" i="1" s="1"/>
  <c r="C34" i="1"/>
  <c r="C36" i="1" s="1"/>
  <c r="G45" i="1"/>
  <c r="R17" i="1"/>
  <c r="D43" i="1"/>
  <c r="Y33" i="1"/>
  <c r="Y36" i="1" s="1"/>
  <c r="X45" i="1"/>
  <c r="X50" i="1" s="1"/>
  <c r="Z24" i="1"/>
  <c r="Z25" i="1" s="1"/>
  <c r="Z34" i="1" s="1"/>
  <c r="Y43" i="1"/>
  <c r="F45" i="1"/>
  <c r="P63" i="1"/>
  <c r="D42" i="1"/>
  <c r="D46" i="1" s="1"/>
  <c r="D50" i="1" s="1"/>
  <c r="D25" i="1"/>
  <c r="D34" i="1" s="1"/>
  <c r="D36" i="1" s="1"/>
  <c r="P64" i="1"/>
  <c r="F76" i="1" s="1"/>
  <c r="D33" i="1"/>
  <c r="O65" i="1"/>
  <c r="P65" i="1" s="1"/>
  <c r="O18" i="1" l="1"/>
  <c r="Y50" i="1"/>
  <c r="O16" i="1"/>
  <c r="AA16" i="1" s="1"/>
  <c r="AB16" i="1" s="1"/>
  <c r="E25" i="1"/>
  <c r="E34" i="1" s="1"/>
  <c r="E36" i="1" s="1"/>
  <c r="E33" i="1"/>
  <c r="E43" i="1"/>
  <c r="S15" i="1"/>
  <c r="G37" i="1"/>
  <c r="H37" i="1" s="1"/>
  <c r="I37" i="1" s="1"/>
  <c r="J37" i="1" s="1"/>
  <c r="K37" i="1" s="1"/>
  <c r="L37" i="1" s="1"/>
  <c r="M37" i="1" s="1"/>
  <c r="N37" i="1" s="1"/>
  <c r="E42" i="1"/>
  <c r="G76" i="1"/>
  <c r="H76" i="1"/>
  <c r="F77" i="1"/>
  <c r="G77" i="1" s="1"/>
  <c r="S17" i="1"/>
  <c r="H45" i="1"/>
  <c r="AA22" i="1"/>
  <c r="R16" i="1"/>
  <c r="D51" i="1"/>
  <c r="Z36" i="1"/>
  <c r="Z37" i="1" s="1"/>
  <c r="R18" i="1"/>
  <c r="F42" i="1"/>
  <c r="F25" i="1"/>
  <c r="F34" i="1" s="1"/>
  <c r="F36" i="1" s="1"/>
  <c r="S18" i="1" l="1"/>
  <c r="P42" i="1"/>
  <c r="AA18" i="1"/>
  <c r="AB18" i="1" s="1"/>
  <c r="P20" i="1"/>
  <c r="AA20" i="1" s="1"/>
  <c r="AB20" i="1" s="1"/>
  <c r="I45" i="1"/>
  <c r="E46" i="1"/>
  <c r="E50" i="1" s="1"/>
  <c r="G42" i="1"/>
  <c r="F33" i="1"/>
  <c r="S16" i="1"/>
  <c r="S42" i="1" s="1"/>
  <c r="I76" i="1"/>
  <c r="H77" i="1"/>
  <c r="I77" i="1" s="1"/>
  <c r="R37" i="1"/>
  <c r="F43" i="1"/>
  <c r="F46" i="1" s="1"/>
  <c r="F50" i="1" s="1"/>
  <c r="G25" i="1"/>
  <c r="O37" i="1"/>
  <c r="P48" i="1" s="1"/>
  <c r="S20" i="1" l="1"/>
  <c r="F51" i="1"/>
  <c r="G34" i="1"/>
  <c r="G36" i="1" s="1"/>
  <c r="R42" i="1"/>
  <c r="T20" i="1"/>
  <c r="H42" i="1"/>
  <c r="H25" i="1"/>
  <c r="H34" i="1" s="1"/>
  <c r="H36" i="1" s="1"/>
  <c r="J45" i="1"/>
  <c r="S37" i="1"/>
  <c r="S48" i="1" s="1"/>
  <c r="R48" i="1"/>
  <c r="G43" i="1"/>
  <c r="G46" i="1" s="1"/>
  <c r="G50" i="1" s="1"/>
  <c r="G33" i="1"/>
  <c r="E51" i="1"/>
  <c r="G51" i="1" l="1"/>
  <c r="H43" i="1"/>
  <c r="H46" i="1" s="1"/>
  <c r="H50" i="1" s="1"/>
  <c r="K45" i="1"/>
  <c r="H33" i="1"/>
  <c r="R27" i="1"/>
  <c r="I42" i="1"/>
  <c r="I25" i="1"/>
  <c r="I34" i="1" s="1"/>
  <c r="I36" i="1" s="1"/>
  <c r="H51" i="1" l="1"/>
  <c r="J42" i="1"/>
  <c r="I33" i="1"/>
  <c r="L45" i="1"/>
  <c r="J25" i="1"/>
  <c r="J34" i="1" s="1"/>
  <c r="J36" i="1" s="1"/>
  <c r="I43" i="1"/>
  <c r="I46" i="1"/>
  <c r="I50" i="1" s="1"/>
  <c r="K42" i="1" l="1"/>
  <c r="R14" i="1"/>
  <c r="S45" i="1"/>
  <c r="S33" i="1"/>
  <c r="T33" i="1"/>
  <c r="R45" i="1"/>
  <c r="J43" i="1"/>
  <c r="J46" i="1" s="1"/>
  <c r="J50" i="1" s="1"/>
  <c r="R23" i="1"/>
  <c r="M45" i="1"/>
  <c r="O27" i="1"/>
  <c r="J33" i="1"/>
  <c r="I51" i="1"/>
  <c r="J51" i="1" l="1"/>
  <c r="O45" i="1"/>
  <c r="K43" i="1"/>
  <c r="K46" i="1" s="1"/>
  <c r="K50" i="1" s="1"/>
  <c r="K25" i="1"/>
  <c r="S23" i="1"/>
  <c r="K33" i="1"/>
  <c r="R33" i="1" s="1"/>
  <c r="R28" i="1"/>
  <c r="N45" i="1"/>
  <c r="L42" i="1"/>
  <c r="L25" i="1"/>
  <c r="L34" i="1" s="1"/>
  <c r="L36" i="1" s="1"/>
  <c r="T24" i="1" l="1"/>
  <c r="T25" i="1" s="1"/>
  <c r="T34" i="1" s="1"/>
  <c r="T36" i="1" s="1"/>
  <c r="R43" i="1"/>
  <c r="M42" i="1"/>
  <c r="M25" i="1"/>
  <c r="M34" i="1" s="1"/>
  <c r="M36" i="1" s="1"/>
  <c r="K34" i="1"/>
  <c r="K36" i="1" s="1"/>
  <c r="R25" i="1"/>
  <c r="R34" i="1" s="1"/>
  <c r="R36" i="1" s="1"/>
  <c r="P45" i="1"/>
  <c r="P33" i="1"/>
  <c r="AA27" i="1"/>
  <c r="K51" i="1"/>
  <c r="O51" i="1" s="1"/>
  <c r="L33" i="1"/>
  <c r="L43" i="1"/>
  <c r="L46" i="1" s="1"/>
  <c r="L50" i="1" s="1"/>
  <c r="S24" i="1"/>
  <c r="S25" i="1" s="1"/>
  <c r="S34" i="1" s="1"/>
  <c r="S36" i="1" s="1"/>
  <c r="S43" i="1"/>
  <c r="S46" i="1" l="1"/>
  <c r="S50" i="1"/>
  <c r="E71" i="1" s="1"/>
  <c r="E72" i="1" s="1"/>
  <c r="M33" i="1"/>
  <c r="AA33" i="1"/>
  <c r="AB27" i="1"/>
  <c r="R46" i="1"/>
  <c r="R50" i="1"/>
  <c r="M43" i="1"/>
  <c r="M46" i="1" s="1"/>
  <c r="M50" i="1" s="1"/>
  <c r="N25" i="1"/>
  <c r="N42" i="1"/>
  <c r="O14" i="1"/>
  <c r="O42" i="1" s="1"/>
  <c r="N34" i="1" l="1"/>
  <c r="N36" i="1" s="1"/>
  <c r="O25" i="1"/>
  <c r="AB33" i="1"/>
  <c r="N43" i="1"/>
  <c r="N46" i="1" s="1"/>
  <c r="N50" i="1" s="1"/>
  <c r="O23" i="1"/>
  <c r="F71" i="1"/>
  <c r="H71" i="1"/>
  <c r="O28" i="1"/>
  <c r="N33" i="1"/>
  <c r="O33" i="1" s="1"/>
  <c r="I71" i="1" l="1"/>
  <c r="H72" i="1"/>
  <c r="I72" i="1" s="1"/>
  <c r="O34" i="1"/>
  <c r="O36" i="1" s="1"/>
  <c r="G71" i="1"/>
  <c r="F72" i="1"/>
  <c r="G72" i="1" s="1"/>
  <c r="O43" i="1"/>
  <c r="O46" i="1" s="1"/>
  <c r="O50" i="1" s="1"/>
  <c r="AA23" i="1" l="1"/>
  <c r="AB23" i="1" s="1"/>
  <c r="P43" i="1"/>
  <c r="P46" i="1" s="1"/>
  <c r="P24" i="1"/>
  <c r="C71" i="1"/>
  <c r="C72" i="1" s="1"/>
  <c r="P50" i="1" l="1"/>
  <c r="C54" i="1" s="1"/>
  <c r="J54" i="1"/>
  <c r="H54" i="1"/>
  <c r="E54" i="1"/>
  <c r="L54" i="1"/>
  <c r="F54" i="1"/>
  <c r="N54" i="1"/>
  <c r="I54" i="1"/>
  <c r="D54" i="1"/>
  <c r="P25" i="1"/>
  <c r="AA24" i="1"/>
  <c r="AB24" i="1" s="1"/>
  <c r="K54" i="1"/>
  <c r="G54" i="1"/>
  <c r="H6" i="2" l="1"/>
  <c r="H7" i="2" s="1"/>
  <c r="L6" i="2"/>
  <c r="L7" i="2" s="1"/>
  <c r="M6" i="2"/>
  <c r="M7" i="2" s="1"/>
  <c r="I56" i="1"/>
  <c r="K6" i="2"/>
  <c r="K7" i="2" s="1"/>
  <c r="G6" i="2"/>
  <c r="G7" i="2" s="1"/>
  <c r="P6" i="2"/>
  <c r="J6" i="2"/>
  <c r="J7" i="2" s="1"/>
  <c r="I6" i="2"/>
  <c r="I7" i="2" s="1"/>
  <c r="D56" i="1"/>
  <c r="F6" i="2"/>
  <c r="F7" i="2" s="1"/>
  <c r="N6" i="2"/>
  <c r="C56" i="1"/>
  <c r="E6" i="2"/>
  <c r="E7" i="2" s="1"/>
  <c r="M54" i="1"/>
  <c r="D71" i="1"/>
  <c r="D72" i="1" s="1"/>
  <c r="K56" i="1"/>
  <c r="F56" i="1"/>
  <c r="E56" i="1"/>
  <c r="N57" i="1"/>
  <c r="G56" i="1"/>
  <c r="L57" i="1"/>
  <c r="M57" i="1"/>
  <c r="O54" i="1"/>
  <c r="AA25" i="1"/>
  <c r="P34" i="1"/>
  <c r="P36" i="1" s="1"/>
  <c r="M10" i="2" l="1"/>
  <c r="J10" i="2"/>
  <c r="K10" i="2"/>
  <c r="O6" i="2"/>
  <c r="C6" i="2" s="1"/>
  <c r="F10" i="2"/>
  <c r="I10" i="2"/>
  <c r="G10" i="2"/>
  <c r="L10" i="2"/>
  <c r="J56" i="1"/>
  <c r="E10" i="2"/>
  <c r="H56" i="1"/>
  <c r="C7" i="2"/>
  <c r="O10" i="2"/>
  <c r="H10" i="2"/>
  <c r="O57" i="1"/>
  <c r="P57" i="1" s="1"/>
  <c r="O56" i="1"/>
  <c r="P56" i="1" s="1"/>
  <c r="AA34" i="1"/>
  <c r="AB34" i="1" s="1"/>
  <c r="AB25" i="1"/>
  <c r="AA36" i="1"/>
  <c r="AB36" i="1" s="1"/>
  <c r="E11" i="2" l="1"/>
  <c r="E23" i="2"/>
  <c r="L11" i="2"/>
  <c r="L23" i="2"/>
  <c r="L24" i="2" s="1"/>
  <c r="G11" i="2"/>
  <c r="G23" i="2"/>
  <c r="G24" i="2" s="1"/>
  <c r="K11" i="2"/>
  <c r="K23" i="2"/>
  <c r="K24" i="2" s="1"/>
  <c r="H11" i="2"/>
  <c r="H23" i="2"/>
  <c r="H24" i="2" s="1"/>
  <c r="I11" i="2"/>
  <c r="I23" i="2"/>
  <c r="I24" i="2" s="1"/>
  <c r="J11" i="2"/>
  <c r="J23" i="2"/>
  <c r="F11" i="2"/>
  <c r="F23" i="2"/>
  <c r="F24" i="2" s="1"/>
  <c r="M11" i="2"/>
  <c r="M23" i="2"/>
  <c r="M24" i="2" s="1"/>
  <c r="N10" i="2"/>
  <c r="O55" i="1"/>
  <c r="P55" i="1" s="1"/>
  <c r="C10" i="2"/>
  <c r="J24" i="2"/>
  <c r="C23" i="2" l="1"/>
  <c r="C24" i="2" s="1"/>
  <c r="K25" i="2"/>
  <c r="M25" i="2"/>
  <c r="L25" i="2"/>
  <c r="J25" i="2"/>
  <c r="G25" i="2"/>
  <c r="I25" i="2"/>
  <c r="H25" i="2"/>
  <c r="F25" i="2"/>
  <c r="E24" i="2"/>
  <c r="C11" i="2"/>
  <c r="E25" i="2" l="1"/>
  <c r="C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Olaniyan, Elozino E SPDC-UIO/G/D</author>
    <author>Olaniyan, Elozino E SPDC-UPO/G/GP</author>
  </authors>
  <commentList>
    <comment ref="J16" authorId="0" shapeId="0" xr:uid="{5617051F-CD24-451C-A73A-F7331EC36A43}">
      <text>
        <r>
          <rPr>
            <b/>
            <sz val="9"/>
            <color indexed="81"/>
            <rFont val="Tahoma"/>
            <family val="2"/>
          </rPr>
          <t>Olaniyan, Elozino E SPDC-UIO/G/D:</t>
        </r>
        <r>
          <rPr>
            <sz val="9"/>
            <color indexed="81"/>
            <rFont val="Tahoma"/>
            <family val="2"/>
          </rPr>
          <t xml:space="preserve">
assumes afam plant
 comes up. Risked from 2017</t>
        </r>
      </text>
    </comment>
    <comment ref="B30" authorId="1" shapeId="0" xr:uid="{730CD51D-83F7-4F77-844F-7E9F8E5ECC13}">
      <text>
        <r>
          <rPr>
            <b/>
            <sz val="9"/>
            <color indexed="81"/>
            <rFont val="Tahoma"/>
            <family val="2"/>
          </rPr>
          <t>Olaniyan, Elozino E SPDC-UPO/G/GP:</t>
        </r>
        <r>
          <rPr>
            <sz val="9"/>
            <color indexed="81"/>
            <rFont val="Tahoma"/>
            <family val="2"/>
          </rPr>
          <t xml:space="preserve">
halved NAG delivery for 2019
</t>
        </r>
      </text>
    </comment>
  </commentList>
</comments>
</file>

<file path=xl/sharedStrings.xml><?xml version="1.0" encoding="utf-8"?>
<sst xmlns="http://schemas.openxmlformats.org/spreadsheetml/2006/main" count="120" uniqueCount="95">
  <si>
    <t>Land</t>
  </si>
  <si>
    <t>9-mths AVG</t>
  </si>
  <si>
    <t>9-Mths Revenue</t>
  </si>
  <si>
    <t>Collection (s)</t>
  </si>
  <si>
    <t>Remarks</t>
  </si>
  <si>
    <t>2018 AVG base</t>
  </si>
  <si>
    <t>2018 Revenue-Plan ($)</t>
  </si>
  <si>
    <t>2018 Revenue-Actual</t>
  </si>
  <si>
    <t>Growth</t>
  </si>
  <si>
    <t>%</t>
  </si>
  <si>
    <t>Aba Supply System</t>
  </si>
  <si>
    <t>International Glass Industry</t>
  </si>
  <si>
    <t>Nigerian Breweries</t>
  </si>
  <si>
    <t>PZ - Associated Industries LTD</t>
  </si>
  <si>
    <t>9-months collection in line with invoicing cycle</t>
  </si>
  <si>
    <t>SNG - Aba</t>
  </si>
  <si>
    <t>IA Trans-Amadi System</t>
  </si>
  <si>
    <t>SNG-PHC (includes PHAF)</t>
  </si>
  <si>
    <t>NGC  (Obigbo M/F) System</t>
  </si>
  <si>
    <t>Afam V Power (NGC -PHCN AFAM/ Televeras)</t>
  </si>
  <si>
    <t>Assumed 85% of 9-months collections based on 2018 payment performance</t>
  </si>
  <si>
    <t>Afam VI</t>
  </si>
  <si>
    <t>NGMC - Genesis Utilities</t>
  </si>
  <si>
    <t>First Independent Power Limited (RVSG MOP IPP)</t>
  </si>
  <si>
    <t>Assumed 85% of 9-months  collections based on 2018 payment performance</t>
  </si>
  <si>
    <t>ALAOJI NIPP</t>
  </si>
  <si>
    <t>Central Horizon Gas Company (merged)</t>
  </si>
  <si>
    <t>Geometric Power</t>
  </si>
  <si>
    <t>Total Land</t>
  </si>
  <si>
    <t>Gbaran Node</t>
  </si>
  <si>
    <t>BYSG MENR</t>
  </si>
  <si>
    <t>Gbaran IPP (NDPHC Gbarain)</t>
  </si>
  <si>
    <t xml:space="preserve">Total Central </t>
  </si>
  <si>
    <t>Total Demand (DOMGAS EAST)</t>
  </si>
  <si>
    <t>Other  Nodes</t>
  </si>
  <si>
    <t>Otumara (WEST)</t>
  </si>
  <si>
    <t>GIGAGAS (Omotosho &amp; AES) / Bonga</t>
  </si>
  <si>
    <t>GIGAGAS (Omotosho &amp; AES) /EA</t>
  </si>
  <si>
    <t>SNG WEST (modified from jul30 forecast)</t>
  </si>
  <si>
    <t>WAPSILA</t>
  </si>
  <si>
    <t>OANDO</t>
  </si>
  <si>
    <t>Total West</t>
  </si>
  <si>
    <t>Total  Demand (SCiN  TOTAL)</t>
  </si>
  <si>
    <t>Total Demand (JVTOTAL)</t>
  </si>
  <si>
    <t>First Independent Power Limited (RVSG MOP T/A Transmission)</t>
  </si>
  <si>
    <t>%Perf.</t>
  </si>
  <si>
    <t>Revenue ($)</t>
  </si>
  <si>
    <t>Due Revenue</t>
  </si>
  <si>
    <t>Revenue-Plan  ($)</t>
  </si>
  <si>
    <t>Revenue- Actual  ($)</t>
  </si>
  <si>
    <t>EAST</t>
  </si>
  <si>
    <t>GBARAN</t>
  </si>
  <si>
    <t>WEST-FYIP</t>
  </si>
  <si>
    <t>WEST-Otumara</t>
  </si>
  <si>
    <t>Sub-Total</t>
  </si>
  <si>
    <t>12-mths Sales MMscf/d (excl Afam VI)</t>
  </si>
  <si>
    <t>9-mths Sales MMscf/d (excl Afam VI)</t>
  </si>
  <si>
    <t>Total ($)</t>
  </si>
  <si>
    <t>Monthly Revenue Target</t>
  </si>
  <si>
    <t>Monthly Collections Target</t>
  </si>
  <si>
    <t>Shortfall</t>
  </si>
  <si>
    <t>Invoices not due</t>
  </si>
  <si>
    <t>Total</t>
  </si>
  <si>
    <t>Power Generation -  Net Dependable Capacity (MWh)</t>
  </si>
  <si>
    <t>-Net Energy Generation (MWh)</t>
  </si>
  <si>
    <t>Revenue ($mln) Plan</t>
  </si>
  <si>
    <t>Revenue ($mln) FYLE</t>
  </si>
  <si>
    <t>Collection Plan</t>
  </si>
  <si>
    <t>Shell Share: Revenue</t>
  </si>
  <si>
    <t>Shell Share: Collection</t>
  </si>
  <si>
    <t>SUMMARY</t>
  </si>
  <si>
    <t>2019 Sales Target (excl. Afam VI)</t>
  </si>
  <si>
    <t>Total Estimated 2019 Revenue</t>
  </si>
  <si>
    <t>Total Due Revenue</t>
  </si>
  <si>
    <t>Estimated Collections (2019+ Dec 2018)</t>
  </si>
  <si>
    <t>Overall Perf</t>
  </si>
  <si>
    <t xml:space="preserve">SPDC JV Gas 100% </t>
  </si>
  <si>
    <t>Shell Share</t>
  </si>
  <si>
    <t>2020 MONTHLY FORECAST + MA</t>
  </si>
  <si>
    <t>2020 AVG</t>
  </si>
  <si>
    <t>Total Estimated 2020 Collections</t>
  </si>
  <si>
    <t>Total Estimated 2020 Collections Performance (%)</t>
  </si>
  <si>
    <t>Estimated Collections (2020+ Dec 2019)</t>
  </si>
  <si>
    <t>Estimated Collections (2020 + Dec 2019)</t>
  </si>
  <si>
    <t>Total Estimated 2020 Revenue</t>
  </si>
  <si>
    <t>2020 Revenue -Plan ($)</t>
  </si>
  <si>
    <t>Revenue -Plan ($)</t>
  </si>
  <si>
    <t>Collections -Plan ($)</t>
  </si>
  <si>
    <t>Power Plan</t>
  </si>
  <si>
    <t>Total Collection Plan</t>
  </si>
  <si>
    <t>Wave</t>
  </si>
  <si>
    <t>2020 DomGas Sales</t>
  </si>
  <si>
    <t>MANAGEMENT OF RECEIVABLES IN RESPECT OF 2020 GAS AND POWER INVOICES
- FEB 2018</t>
  </si>
  <si>
    <t>2020 DomGas Sales Collections Target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</si>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</sst>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[$-409]mmm\-yy;@"/>
    <numFmt numFmtId="165" formatCode="#,##0.0"/>
    <numFmt numFmtId="166" formatCode="_(* #,##0_);_(* \(#,##0\);_(* &quot;-&quot;??_);_(@_)"/>
    <numFmt numFmtId="167" formatCode="_(* #,##0.0_);_(* \(#,##0.0\);_(* &quot;-&quot;??_);_(@_)"/>
    <numFmt numFmtId="168" formatCode="0.0%"/>
    <numFmt numFmtId="169" formatCode="_-* #,##0_-;\-* #,##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name val="Futura Medium"/>
    </font>
    <font>
      <b/>
      <sz val="10"/>
      <name val="Futura Medium"/>
    </font>
    <font>
      <b/>
      <sz val="10"/>
      <color theme="1"/>
      <name val="Futura Medium"/>
    </font>
    <font>
      <b/>
      <sz val="11"/>
      <color theme="1"/>
      <name val="Futura Medium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0"/>
      <color indexed="10"/>
      <name val="Futura Medium"/>
    </font>
    <font>
      <sz val="10"/>
      <name val="Futura Medium"/>
    </font>
    <font>
      <sz val="11"/>
      <color theme="1"/>
      <name val="Futura Medium"/>
    </font>
    <font>
      <sz val="11"/>
      <color theme="1"/>
      <name val="Cambria"/>
      <family val="1"/>
    </font>
    <font>
      <sz val="10"/>
      <color rgb="FFFF0000"/>
      <name val="Futura Medium"/>
    </font>
    <font>
      <sz val="11"/>
      <color rgb="FFFF0000"/>
      <name val="Futura Medium"/>
    </font>
    <font>
      <b/>
      <sz val="12"/>
      <name val="Futura Medium"/>
    </font>
    <font>
      <sz val="12"/>
      <color theme="1"/>
      <name val="Calibri"/>
      <family val="2"/>
      <scheme val="minor"/>
    </font>
    <font>
      <sz val="8"/>
      <name val="Tahoma"/>
      <family val="2"/>
    </font>
    <font>
      <sz val="10"/>
      <color theme="1"/>
      <name val="Times New Roman"/>
      <family val="1"/>
    </font>
    <font>
      <b/>
      <sz val="11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b/>
      <sz val="12"/>
      <color theme="1"/>
      <name val="Futura Medium"/>
    </font>
    <font>
      <sz val="10"/>
      <color theme="1"/>
      <name val="Tahoma"/>
      <family val="2"/>
    </font>
    <font>
      <b/>
      <sz val="10"/>
      <name val="Tahoma"/>
      <family val="2"/>
    </font>
    <font>
      <b/>
      <sz val="10"/>
      <color rgb="FFC00000"/>
      <name val="Tahoma"/>
      <family val="2"/>
    </font>
    <font>
      <sz val="10"/>
      <color theme="1"/>
      <name val="Futura Medium"/>
    </font>
    <font>
      <sz val="10"/>
      <color rgb="FFC00000"/>
      <name val="Tahoma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Futura Medium"/>
    </font>
    <font>
      <sz val="12"/>
      <color rgb="FFFF0000"/>
      <name val="Futura Medium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Futura Medium"/>
    </font>
    <font>
      <sz val="12"/>
      <color theme="0"/>
      <name val="Futura Medium"/>
    </font>
    <font>
      <b/>
      <sz val="11"/>
      <color rgb="FFFF0000"/>
      <name val="Futura Medium"/>
    </font>
    <font>
      <b/>
      <sz val="11"/>
      <color rgb="FF000000"/>
      <name val="Futura Medium"/>
    </font>
    <font>
      <sz val="11"/>
      <color rgb="FF000000"/>
      <name val="Futura Medium"/>
    </font>
    <font>
      <b/>
      <sz val="12"/>
      <color rgb="FF000000"/>
      <name val="Futura Medium"/>
    </font>
    <font>
      <b/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538DD5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theme="3" tint="0.399945066682943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538DD5"/>
      </left>
      <right style="medium">
        <color indexed="64"/>
      </right>
      <top/>
      <bottom style="dotted">
        <color rgb="FF538DD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tted">
        <color theme="3" tint="0.39994506668294322"/>
      </top>
      <bottom style="dotted">
        <color theme="3" tint="0.399945066682943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538DD5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theme="3" tint="0.39994506668294322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theme="3" tint="0.3999450666829432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tted">
        <color theme="3" tint="0.399945066682943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538DD5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538DD5"/>
      </left>
      <right/>
      <top/>
      <bottom style="dotted">
        <color rgb="FF538DD5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3" tint="0.39994506668294322"/>
      </right>
      <top/>
      <bottom style="medium">
        <color indexed="64"/>
      </bottom>
      <diagonal/>
    </border>
    <border>
      <left/>
      <right style="thin">
        <color theme="3" tint="0.39994506668294322"/>
      </right>
      <top style="medium">
        <color indexed="64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indexed="64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538DD5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517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2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/>
    <xf numFmtId="9" fontId="0" fillId="0" borderId="1" xfId="2" applyFont="1" applyBorder="1"/>
    <xf numFmtId="17" fontId="5" fillId="3" borderId="4" xfId="3" applyNumberFormat="1" applyFont="1" applyFill="1" applyBorder="1" applyAlignment="1">
      <alignment horizontal="left" vertical="center"/>
    </xf>
    <xf numFmtId="17" fontId="6" fillId="3" borderId="4" xfId="3" applyNumberFormat="1" applyFont="1" applyFill="1" applyBorder="1" applyAlignment="1">
      <alignment horizontal="center" vertical="center"/>
    </xf>
    <xf numFmtId="17" fontId="6" fillId="3" borderId="6" xfId="3" applyNumberFormat="1" applyFont="1" applyFill="1" applyBorder="1" applyAlignment="1">
      <alignment horizontal="center" vertical="center"/>
    </xf>
    <xf numFmtId="0" fontId="6" fillId="0" borderId="7" xfId="3" applyFont="1" applyBorder="1" applyAlignment="1">
      <alignment horizontal="center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7" fillId="4" borderId="9" xfId="0" applyNumberFormat="1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164" fontId="8" fillId="4" borderId="11" xfId="0" applyNumberFormat="1" applyFont="1" applyFill="1" applyBorder="1" applyAlignment="1">
      <alignment horizontal="center" vertical="center"/>
    </xf>
    <xf numFmtId="164" fontId="8" fillId="4" borderId="12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164" fontId="8" fillId="5" borderId="14" xfId="0" applyNumberFormat="1" applyFont="1" applyFill="1" applyBorder="1" applyAlignment="1">
      <alignment horizontal="center" vertical="center"/>
    </xf>
    <xf numFmtId="0" fontId="6" fillId="6" borderId="15" xfId="3" applyFont="1" applyFill="1" applyBorder="1" applyAlignment="1">
      <alignment horizontal="left" vertical="center"/>
    </xf>
    <xf numFmtId="0" fontId="6" fillId="0" borderId="13" xfId="3" applyFont="1" applyBorder="1" applyAlignment="1">
      <alignment horizontal="center" vertical="center"/>
    </xf>
    <xf numFmtId="0" fontId="6" fillId="0" borderId="16" xfId="3" applyFont="1" applyBorder="1" applyAlignment="1">
      <alignment horizontal="center" vertical="center"/>
    </xf>
    <xf numFmtId="0" fontId="6" fillId="0" borderId="14" xfId="3" applyFont="1" applyBorder="1" applyAlignment="1">
      <alignment horizontal="center" vertical="center"/>
    </xf>
    <xf numFmtId="0" fontId="6" fillId="0" borderId="17" xfId="3" applyFont="1" applyFill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9" fillId="0" borderId="18" xfId="0" applyNumberFormat="1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0" fillId="0" borderId="21" xfId="0" applyFont="1" applyBorder="1" applyAlignment="1">
      <alignment horizontal="center" vertical="center"/>
    </xf>
    <xf numFmtId="0" fontId="0" fillId="0" borderId="22" xfId="0" applyBorder="1"/>
    <xf numFmtId="0" fontId="0" fillId="5" borderId="23" xfId="0" applyFill="1" applyBorder="1"/>
    <xf numFmtId="0" fontId="0" fillId="5" borderId="24" xfId="0" applyFill="1" applyBorder="1"/>
    <xf numFmtId="0" fontId="11" fillId="6" borderId="25" xfId="3" applyFont="1" applyFill="1" applyBorder="1" applyAlignment="1">
      <alignment horizontal="left" vertical="center" indent="1"/>
    </xf>
    <xf numFmtId="165" fontId="12" fillId="7" borderId="26" xfId="3" applyNumberFormat="1" applyFont="1" applyFill="1" applyBorder="1" applyAlignment="1">
      <alignment horizontal="center" vertical="center"/>
    </xf>
    <xf numFmtId="165" fontId="12" fillId="7" borderId="27" xfId="3" applyNumberFormat="1" applyFont="1" applyFill="1" applyBorder="1" applyAlignment="1">
      <alignment horizontal="center" vertical="center"/>
    </xf>
    <xf numFmtId="165" fontId="12" fillId="7" borderId="28" xfId="3" applyNumberFormat="1" applyFont="1" applyFill="1" applyBorder="1" applyAlignment="1">
      <alignment horizontal="center" vertical="center"/>
    </xf>
    <xf numFmtId="165" fontId="12" fillId="8" borderId="29" xfId="3" applyNumberFormat="1" applyFont="1" applyFill="1" applyBorder="1" applyAlignment="1">
      <alignment horizontal="center" vertical="center"/>
    </xf>
    <xf numFmtId="166" fontId="13" fillId="0" borderId="0" xfId="1" applyNumberFormat="1" applyFont="1" applyFill="1" applyBorder="1" applyAlignment="1">
      <alignment horizontal="right"/>
    </xf>
    <xf numFmtId="165" fontId="12" fillId="8" borderId="18" xfId="3" applyNumberFormat="1" applyFont="1" applyFill="1" applyBorder="1" applyAlignment="1">
      <alignment horizontal="center" vertical="center"/>
    </xf>
    <xf numFmtId="166" fontId="13" fillId="2" borderId="30" xfId="1" applyNumberFormat="1" applyFont="1" applyFill="1" applyBorder="1" applyAlignment="1">
      <alignment horizontal="right"/>
    </xf>
    <xf numFmtId="166" fontId="13" fillId="9" borderId="31" xfId="1" applyNumberFormat="1" applyFont="1" applyFill="1" applyBorder="1"/>
    <xf numFmtId="166" fontId="13" fillId="9" borderId="3" xfId="1" applyNumberFormat="1" applyFont="1" applyFill="1" applyBorder="1"/>
    <xf numFmtId="9" fontId="0" fillId="0" borderId="1" xfId="2" applyNumberFormat="1" applyFont="1" applyBorder="1"/>
    <xf numFmtId="0" fontId="13" fillId="10" borderId="21" xfId="0" applyFont="1" applyFill="1" applyBorder="1" applyAlignment="1">
      <alignment horizontal="center" vertical="center"/>
    </xf>
    <xf numFmtId="43" fontId="13" fillId="2" borderId="31" xfId="1" applyFont="1" applyFill="1" applyBorder="1" applyAlignment="1">
      <alignment horizontal="center" vertical="center"/>
    </xf>
    <xf numFmtId="0" fontId="0" fillId="5" borderId="13" xfId="0" applyFill="1" applyBorder="1"/>
    <xf numFmtId="0" fontId="0" fillId="5" borderId="14" xfId="0" applyFill="1" applyBorder="1"/>
    <xf numFmtId="166" fontId="13" fillId="2" borderId="18" xfId="1" applyNumberFormat="1" applyFont="1" applyFill="1" applyBorder="1" applyAlignment="1">
      <alignment horizontal="right"/>
    </xf>
    <xf numFmtId="166" fontId="13" fillId="2" borderId="32" xfId="1" applyNumberFormat="1" applyFont="1" applyFill="1" applyBorder="1" applyAlignment="1">
      <alignment horizontal="right"/>
    </xf>
    <xf numFmtId="166" fontId="13" fillId="9" borderId="33" xfId="1" applyNumberFormat="1" applyFont="1" applyFill="1" applyBorder="1"/>
    <xf numFmtId="166" fontId="13" fillId="9" borderId="34" xfId="1" applyNumberFormat="1" applyFont="1" applyFill="1" applyBorder="1"/>
    <xf numFmtId="43" fontId="13" fillId="2" borderId="33" xfId="1" applyFont="1" applyFill="1" applyBorder="1"/>
    <xf numFmtId="166" fontId="13" fillId="2" borderId="33" xfId="1" applyNumberFormat="1" applyFont="1" applyFill="1" applyBorder="1"/>
    <xf numFmtId="43" fontId="0" fillId="5" borderId="26" xfId="0" applyNumberFormat="1" applyFill="1" applyBorder="1"/>
    <xf numFmtId="9" fontId="0" fillId="5" borderId="28" xfId="2" applyFont="1" applyFill="1" applyBorder="1"/>
    <xf numFmtId="166" fontId="13" fillId="9" borderId="34" xfId="1" applyNumberFormat="1" applyFont="1" applyFill="1" applyBorder="1" applyAlignment="1">
      <alignment wrapText="1"/>
    </xf>
    <xf numFmtId="0" fontId="13" fillId="10" borderId="35" xfId="0" applyFont="1" applyFill="1" applyBorder="1" applyAlignment="1">
      <alignment horizontal="center" vertical="center"/>
    </xf>
    <xf numFmtId="0" fontId="6" fillId="6" borderId="25" xfId="3" applyFont="1" applyFill="1" applyBorder="1" applyAlignment="1">
      <alignment vertical="center"/>
    </xf>
    <xf numFmtId="9" fontId="12" fillId="11" borderId="26" xfId="2" applyFont="1" applyFill="1" applyBorder="1" applyAlignment="1">
      <alignment horizontal="center" vertical="center"/>
    </xf>
    <xf numFmtId="9" fontId="12" fillId="11" borderId="27" xfId="2" applyFont="1" applyFill="1" applyBorder="1" applyAlignment="1">
      <alignment horizontal="center" vertical="center"/>
    </xf>
    <xf numFmtId="9" fontId="12" fillId="11" borderId="28" xfId="2" applyFont="1" applyFill="1" applyBorder="1" applyAlignment="1">
      <alignment horizontal="center" vertical="center"/>
    </xf>
    <xf numFmtId="0" fontId="13" fillId="12" borderId="18" xfId="0" applyFont="1" applyFill="1" applyBorder="1" applyAlignment="1">
      <alignment horizontal="right" vertical="center"/>
    </xf>
    <xf numFmtId="0" fontId="13" fillId="12" borderId="32" xfId="0" applyFont="1" applyFill="1" applyBorder="1" applyAlignment="1">
      <alignment horizontal="right" vertical="center"/>
    </xf>
    <xf numFmtId="0" fontId="13" fillId="12" borderId="36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 wrapText="1"/>
    </xf>
    <xf numFmtId="0" fontId="14" fillId="12" borderId="10" xfId="0" applyFont="1" applyFill="1" applyBorder="1" applyAlignment="1">
      <alignment horizontal="center" vertical="center"/>
    </xf>
    <xf numFmtId="0" fontId="13" fillId="12" borderId="33" xfId="0" applyFont="1" applyFill="1" applyBorder="1" applyAlignment="1">
      <alignment horizontal="center" vertical="center"/>
    </xf>
    <xf numFmtId="0" fontId="15" fillId="6" borderId="25" xfId="3" applyFont="1" applyFill="1" applyBorder="1" applyAlignment="1">
      <alignment horizontal="left" vertical="center" indent="1"/>
    </xf>
    <xf numFmtId="165" fontId="6" fillId="11" borderId="26" xfId="3" applyNumberFormat="1" applyFont="1" applyFill="1" applyBorder="1" applyAlignment="1">
      <alignment horizontal="center" vertical="center"/>
    </xf>
    <xf numFmtId="165" fontId="6" fillId="11" borderId="27" xfId="3" applyNumberFormat="1" applyFont="1" applyFill="1" applyBorder="1" applyAlignment="1">
      <alignment horizontal="center" vertical="center"/>
    </xf>
    <xf numFmtId="165" fontId="6" fillId="11" borderId="28" xfId="3" applyNumberFormat="1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12" borderId="32" xfId="0" applyFont="1" applyFill="1" applyBorder="1" applyAlignment="1">
      <alignment horizontal="right" vertical="center"/>
    </xf>
    <xf numFmtId="0" fontId="8" fillId="12" borderId="36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166" fontId="13" fillId="9" borderId="34" xfId="1" applyNumberFormat="1" applyFont="1" applyFill="1" applyBorder="1" applyAlignment="1">
      <alignment horizontal="left" wrapText="1"/>
    </xf>
    <xf numFmtId="0" fontId="13" fillId="9" borderId="33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/>
    </xf>
    <xf numFmtId="0" fontId="15" fillId="6" borderId="37" xfId="3" applyFont="1" applyFill="1" applyBorder="1" applyAlignment="1">
      <alignment horizontal="left" vertical="center" indent="1"/>
    </xf>
    <xf numFmtId="166" fontId="13" fillId="2" borderId="38" xfId="1" applyNumberFormat="1" applyFont="1" applyFill="1" applyBorder="1" applyAlignment="1">
      <alignment horizontal="right"/>
    </xf>
    <xf numFmtId="166" fontId="13" fillId="2" borderId="39" xfId="1" applyNumberFormat="1" applyFont="1" applyFill="1" applyBorder="1" applyAlignment="1">
      <alignment horizontal="right"/>
    </xf>
    <xf numFmtId="166" fontId="13" fillId="9" borderId="40" xfId="1" applyNumberFormat="1" applyFont="1" applyFill="1" applyBorder="1"/>
    <xf numFmtId="43" fontId="13" fillId="2" borderId="41" xfId="1" applyFont="1" applyFill="1" applyBorder="1" applyAlignment="1">
      <alignment horizontal="center" vertical="center"/>
    </xf>
    <xf numFmtId="43" fontId="0" fillId="5" borderId="42" xfId="0" applyNumberFormat="1" applyFill="1" applyBorder="1"/>
    <xf numFmtId="9" fontId="0" fillId="5" borderId="43" xfId="2" applyFont="1" applyFill="1" applyBorder="1"/>
    <xf numFmtId="0" fontId="8" fillId="13" borderId="38" xfId="3" applyFont="1" applyFill="1" applyBorder="1" applyAlignment="1">
      <alignment vertical="center"/>
    </xf>
    <xf numFmtId="9" fontId="7" fillId="13" borderId="23" xfId="2" applyFont="1" applyFill="1" applyBorder="1" applyAlignment="1">
      <alignment horizontal="right" vertical="center"/>
    </xf>
    <xf numFmtId="9" fontId="7" fillId="13" borderId="44" xfId="2" applyFont="1" applyFill="1" applyBorder="1" applyAlignment="1">
      <alignment horizontal="right" vertical="center"/>
    </xf>
    <xf numFmtId="9" fontId="7" fillId="13" borderId="24" xfId="2" applyFont="1" applyFill="1" applyBorder="1" applyAlignment="1">
      <alignment horizontal="right" vertical="center"/>
    </xf>
    <xf numFmtId="165" fontId="7" fillId="8" borderId="45" xfId="2" applyNumberFormat="1" applyFont="1" applyFill="1" applyBorder="1" applyAlignment="1">
      <alignment horizontal="right" vertical="center"/>
    </xf>
    <xf numFmtId="43" fontId="8" fillId="13" borderId="34" xfId="1" applyFont="1" applyFill="1" applyBorder="1" applyAlignment="1">
      <alignment horizontal="right" vertical="center"/>
    </xf>
    <xf numFmtId="43" fontId="8" fillId="0" borderId="0" xfId="1" applyFont="1" applyFill="1" applyBorder="1" applyAlignment="1">
      <alignment horizontal="right" vertical="center"/>
    </xf>
    <xf numFmtId="165" fontId="7" fillId="8" borderId="46" xfId="2" applyNumberFormat="1" applyFont="1" applyFill="1" applyBorder="1" applyAlignment="1">
      <alignment horizontal="right" vertical="center"/>
    </xf>
    <xf numFmtId="43" fontId="8" fillId="13" borderId="1" xfId="1" applyFont="1" applyFill="1" applyBorder="1" applyAlignment="1">
      <alignment horizontal="right" vertical="center"/>
    </xf>
    <xf numFmtId="43" fontId="8" fillId="13" borderId="47" xfId="1" applyFont="1" applyFill="1" applyBorder="1" applyAlignment="1">
      <alignment horizontal="right" vertical="center"/>
    </xf>
    <xf numFmtId="43" fontId="8" fillId="13" borderId="34" xfId="1" applyFont="1" applyFill="1" applyBorder="1" applyAlignment="1">
      <alignment horizontal="right" vertical="center" wrapText="1"/>
    </xf>
    <xf numFmtId="0" fontId="8" fillId="13" borderId="8" xfId="0" applyFont="1" applyFill="1" applyBorder="1" applyAlignment="1">
      <alignment horizontal="center" vertical="center"/>
    </xf>
    <xf numFmtId="43" fontId="8" fillId="13" borderId="12" xfId="1" applyFont="1" applyFill="1" applyBorder="1" applyAlignment="1">
      <alignment horizontal="right" vertical="center"/>
    </xf>
    <xf numFmtId="9" fontId="8" fillId="13" borderId="8" xfId="2" applyFont="1" applyFill="1" applyBorder="1" applyAlignment="1">
      <alignment horizontal="right" vertical="center"/>
    </xf>
    <xf numFmtId="9" fontId="6" fillId="3" borderId="4" xfId="2" applyFont="1" applyFill="1" applyBorder="1" applyAlignment="1">
      <alignment horizontal="left" vertical="center"/>
    </xf>
    <xf numFmtId="9" fontId="6" fillId="3" borderId="4" xfId="2" applyFont="1" applyFill="1" applyBorder="1" applyAlignment="1">
      <alignment horizontal="right" vertical="center"/>
    </xf>
    <xf numFmtId="9" fontId="6" fillId="3" borderId="5" xfId="2" applyFont="1" applyFill="1" applyBorder="1" applyAlignment="1">
      <alignment horizontal="right" vertical="center"/>
    </xf>
    <xf numFmtId="9" fontId="6" fillId="3" borderId="6" xfId="2" applyFont="1" applyFill="1" applyBorder="1" applyAlignment="1">
      <alignment horizontal="right" vertical="center"/>
    </xf>
    <xf numFmtId="165" fontId="6" fillId="8" borderId="7" xfId="2" applyNumberFormat="1" applyFont="1" applyFill="1" applyBorder="1" applyAlignment="1">
      <alignment horizontal="right" vertical="center"/>
    </xf>
    <xf numFmtId="43" fontId="8" fillId="3" borderId="8" xfId="1" applyFont="1" applyFill="1" applyBorder="1" applyAlignment="1">
      <alignment horizontal="right" vertical="center"/>
    </xf>
    <xf numFmtId="165" fontId="6" fillId="8" borderId="8" xfId="2" applyNumberFormat="1" applyFont="1" applyFill="1" applyBorder="1" applyAlignment="1">
      <alignment horizontal="right" vertical="center"/>
    </xf>
    <xf numFmtId="43" fontId="8" fillId="3" borderId="10" xfId="1" applyFont="1" applyFill="1" applyBorder="1" applyAlignment="1">
      <alignment horizontal="right" vertical="center"/>
    </xf>
    <xf numFmtId="43" fontId="8" fillId="3" borderId="48" xfId="1" applyFont="1" applyFill="1" applyBorder="1" applyAlignment="1">
      <alignment horizontal="right" vertical="center"/>
    </xf>
    <xf numFmtId="43" fontId="8" fillId="3" borderId="34" xfId="1" applyFont="1" applyFill="1" applyBorder="1" applyAlignment="1">
      <alignment horizontal="right" vertical="center" wrapText="1"/>
    </xf>
    <xf numFmtId="43" fontId="8" fillId="3" borderId="5" xfId="1" applyFont="1" applyFill="1" applyBorder="1" applyAlignment="1">
      <alignment horizontal="right" vertical="center"/>
    </xf>
    <xf numFmtId="0" fontId="8" fillId="3" borderId="12" xfId="0" applyFont="1" applyFill="1" applyBorder="1" applyAlignment="1">
      <alignment horizontal="right" vertical="center"/>
    </xf>
    <xf numFmtId="0" fontId="15" fillId="6" borderId="49" xfId="3" applyFont="1" applyFill="1" applyBorder="1" applyAlignment="1">
      <alignment horizontal="left" vertical="center" indent="1"/>
    </xf>
    <xf numFmtId="165" fontId="12" fillId="7" borderId="50" xfId="3" applyNumberFormat="1" applyFont="1" applyFill="1" applyBorder="1" applyAlignment="1">
      <alignment horizontal="center" vertical="center"/>
    </xf>
    <xf numFmtId="165" fontId="12" fillId="7" borderId="51" xfId="3" applyNumberFormat="1" applyFont="1" applyFill="1" applyBorder="1" applyAlignment="1">
      <alignment horizontal="center" vertical="center"/>
    </xf>
    <xf numFmtId="165" fontId="12" fillId="7" borderId="52" xfId="3" applyNumberFormat="1" applyFont="1" applyFill="1" applyBorder="1" applyAlignment="1">
      <alignment horizontal="center" vertical="center"/>
    </xf>
    <xf numFmtId="165" fontId="12" fillId="8" borderId="53" xfId="3" applyNumberFormat="1" applyFont="1" applyFill="1" applyBorder="1" applyAlignment="1">
      <alignment horizontal="center" vertical="center"/>
    </xf>
    <xf numFmtId="166" fontId="13" fillId="2" borderId="54" xfId="1" applyNumberFormat="1" applyFont="1" applyFill="1" applyBorder="1" applyAlignment="1">
      <alignment horizontal="right"/>
    </xf>
    <xf numFmtId="165" fontId="12" fillId="8" borderId="54" xfId="3" applyNumberFormat="1" applyFont="1" applyFill="1" applyBorder="1" applyAlignment="1">
      <alignment horizontal="center" vertical="center"/>
    </xf>
    <xf numFmtId="166" fontId="13" fillId="2" borderId="55" xfId="1" applyNumberFormat="1" applyFont="1" applyFill="1" applyBorder="1" applyAlignment="1">
      <alignment horizontal="right"/>
    </xf>
    <xf numFmtId="166" fontId="13" fillId="9" borderId="36" xfId="1" applyNumberFormat="1" applyFont="1" applyFill="1" applyBorder="1"/>
    <xf numFmtId="166" fontId="13" fillId="2" borderId="31" xfId="1" applyNumberFormat="1" applyFont="1" applyFill="1" applyBorder="1"/>
    <xf numFmtId="0" fontId="15" fillId="6" borderId="56" xfId="3" applyFont="1" applyFill="1" applyBorder="1" applyAlignment="1">
      <alignment horizontal="left" vertical="center" indent="1"/>
    </xf>
    <xf numFmtId="165" fontId="12" fillId="7" borderId="42" xfId="3" applyNumberFormat="1" applyFont="1" applyFill="1" applyBorder="1" applyAlignment="1">
      <alignment horizontal="center" vertical="center"/>
    </xf>
    <xf numFmtId="165" fontId="12" fillId="7" borderId="57" xfId="3" applyNumberFormat="1" applyFont="1" applyFill="1" applyBorder="1" applyAlignment="1">
      <alignment horizontal="center" vertical="center"/>
    </xf>
    <xf numFmtId="165" fontId="12" fillId="7" borderId="43" xfId="3" applyNumberFormat="1" applyFont="1" applyFill="1" applyBorder="1" applyAlignment="1">
      <alignment horizontal="center" vertical="center"/>
    </xf>
    <xf numFmtId="165" fontId="12" fillId="8" borderId="58" xfId="3" applyNumberFormat="1" applyFont="1" applyFill="1" applyBorder="1" applyAlignment="1">
      <alignment horizontal="center" vertical="center"/>
    </xf>
    <xf numFmtId="165" fontId="12" fillId="8" borderId="38" xfId="3" applyNumberFormat="1" applyFont="1" applyFill="1" applyBorder="1" applyAlignment="1">
      <alignment horizontal="center" vertical="center"/>
    </xf>
    <xf numFmtId="166" fontId="13" fillId="9" borderId="59" xfId="1" applyNumberFormat="1" applyFont="1" applyFill="1" applyBorder="1"/>
    <xf numFmtId="166" fontId="13" fillId="2" borderId="40" xfId="1" applyNumberFormat="1" applyFont="1" applyFill="1" applyBorder="1"/>
    <xf numFmtId="0" fontId="8" fillId="13" borderId="60" xfId="3" applyFont="1" applyFill="1" applyBorder="1" applyAlignment="1">
      <alignment vertical="center"/>
    </xf>
    <xf numFmtId="165" fontId="7" fillId="13" borderId="61" xfId="3" applyNumberFormat="1" applyFont="1" applyFill="1" applyBorder="1" applyAlignment="1">
      <alignment horizontal="center" vertical="center"/>
    </xf>
    <xf numFmtId="165" fontId="7" fillId="13" borderId="62" xfId="3" applyNumberFormat="1" applyFont="1" applyFill="1" applyBorder="1" applyAlignment="1">
      <alignment horizontal="center" vertical="center"/>
    </xf>
    <xf numFmtId="165" fontId="7" fillId="13" borderId="63" xfId="3" applyNumberFormat="1" applyFont="1" applyFill="1" applyBorder="1" applyAlignment="1">
      <alignment horizontal="center" vertical="center"/>
    </xf>
    <xf numFmtId="165" fontId="7" fillId="8" borderId="0" xfId="3" applyNumberFormat="1" applyFont="1" applyFill="1" applyBorder="1" applyAlignment="1">
      <alignment horizontal="center" vertical="center"/>
    </xf>
    <xf numFmtId="166" fontId="8" fillId="13" borderId="34" xfId="1" applyNumberFormat="1" applyFont="1" applyFill="1" applyBorder="1" applyAlignment="1">
      <alignment horizontal="right"/>
    </xf>
    <xf numFmtId="166" fontId="8" fillId="0" borderId="0" xfId="1" applyNumberFormat="1" applyFont="1" applyFill="1" applyBorder="1" applyAlignment="1">
      <alignment horizontal="right"/>
    </xf>
    <xf numFmtId="165" fontId="7" fillId="8" borderId="34" xfId="3" applyNumberFormat="1" applyFont="1" applyFill="1" applyBorder="1" applyAlignment="1">
      <alignment horizontal="center" vertical="center"/>
    </xf>
    <xf numFmtId="166" fontId="8" fillId="13" borderId="1" xfId="1" applyNumberFormat="1" applyFont="1" applyFill="1" applyBorder="1" applyAlignment="1">
      <alignment horizontal="right"/>
    </xf>
    <xf numFmtId="166" fontId="8" fillId="9" borderId="0" xfId="1" applyNumberFormat="1" applyFont="1" applyFill="1" applyBorder="1" applyAlignment="1">
      <alignment horizontal="center"/>
    </xf>
    <xf numFmtId="166" fontId="8" fillId="9" borderId="34" xfId="1" applyNumberFormat="1" applyFont="1" applyFill="1" applyBorder="1" applyAlignment="1">
      <alignment horizontal="center" wrapText="1"/>
    </xf>
    <xf numFmtId="166" fontId="8" fillId="13" borderId="22" xfId="1" applyNumberFormat="1" applyFont="1" applyFill="1" applyBorder="1"/>
    <xf numFmtId="166" fontId="8" fillId="13" borderId="34" xfId="1" applyNumberFormat="1" applyFont="1" applyFill="1" applyBorder="1"/>
    <xf numFmtId="0" fontId="2" fillId="0" borderId="0" xfId="0" applyFont="1"/>
    <xf numFmtId="0" fontId="6" fillId="14" borderId="12" xfId="3" applyFont="1" applyFill="1" applyBorder="1" applyAlignment="1">
      <alignment vertical="center"/>
    </xf>
    <xf numFmtId="165" fontId="6" fillId="14" borderId="4" xfId="3" applyNumberFormat="1" applyFont="1" applyFill="1" applyBorder="1" applyAlignment="1">
      <alignment horizontal="center" vertical="center"/>
    </xf>
    <xf numFmtId="165" fontId="6" fillId="14" borderId="5" xfId="3" applyNumberFormat="1" applyFont="1" applyFill="1" applyBorder="1" applyAlignment="1">
      <alignment horizontal="center" vertical="center"/>
    </xf>
    <xf numFmtId="165" fontId="6" fillId="14" borderId="6" xfId="3" applyNumberFormat="1" applyFont="1" applyFill="1" applyBorder="1" applyAlignment="1">
      <alignment horizontal="center" vertical="center"/>
    </xf>
    <xf numFmtId="165" fontId="6" fillId="8" borderId="7" xfId="3" applyNumberFormat="1" applyFont="1" applyFill="1" applyBorder="1" applyAlignment="1">
      <alignment horizontal="center" vertical="center"/>
    </xf>
    <xf numFmtId="165" fontId="6" fillId="14" borderId="8" xfId="3" applyNumberFormat="1" applyFont="1" applyFill="1" applyBorder="1" applyAlignment="1">
      <alignment horizontal="right" vertical="center"/>
    </xf>
    <xf numFmtId="165" fontId="6" fillId="0" borderId="0" xfId="3" applyNumberFormat="1" applyFont="1" applyFill="1" applyBorder="1" applyAlignment="1">
      <alignment horizontal="right" vertical="center"/>
    </xf>
    <xf numFmtId="165" fontId="6" fillId="8" borderId="8" xfId="3" applyNumberFormat="1" applyFont="1" applyFill="1" applyBorder="1" applyAlignment="1">
      <alignment horizontal="center" vertical="center"/>
    </xf>
    <xf numFmtId="165" fontId="6" fillId="14" borderId="10" xfId="3" applyNumberFormat="1" applyFont="1" applyFill="1" applyBorder="1" applyAlignment="1">
      <alignment horizontal="right" vertical="center"/>
    </xf>
    <xf numFmtId="165" fontId="6" fillId="14" borderId="48" xfId="3" applyNumberFormat="1" applyFont="1" applyFill="1" applyBorder="1" applyAlignment="1">
      <alignment horizontal="right" vertical="center"/>
    </xf>
    <xf numFmtId="165" fontId="6" fillId="14" borderId="34" xfId="3" applyNumberFormat="1" applyFont="1" applyFill="1" applyBorder="1" applyAlignment="1">
      <alignment horizontal="right" vertical="center" wrapText="1"/>
    </xf>
    <xf numFmtId="0" fontId="8" fillId="13" borderId="64" xfId="0" applyFont="1" applyFill="1" applyBorder="1" applyAlignment="1">
      <alignment horizontal="center" vertical="center"/>
    </xf>
    <xf numFmtId="165" fontId="6" fillId="14" borderId="12" xfId="3" applyNumberFormat="1" applyFont="1" applyFill="1" applyBorder="1" applyAlignment="1">
      <alignment horizontal="right" vertical="center"/>
    </xf>
    <xf numFmtId="4" fontId="6" fillId="14" borderId="12" xfId="3" applyNumberFormat="1" applyFont="1" applyFill="1" applyBorder="1" applyAlignment="1">
      <alignment horizontal="right" vertical="center"/>
    </xf>
    <xf numFmtId="9" fontId="6" fillId="14" borderId="8" xfId="2" applyFont="1" applyFill="1" applyBorder="1" applyAlignment="1">
      <alignment horizontal="right" vertical="center"/>
    </xf>
    <xf numFmtId="165" fontId="5" fillId="3" borderId="4" xfId="3" applyNumberFormat="1" applyFont="1" applyFill="1" applyBorder="1" applyAlignment="1">
      <alignment horizontal="left" vertical="center"/>
    </xf>
    <xf numFmtId="165" fontId="12" fillId="3" borderId="4" xfId="3" applyNumberFormat="1" applyFont="1" applyFill="1" applyBorder="1" applyAlignment="1">
      <alignment horizontal="center" vertical="center"/>
    </xf>
    <xf numFmtId="165" fontId="12" fillId="3" borderId="5" xfId="3" applyNumberFormat="1" applyFont="1" applyFill="1" applyBorder="1" applyAlignment="1">
      <alignment horizontal="center" vertical="center"/>
    </xf>
    <xf numFmtId="165" fontId="12" fillId="3" borderId="6" xfId="3" applyNumberFormat="1" applyFont="1" applyFill="1" applyBorder="1" applyAlignment="1">
      <alignment horizontal="center" vertical="center"/>
    </xf>
    <xf numFmtId="165" fontId="12" fillId="8" borderId="7" xfId="3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right" vertical="center"/>
    </xf>
    <xf numFmtId="165" fontId="12" fillId="8" borderId="8" xfId="3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right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0" borderId="22" xfId="3" applyFont="1" applyBorder="1" applyAlignment="1">
      <alignment horizontal="left" indent="1"/>
    </xf>
    <xf numFmtId="165" fontId="12" fillId="15" borderId="50" xfId="3" applyNumberFormat="1" applyFont="1" applyFill="1" applyBorder="1" applyAlignment="1">
      <alignment horizontal="center" vertical="center"/>
    </xf>
    <xf numFmtId="165" fontId="12" fillId="15" borderId="51" xfId="3" applyNumberFormat="1" applyFont="1" applyFill="1" applyBorder="1" applyAlignment="1">
      <alignment horizontal="center" vertical="center"/>
    </xf>
    <xf numFmtId="165" fontId="12" fillId="15" borderId="52" xfId="3" applyNumberFormat="1" applyFont="1" applyFill="1" applyBorder="1" applyAlignment="1">
      <alignment horizontal="center" vertical="center"/>
    </xf>
    <xf numFmtId="166" fontId="13" fillId="9" borderId="65" xfId="1" applyNumberFormat="1" applyFont="1" applyFill="1" applyBorder="1"/>
    <xf numFmtId="0" fontId="13" fillId="10" borderId="66" xfId="0" applyFont="1" applyFill="1" applyBorder="1" applyAlignment="1">
      <alignment horizontal="center" vertical="center"/>
    </xf>
    <xf numFmtId="166" fontId="13" fillId="2" borderId="67" xfId="1" applyNumberFormat="1" applyFont="1" applyFill="1" applyBorder="1"/>
    <xf numFmtId="0" fontId="15" fillId="0" borderId="22" xfId="3" applyFont="1" applyBorder="1" applyAlignment="1">
      <alignment horizontal="left" indent="1"/>
    </xf>
    <xf numFmtId="165" fontId="15" fillId="15" borderId="26" xfId="3" applyNumberFormat="1" applyFont="1" applyFill="1" applyBorder="1" applyAlignment="1">
      <alignment horizontal="center" vertical="center"/>
    </xf>
    <xf numFmtId="165" fontId="15" fillId="15" borderId="27" xfId="3" applyNumberFormat="1" applyFont="1" applyFill="1" applyBorder="1" applyAlignment="1">
      <alignment horizontal="center" vertical="center"/>
    </xf>
    <xf numFmtId="165" fontId="15" fillId="15" borderId="28" xfId="3" applyNumberFormat="1" applyFont="1" applyFill="1" applyBorder="1" applyAlignment="1">
      <alignment horizontal="center" vertical="center"/>
    </xf>
    <xf numFmtId="165" fontId="15" fillId="8" borderId="29" xfId="3" applyNumberFormat="1" applyFont="1" applyFill="1" applyBorder="1" applyAlignment="1">
      <alignment horizontal="center" vertical="center"/>
    </xf>
    <xf numFmtId="166" fontId="16" fillId="2" borderId="18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5" fontId="15" fillId="8" borderId="18" xfId="3" applyNumberFormat="1" applyFont="1" applyFill="1" applyBorder="1" applyAlignment="1">
      <alignment horizontal="center" vertical="center"/>
    </xf>
    <xf numFmtId="166" fontId="16" fillId="2" borderId="32" xfId="1" applyNumberFormat="1" applyFont="1" applyFill="1" applyBorder="1" applyAlignment="1">
      <alignment horizontal="right"/>
    </xf>
    <xf numFmtId="0" fontId="13" fillId="9" borderId="36" xfId="0" applyFont="1" applyFill="1" applyBorder="1"/>
    <xf numFmtId="0" fontId="13" fillId="9" borderId="34" xfId="0" applyFont="1" applyFill="1" applyBorder="1" applyAlignment="1">
      <alignment wrapText="1"/>
    </xf>
    <xf numFmtId="0" fontId="16" fillId="10" borderId="66" xfId="0" applyFont="1" applyFill="1" applyBorder="1" applyAlignment="1">
      <alignment horizontal="center" vertical="center"/>
    </xf>
    <xf numFmtId="0" fontId="13" fillId="2" borderId="33" xfId="0" applyFont="1" applyFill="1" applyBorder="1"/>
    <xf numFmtId="165" fontId="12" fillId="15" borderId="26" xfId="3" applyNumberFormat="1" applyFont="1" applyFill="1" applyBorder="1" applyAlignment="1">
      <alignment horizontal="center" vertical="center"/>
    </xf>
    <xf numFmtId="165" fontId="12" fillId="15" borderId="27" xfId="3" applyNumberFormat="1" applyFont="1" applyFill="1" applyBorder="1" applyAlignment="1">
      <alignment horizontal="center" vertical="center"/>
    </xf>
    <xf numFmtId="165" fontId="12" fillId="15" borderId="28" xfId="3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2" borderId="32" xfId="0" applyFont="1" applyFill="1" applyBorder="1" applyAlignment="1">
      <alignment horizontal="right"/>
    </xf>
    <xf numFmtId="165" fontId="12" fillId="15" borderId="42" xfId="3" applyNumberFormat="1" applyFont="1" applyFill="1" applyBorder="1" applyAlignment="1">
      <alignment horizontal="center" vertical="center"/>
    </xf>
    <xf numFmtId="165" fontId="12" fillId="15" borderId="57" xfId="3" applyNumberFormat="1" applyFont="1" applyFill="1" applyBorder="1" applyAlignment="1">
      <alignment horizontal="center" vertical="center"/>
    </xf>
    <xf numFmtId="165" fontId="12" fillId="15" borderId="43" xfId="3" applyNumberFormat="1" applyFont="1" applyFill="1" applyBorder="1" applyAlignment="1">
      <alignment horizontal="center" vertical="center"/>
    </xf>
    <xf numFmtId="3" fontId="12" fillId="8" borderId="58" xfId="3" applyNumberFormat="1" applyFont="1" applyFill="1" applyBorder="1" applyAlignment="1">
      <alignment horizontal="center" vertical="center"/>
    </xf>
    <xf numFmtId="0" fontId="13" fillId="2" borderId="46" xfId="0" applyFont="1" applyFill="1" applyBorder="1" applyAlignment="1">
      <alignment horizontal="right"/>
    </xf>
    <xf numFmtId="3" fontId="12" fillId="8" borderId="38" xfId="3" applyNumberFormat="1" applyFont="1" applyFill="1" applyBorder="1" applyAlignment="1">
      <alignment horizontal="center" vertical="center"/>
    </xf>
    <xf numFmtId="0" fontId="13" fillId="2" borderId="68" xfId="0" applyFont="1" applyFill="1" applyBorder="1" applyAlignment="1">
      <alignment horizontal="right"/>
    </xf>
    <xf numFmtId="0" fontId="13" fillId="9" borderId="69" xfId="0" applyFont="1" applyFill="1" applyBorder="1"/>
    <xf numFmtId="0" fontId="14" fillId="10" borderId="0" xfId="0" applyFont="1" applyFill="1" applyBorder="1" applyAlignment="1">
      <alignment horizontal="center" vertical="center"/>
    </xf>
    <xf numFmtId="0" fontId="13" fillId="2" borderId="40" xfId="0" applyFont="1" applyFill="1" applyBorder="1"/>
    <xf numFmtId="0" fontId="6" fillId="13" borderId="8" xfId="3" applyFont="1" applyFill="1" applyBorder="1" applyAlignment="1">
      <alignment horizontal="left" indent="1"/>
    </xf>
    <xf numFmtId="165" fontId="6" fillId="13" borderId="70" xfId="3" applyNumberFormat="1" applyFont="1" applyFill="1" applyBorder="1" applyAlignment="1">
      <alignment horizontal="center" vertical="center"/>
    </xf>
    <xf numFmtId="165" fontId="6" fillId="13" borderId="20" xfId="3" applyNumberFormat="1" applyFont="1" applyFill="1" applyBorder="1" applyAlignment="1">
      <alignment horizontal="center" vertical="center"/>
    </xf>
    <xf numFmtId="165" fontId="6" fillId="8" borderId="2" xfId="3" applyNumberFormat="1" applyFont="1" applyFill="1" applyBorder="1" applyAlignment="1">
      <alignment horizontal="center" vertical="center"/>
    </xf>
    <xf numFmtId="166" fontId="8" fillId="13" borderId="3" xfId="0" applyNumberFormat="1" applyFont="1" applyFill="1" applyBorder="1" applyAlignment="1">
      <alignment horizontal="right"/>
    </xf>
    <xf numFmtId="166" fontId="8" fillId="0" borderId="0" xfId="0" applyNumberFormat="1" applyFont="1" applyFill="1" applyBorder="1" applyAlignment="1">
      <alignment horizontal="right"/>
    </xf>
    <xf numFmtId="165" fontId="6" fillId="8" borderId="20" xfId="3" applyNumberFormat="1" applyFont="1" applyFill="1" applyBorder="1" applyAlignment="1">
      <alignment horizontal="center" vertical="center"/>
    </xf>
    <xf numFmtId="166" fontId="8" fillId="13" borderId="19" xfId="0" applyNumberFormat="1" applyFont="1" applyFill="1" applyBorder="1" applyAlignment="1">
      <alignment horizontal="right"/>
    </xf>
    <xf numFmtId="166" fontId="8" fillId="13" borderId="12" xfId="0" applyNumberFormat="1" applyFont="1" applyFill="1" applyBorder="1" applyAlignment="1">
      <alignment horizontal="right"/>
    </xf>
    <xf numFmtId="166" fontId="13" fillId="9" borderId="46" xfId="1" applyNumberFormat="1" applyFont="1" applyFill="1" applyBorder="1"/>
    <xf numFmtId="9" fontId="8" fillId="13" borderId="8" xfId="2" applyFont="1" applyFill="1" applyBorder="1" applyAlignment="1">
      <alignment horizontal="right"/>
    </xf>
    <xf numFmtId="0" fontId="17" fillId="14" borderId="8" xfId="3" applyFont="1" applyFill="1" applyBorder="1" applyAlignment="1">
      <alignment vertical="center"/>
    </xf>
    <xf numFmtId="165" fontId="17" fillId="14" borderId="71" xfId="3" applyNumberFormat="1" applyFont="1" applyFill="1" applyBorder="1" applyAlignment="1">
      <alignment horizontal="center" vertical="center"/>
    </xf>
    <xf numFmtId="165" fontId="17" fillId="14" borderId="72" xfId="3" applyNumberFormat="1" applyFont="1" applyFill="1" applyBorder="1" applyAlignment="1">
      <alignment horizontal="center" vertical="center"/>
    </xf>
    <xf numFmtId="165" fontId="17" fillId="14" borderId="73" xfId="3" applyNumberFormat="1" applyFont="1" applyFill="1" applyBorder="1" applyAlignment="1">
      <alignment horizontal="center" vertical="center"/>
    </xf>
    <xf numFmtId="3" fontId="17" fillId="8" borderId="7" xfId="3" applyNumberFormat="1" applyFont="1" applyFill="1" applyBorder="1" applyAlignment="1">
      <alignment horizontal="center" vertical="center"/>
    </xf>
    <xf numFmtId="3" fontId="17" fillId="13" borderId="8" xfId="3" applyNumberFormat="1" applyFont="1" applyFill="1" applyBorder="1" applyAlignment="1">
      <alignment horizontal="right" vertical="center"/>
    </xf>
    <xf numFmtId="3" fontId="17" fillId="0" borderId="0" xfId="3" applyNumberFormat="1" applyFont="1" applyFill="1" applyBorder="1" applyAlignment="1">
      <alignment horizontal="right" vertical="center"/>
    </xf>
    <xf numFmtId="3" fontId="17" fillId="8" borderId="8" xfId="3" applyNumberFormat="1" applyFont="1" applyFill="1" applyBorder="1" applyAlignment="1">
      <alignment horizontal="center" vertical="center"/>
    </xf>
    <xf numFmtId="3" fontId="17" fillId="13" borderId="10" xfId="3" applyNumberFormat="1" applyFont="1" applyFill="1" applyBorder="1" applyAlignment="1">
      <alignment horizontal="right" vertical="center"/>
    </xf>
    <xf numFmtId="3" fontId="17" fillId="9" borderId="12" xfId="3" applyNumberFormat="1" applyFont="1" applyFill="1" applyBorder="1" applyAlignment="1">
      <alignment horizontal="right" vertical="center"/>
    </xf>
    <xf numFmtId="0" fontId="8" fillId="13" borderId="12" xfId="0" applyFont="1" applyFill="1" applyBorder="1" applyAlignment="1">
      <alignment horizontal="center" vertical="center"/>
    </xf>
    <xf numFmtId="3" fontId="17" fillId="13" borderId="12" xfId="3" applyNumberFormat="1" applyFont="1" applyFill="1" applyBorder="1" applyAlignment="1">
      <alignment horizontal="right" vertical="center"/>
    </xf>
    <xf numFmtId="0" fontId="18" fillId="0" borderId="0" xfId="0" applyFont="1"/>
    <xf numFmtId="0" fontId="19" fillId="0" borderId="34" xfId="3" applyFont="1" applyBorder="1"/>
    <xf numFmtId="0" fontId="19" fillId="0" borderId="0" xfId="3" applyFont="1" applyAlignment="1">
      <alignment horizontal="center"/>
    </xf>
    <xf numFmtId="3" fontId="19" fillId="0" borderId="0" xfId="3" applyNumberFormat="1" applyFont="1" applyAlignment="1">
      <alignment horizontal="center"/>
    </xf>
    <xf numFmtId="0" fontId="0" fillId="0" borderId="34" xfId="0" applyBorder="1" applyAlignment="1">
      <alignment horizontal="right"/>
    </xf>
    <xf numFmtId="0" fontId="9" fillId="0" borderId="46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9" borderId="12" xfId="0" applyFill="1" applyBorder="1"/>
    <xf numFmtId="0" fontId="0" fillId="9" borderId="34" xfId="0" applyFill="1" applyBorder="1"/>
    <xf numFmtId="0" fontId="20" fillId="0" borderId="0" xfId="0" applyFont="1"/>
    <xf numFmtId="0" fontId="0" fillId="0" borderId="12" xfId="0" applyBorder="1"/>
    <xf numFmtId="0" fontId="0" fillId="5" borderId="43" xfId="0" applyFill="1" applyBorder="1"/>
    <xf numFmtId="0" fontId="5" fillId="14" borderId="3" xfId="3" applyFont="1" applyFill="1" applyBorder="1" applyAlignment="1">
      <alignment vertical="center"/>
    </xf>
    <xf numFmtId="165" fontId="21" fillId="15" borderId="74" xfId="3" applyNumberFormat="1" applyFont="1" applyFill="1" applyBorder="1" applyAlignment="1">
      <alignment horizontal="center"/>
    </xf>
    <xf numFmtId="165" fontId="21" fillId="15" borderId="75" xfId="3" applyNumberFormat="1" applyFont="1" applyFill="1" applyBorder="1" applyAlignment="1">
      <alignment horizontal="center"/>
    </xf>
    <xf numFmtId="3" fontId="21" fillId="15" borderId="75" xfId="3" applyNumberFormat="1" applyFont="1" applyFill="1" applyBorder="1" applyAlignment="1">
      <alignment horizontal="center"/>
    </xf>
    <xf numFmtId="3" fontId="21" fillId="15" borderId="3" xfId="3" applyNumberFormat="1" applyFont="1" applyFill="1" applyBorder="1" applyAlignment="1">
      <alignment horizontal="right"/>
    </xf>
    <xf numFmtId="3" fontId="21" fillId="0" borderId="0" xfId="3" applyNumberFormat="1" applyFont="1" applyFill="1" applyBorder="1" applyAlignment="1">
      <alignment horizontal="right"/>
    </xf>
    <xf numFmtId="3" fontId="21" fillId="15" borderId="3" xfId="3" applyNumberFormat="1" applyFont="1" applyFill="1" applyBorder="1" applyAlignment="1">
      <alignment horizontal="center"/>
    </xf>
    <xf numFmtId="3" fontId="21" fillId="15" borderId="75" xfId="3" applyNumberFormat="1" applyFont="1" applyFill="1" applyBorder="1" applyAlignment="1">
      <alignment horizontal="right"/>
    </xf>
    <xf numFmtId="166" fontId="8" fillId="9" borderId="74" xfId="1" applyNumberFormat="1" applyFont="1" applyFill="1" applyBorder="1" applyAlignment="1">
      <alignment horizontal="center" vertical="center"/>
    </xf>
    <xf numFmtId="166" fontId="8" fillId="9" borderId="20" xfId="1" applyNumberFormat="1" applyFont="1" applyFill="1" applyBorder="1" applyAlignment="1">
      <alignment horizontal="center" vertical="center"/>
    </xf>
    <xf numFmtId="0" fontId="8" fillId="13" borderId="76" xfId="0" applyFont="1" applyFill="1" applyBorder="1" applyAlignment="1">
      <alignment horizontal="center" vertical="center"/>
    </xf>
    <xf numFmtId="166" fontId="8" fillId="13" borderId="8" xfId="1" applyNumberFormat="1" applyFont="1" applyFill="1" applyBorder="1" applyAlignment="1">
      <alignment horizontal="center" vertical="center"/>
    </xf>
    <xf numFmtId="0" fontId="0" fillId="0" borderId="0" xfId="0" applyFont="1"/>
    <xf numFmtId="0" fontId="15" fillId="16" borderId="12" xfId="3" applyFont="1" applyFill="1" applyBorder="1" applyAlignment="1">
      <alignment horizontal="left" vertical="center" wrapText="1" indent="1"/>
    </xf>
    <xf numFmtId="165" fontId="15" fillId="16" borderId="4" xfId="3" applyNumberFormat="1" applyFont="1" applyFill="1" applyBorder="1" applyAlignment="1">
      <alignment horizontal="center" vertical="center"/>
    </xf>
    <xf numFmtId="165" fontId="15" fillId="16" borderId="5" xfId="3" applyNumberFormat="1" applyFont="1" applyFill="1" applyBorder="1" applyAlignment="1">
      <alignment horizontal="center" vertical="center"/>
    </xf>
    <xf numFmtId="165" fontId="15" fillId="16" borderId="48" xfId="3" applyNumberFormat="1" applyFont="1" applyFill="1" applyBorder="1" applyAlignment="1">
      <alignment horizontal="center" vertical="center"/>
    </xf>
    <xf numFmtId="165" fontId="6" fillId="8" borderId="12" xfId="3" applyNumberFormat="1" applyFont="1" applyFill="1" applyBorder="1" applyAlignment="1">
      <alignment horizontal="center" vertical="center"/>
    </xf>
    <xf numFmtId="166" fontId="8" fillId="2" borderId="8" xfId="1" applyNumberFormat="1" applyFont="1" applyFill="1" applyBorder="1" applyAlignment="1">
      <alignment horizontal="right"/>
    </xf>
    <xf numFmtId="165" fontId="6" fillId="8" borderId="8" xfId="3" applyNumberFormat="1" applyFont="1" applyFill="1" applyBorder="1" applyAlignment="1">
      <alignment horizontal="center"/>
    </xf>
    <xf numFmtId="166" fontId="8" fillId="2" borderId="77" xfId="1" applyNumberFormat="1" applyFont="1" applyFill="1" applyBorder="1" applyAlignment="1">
      <alignment horizontal="right"/>
    </xf>
    <xf numFmtId="0" fontId="0" fillId="0" borderId="6" xfId="0" applyBorder="1"/>
    <xf numFmtId="0" fontId="2" fillId="13" borderId="12" xfId="0" applyFont="1" applyFill="1" applyBorder="1"/>
    <xf numFmtId="0" fontId="2" fillId="13" borderId="7" xfId="0" applyFont="1" applyFill="1" applyBorder="1"/>
    <xf numFmtId="9" fontId="2" fillId="13" borderId="10" xfId="2" applyFont="1" applyFill="1" applyBorder="1"/>
    <xf numFmtId="164" fontId="8" fillId="4" borderId="12" xfId="0" applyNumberFormat="1" applyFont="1" applyFill="1" applyBorder="1" applyAlignment="1">
      <alignment horizontal="right" vertical="center"/>
    </xf>
    <xf numFmtId="164" fontId="8" fillId="17" borderId="75" xfId="0" applyNumberFormat="1" applyFont="1" applyFill="1" applyBorder="1" applyAlignment="1">
      <alignment horizontal="right" vertical="center"/>
    </xf>
    <xf numFmtId="164" fontId="8" fillId="4" borderId="10" xfId="0" applyNumberFormat="1" applyFont="1" applyFill="1" applyBorder="1" applyAlignment="1">
      <alignment horizontal="center" vertical="center"/>
    </xf>
    <xf numFmtId="164" fontId="8" fillId="4" borderId="8" xfId="0" applyNumberFormat="1" applyFont="1" applyFill="1" applyBorder="1" applyAlignment="1">
      <alignment horizontal="center" vertical="center"/>
    </xf>
    <xf numFmtId="0" fontId="22" fillId="0" borderId="78" xfId="3" applyFont="1" applyBorder="1" applyAlignment="1">
      <alignment horizontal="right"/>
    </xf>
    <xf numFmtId="165" fontId="23" fillId="13" borderId="16" xfId="3" applyNumberFormat="1" applyFont="1" applyFill="1" applyBorder="1" applyAlignment="1">
      <alignment horizontal="right"/>
    </xf>
    <xf numFmtId="3" fontId="23" fillId="18" borderId="9" xfId="3" applyNumberFormat="1" applyFont="1" applyFill="1" applyBorder="1" applyAlignment="1">
      <alignment horizontal="right"/>
    </xf>
    <xf numFmtId="3" fontId="23" fillId="5" borderId="31" xfId="3" applyNumberFormat="1" applyFont="1" applyFill="1" applyBorder="1" applyAlignment="1">
      <alignment horizontal="right"/>
    </xf>
    <xf numFmtId="3" fontId="23" fillId="17" borderId="0" xfId="3" applyNumberFormat="1" applyFont="1" applyFill="1" applyBorder="1" applyAlignment="1">
      <alignment horizontal="right"/>
    </xf>
    <xf numFmtId="3" fontId="23" fillId="5" borderId="30" xfId="3" applyNumberFormat="1" applyFont="1" applyFill="1" applyBorder="1" applyAlignment="1">
      <alignment horizontal="right"/>
    </xf>
    <xf numFmtId="3" fontId="24" fillId="5" borderId="30" xfId="3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center" vertical="center"/>
    </xf>
    <xf numFmtId="3" fontId="23" fillId="5" borderId="9" xfId="3" applyNumberFormat="1" applyFont="1" applyFill="1" applyBorder="1" applyAlignment="1">
      <alignment horizontal="right"/>
    </xf>
    <xf numFmtId="0" fontId="26" fillId="0" borderId="9" xfId="3" applyFont="1" applyBorder="1" applyAlignment="1">
      <alignment horizontal="right"/>
    </xf>
    <xf numFmtId="165" fontId="23" fillId="13" borderId="79" xfId="3" applyNumberFormat="1" applyFont="1" applyFill="1" applyBorder="1" applyAlignment="1">
      <alignment horizontal="right"/>
    </xf>
    <xf numFmtId="165" fontId="23" fillId="13" borderId="27" xfId="3" applyNumberFormat="1" applyFont="1" applyFill="1" applyBorder="1" applyAlignment="1">
      <alignment horizontal="right"/>
    </xf>
    <xf numFmtId="165" fontId="23" fillId="13" borderId="28" xfId="3" applyNumberFormat="1" applyFont="1" applyFill="1" applyBorder="1" applyAlignment="1">
      <alignment horizontal="right"/>
    </xf>
    <xf numFmtId="3" fontId="23" fillId="18" borderId="18" xfId="3" applyNumberFormat="1" applyFont="1" applyFill="1" applyBorder="1" applyAlignment="1">
      <alignment horizontal="right"/>
    </xf>
    <xf numFmtId="3" fontId="23" fillId="5" borderId="33" xfId="3" applyNumberFormat="1" applyFont="1" applyFill="1" applyBorder="1" applyAlignment="1">
      <alignment horizontal="right"/>
    </xf>
    <xf numFmtId="3" fontId="23" fillId="5" borderId="32" xfId="3" applyNumberFormat="1" applyFont="1" applyFill="1" applyBorder="1" applyAlignment="1">
      <alignment horizontal="right"/>
    </xf>
    <xf numFmtId="3" fontId="24" fillId="5" borderId="32" xfId="3" applyNumberFormat="1" applyFont="1" applyFill="1" applyBorder="1" applyAlignment="1">
      <alignment horizontal="right"/>
    </xf>
    <xf numFmtId="3" fontId="23" fillId="5" borderId="18" xfId="3" applyNumberFormat="1" applyFont="1" applyFill="1" applyBorder="1" applyAlignment="1">
      <alignment horizontal="right"/>
    </xf>
    <xf numFmtId="0" fontId="26" fillId="0" borderId="18" xfId="3" applyFont="1" applyBorder="1" applyAlignment="1">
      <alignment horizontal="right"/>
    </xf>
    <xf numFmtId="0" fontId="26" fillId="0" borderId="46" xfId="3" applyFont="1" applyBorder="1" applyAlignment="1">
      <alignment horizontal="right"/>
    </xf>
    <xf numFmtId="165" fontId="23" fillId="13" borderId="80" xfId="3" applyNumberFormat="1" applyFont="1" applyFill="1" applyBorder="1" applyAlignment="1">
      <alignment horizontal="right"/>
    </xf>
    <xf numFmtId="165" fontId="23" fillId="13" borderId="44" xfId="3" applyNumberFormat="1" applyFont="1" applyFill="1" applyBorder="1" applyAlignment="1">
      <alignment horizontal="right"/>
    </xf>
    <xf numFmtId="165" fontId="23" fillId="13" borderId="24" xfId="3" applyNumberFormat="1" applyFont="1" applyFill="1" applyBorder="1" applyAlignment="1">
      <alignment horizontal="right"/>
    </xf>
    <xf numFmtId="3" fontId="23" fillId="18" borderId="46" xfId="3" applyNumberFormat="1" applyFont="1" applyFill="1" applyBorder="1" applyAlignment="1">
      <alignment horizontal="right"/>
    </xf>
    <xf numFmtId="3" fontId="23" fillId="5" borderId="68" xfId="3" applyNumberFormat="1" applyFont="1" applyFill="1" applyBorder="1" applyAlignment="1">
      <alignment horizontal="right"/>
    </xf>
    <xf numFmtId="3" fontId="24" fillId="5" borderId="68" xfId="3" applyNumberFormat="1" applyFont="1" applyFill="1" applyBorder="1" applyAlignment="1">
      <alignment horizontal="right"/>
    </xf>
    <xf numFmtId="3" fontId="23" fillId="5" borderId="46" xfId="3" applyNumberFormat="1" applyFont="1" applyFill="1" applyBorder="1" applyAlignment="1">
      <alignment horizontal="right"/>
    </xf>
    <xf numFmtId="0" fontId="26" fillId="0" borderId="20" xfId="3" applyFont="1" applyBorder="1" applyAlignment="1">
      <alignment horizontal="right"/>
    </xf>
    <xf numFmtId="3" fontId="27" fillId="19" borderId="8" xfId="3" applyNumberFormat="1" applyFont="1" applyFill="1" applyBorder="1" applyAlignment="1">
      <alignment horizontal="right"/>
    </xf>
    <xf numFmtId="3" fontId="23" fillId="5" borderId="60" xfId="3" applyNumberFormat="1" applyFont="1" applyFill="1" applyBorder="1" applyAlignment="1">
      <alignment horizontal="right"/>
    </xf>
    <xf numFmtId="3" fontId="23" fillId="17" borderId="2" xfId="3" applyNumberFormat="1" applyFont="1" applyFill="1" applyBorder="1" applyAlignment="1">
      <alignment horizontal="right"/>
    </xf>
    <xf numFmtId="3" fontId="23" fillId="5" borderId="81" xfId="3" applyNumberFormat="1" applyFont="1" applyFill="1" applyBorder="1" applyAlignment="1">
      <alignment horizontal="right"/>
    </xf>
    <xf numFmtId="3" fontId="24" fillId="5" borderId="81" xfId="3" applyNumberFormat="1" applyFont="1" applyFill="1" applyBorder="1" applyAlignment="1">
      <alignment horizontal="right"/>
    </xf>
    <xf numFmtId="3" fontId="23" fillId="5" borderId="34" xfId="3" applyNumberFormat="1" applyFont="1" applyFill="1" applyBorder="1" applyAlignment="1">
      <alignment horizontal="right"/>
    </xf>
    <xf numFmtId="17" fontId="26" fillId="0" borderId="8" xfId="3" applyNumberFormat="1" applyFont="1" applyBorder="1" applyAlignment="1">
      <alignment horizontal="right"/>
    </xf>
    <xf numFmtId="165" fontId="23" fillId="17" borderId="0" xfId="3" applyNumberFormat="1" applyFont="1" applyFill="1" applyBorder="1" applyAlignment="1">
      <alignment horizontal="center"/>
    </xf>
    <xf numFmtId="3" fontId="28" fillId="13" borderId="81" xfId="3" applyNumberFormat="1" applyFont="1" applyFill="1" applyBorder="1" applyAlignment="1">
      <alignment horizontal="right"/>
    </xf>
    <xf numFmtId="3" fontId="24" fillId="13" borderId="81" xfId="3" applyNumberFormat="1" applyFont="1" applyFill="1" applyBorder="1" applyAlignment="1">
      <alignment horizontal="right"/>
    </xf>
    <xf numFmtId="0" fontId="0" fillId="0" borderId="34" xfId="0" applyBorder="1"/>
    <xf numFmtId="0" fontId="29" fillId="0" borderId="8" xfId="3" applyFont="1" applyFill="1" applyBorder="1" applyAlignment="1">
      <alignment horizontal="right" vertical="center" wrapText="1"/>
    </xf>
    <xf numFmtId="165" fontId="23" fillId="9" borderId="2" xfId="3" applyNumberFormat="1" applyFont="1" applyFill="1" applyBorder="1" applyAlignment="1">
      <alignment horizontal="center"/>
    </xf>
    <xf numFmtId="165" fontId="23" fillId="9" borderId="12" xfId="3" applyNumberFormat="1" applyFont="1" applyFill="1" applyBorder="1" applyAlignment="1">
      <alignment horizontal="center"/>
    </xf>
    <xf numFmtId="3" fontId="28" fillId="13" borderId="10" xfId="3" applyNumberFormat="1" applyFont="1" applyFill="1" applyBorder="1" applyAlignment="1">
      <alignment horizontal="right"/>
    </xf>
    <xf numFmtId="3" fontId="24" fillId="13" borderId="10" xfId="3" applyNumberFormat="1" applyFont="1" applyFill="1" applyBorder="1" applyAlignment="1">
      <alignment horizontal="right"/>
    </xf>
    <xf numFmtId="17" fontId="30" fillId="0" borderId="74" xfId="3" applyNumberFormat="1" applyFont="1" applyBorder="1" applyAlignment="1">
      <alignment horizontal="right"/>
    </xf>
    <xf numFmtId="165" fontId="23" fillId="9" borderId="0" xfId="3" applyNumberFormat="1" applyFont="1" applyFill="1" applyBorder="1" applyAlignment="1">
      <alignment horizontal="center"/>
    </xf>
    <xf numFmtId="0" fontId="2" fillId="19" borderId="13" xfId="0" applyFont="1" applyFill="1" applyBorder="1" applyAlignment="1">
      <alignment horizontal="left" wrapText="1"/>
    </xf>
    <xf numFmtId="3" fontId="27" fillId="19" borderId="16" xfId="3" applyNumberFormat="1" applyFont="1" applyFill="1" applyBorder="1" applyAlignment="1">
      <alignment horizontal="right"/>
    </xf>
    <xf numFmtId="3" fontId="27" fillId="19" borderId="14" xfId="3" applyNumberFormat="1" applyFont="1" applyFill="1" applyBorder="1" applyAlignment="1">
      <alignment horizontal="right"/>
    </xf>
    <xf numFmtId="43" fontId="2" fillId="19" borderId="7" xfId="0" applyNumberFormat="1" applyFont="1" applyFill="1" applyBorder="1" applyAlignment="1">
      <alignment horizontal="right"/>
    </xf>
    <xf numFmtId="43" fontId="2" fillId="17" borderId="0" xfId="0" applyNumberFormat="1" applyFont="1" applyFill="1" applyBorder="1" applyAlignment="1">
      <alignment horizontal="right"/>
    </xf>
    <xf numFmtId="43" fontId="2" fillId="19" borderId="10" xfId="0" applyNumberFormat="1" applyFont="1" applyFill="1" applyBorder="1"/>
    <xf numFmtId="43" fontId="31" fillId="19" borderId="10" xfId="0" applyNumberFormat="1" applyFont="1" applyFill="1" applyBorder="1"/>
    <xf numFmtId="167" fontId="25" fillId="0" borderId="0" xfId="1" applyNumberFormat="1" applyFont="1" applyFill="1" applyBorder="1" applyAlignment="1">
      <alignment horizontal="center" vertical="center"/>
    </xf>
    <xf numFmtId="43" fontId="2" fillId="19" borderId="8" xfId="0" applyNumberFormat="1" applyFont="1" applyFill="1" applyBorder="1"/>
    <xf numFmtId="0" fontId="2" fillId="19" borderId="82" xfId="0" applyFont="1" applyFill="1" applyBorder="1" applyAlignment="1">
      <alignment horizontal="left" wrapText="1"/>
    </xf>
    <xf numFmtId="3" fontId="27" fillId="19" borderId="83" xfId="3" applyNumberFormat="1" applyFont="1" applyFill="1" applyBorder="1" applyAlignment="1">
      <alignment horizontal="right"/>
    </xf>
    <xf numFmtId="3" fontId="27" fillId="0" borderId="2" xfId="3" applyNumberFormat="1" applyFont="1" applyFill="1" applyBorder="1" applyAlignment="1">
      <alignment horizontal="right"/>
    </xf>
    <xf numFmtId="3" fontId="27" fillId="19" borderId="84" xfId="3" applyNumberFormat="1" applyFont="1" applyFill="1" applyBorder="1" applyAlignment="1">
      <alignment horizontal="right"/>
    </xf>
    <xf numFmtId="43" fontId="2" fillId="0" borderId="0" xfId="0" applyNumberFormat="1" applyFont="1" applyFill="1" applyBorder="1" applyAlignment="1">
      <alignment horizontal="right"/>
    </xf>
    <xf numFmtId="43" fontId="2" fillId="0" borderId="0" xfId="0" applyNumberFormat="1" applyFont="1" applyFill="1" applyBorder="1"/>
    <xf numFmtId="0" fontId="2" fillId="0" borderId="22" xfId="0" applyFont="1" applyFill="1" applyBorder="1" applyAlignment="1">
      <alignment horizontal="right"/>
    </xf>
    <xf numFmtId="3" fontId="27" fillId="0" borderId="0" xfId="3" applyNumberFormat="1" applyFont="1" applyFill="1" applyBorder="1" applyAlignment="1">
      <alignment horizontal="right"/>
    </xf>
    <xf numFmtId="3" fontId="27" fillId="0" borderId="1" xfId="3" applyNumberFormat="1" applyFont="1" applyFill="1" applyBorder="1" applyAlignment="1">
      <alignment horizontal="right"/>
    </xf>
    <xf numFmtId="17" fontId="6" fillId="3" borderId="77" xfId="3" applyNumberFormat="1" applyFont="1" applyFill="1" applyBorder="1" applyAlignment="1">
      <alignment horizontal="center" vertical="center"/>
    </xf>
    <xf numFmtId="164" fontId="8" fillId="4" borderId="8" xfId="0" applyNumberFormat="1" applyFont="1" applyFill="1" applyBorder="1" applyAlignment="1">
      <alignment horizontal="right" vertical="center"/>
    </xf>
    <xf numFmtId="0" fontId="27" fillId="13" borderId="12" xfId="3" applyFont="1" applyFill="1" applyBorder="1" applyAlignment="1">
      <alignment horizontal="right"/>
    </xf>
    <xf numFmtId="166" fontId="2" fillId="13" borderId="7" xfId="0" applyNumberFormat="1" applyFont="1" applyFill="1" applyBorder="1"/>
    <xf numFmtId="166" fontId="2" fillId="20" borderId="75" xfId="0" applyNumberFormat="1" applyFont="1" applyFill="1" applyBorder="1"/>
    <xf numFmtId="166" fontId="2" fillId="13" borderId="8" xfId="0" applyNumberFormat="1" applyFont="1" applyFill="1" applyBorder="1"/>
    <xf numFmtId="0" fontId="2" fillId="13" borderId="19" xfId="0" applyFont="1" applyFill="1" applyBorder="1" applyAlignment="1">
      <alignment horizontal="right"/>
    </xf>
    <xf numFmtId="166" fontId="2" fillId="13" borderId="75" xfId="0" applyNumberFormat="1" applyFont="1" applyFill="1" applyBorder="1"/>
    <xf numFmtId="9" fontId="2" fillId="13" borderId="9" xfId="2" applyFont="1" applyFill="1" applyBorder="1" applyAlignment="1">
      <alignment horizontal="right"/>
    </xf>
    <xf numFmtId="0" fontId="27" fillId="13" borderId="22" xfId="3" applyFont="1" applyFill="1" applyBorder="1" applyAlignment="1">
      <alignment horizontal="right"/>
    </xf>
    <xf numFmtId="166" fontId="2" fillId="13" borderId="79" xfId="0" applyNumberFormat="1" applyFont="1" applyFill="1" applyBorder="1"/>
    <xf numFmtId="166" fontId="2" fillId="13" borderId="27" xfId="0" applyNumberFormat="1" applyFont="1" applyFill="1" applyBorder="1"/>
    <xf numFmtId="166" fontId="2" fillId="13" borderId="36" xfId="0" applyNumberFormat="1" applyFont="1" applyFill="1" applyBorder="1"/>
    <xf numFmtId="166" fontId="2" fillId="21" borderId="60" xfId="0" applyNumberFormat="1" applyFont="1" applyFill="1" applyBorder="1"/>
    <xf numFmtId="166" fontId="2" fillId="21" borderId="2" xfId="0" applyNumberFormat="1" applyFont="1" applyFill="1" applyBorder="1"/>
    <xf numFmtId="166" fontId="2" fillId="21" borderId="81" xfId="0" applyNumberFormat="1" applyFont="1" applyFill="1" applyBorder="1"/>
    <xf numFmtId="9" fontId="2" fillId="13" borderId="18" xfId="2" applyFont="1" applyFill="1" applyBorder="1" applyAlignment="1">
      <alignment horizontal="right"/>
    </xf>
    <xf numFmtId="0" fontId="27" fillId="13" borderId="60" xfId="3" applyFont="1" applyFill="1" applyBorder="1" applyAlignment="1">
      <alignment horizontal="right"/>
    </xf>
    <xf numFmtId="168" fontId="0" fillId="22" borderId="2" xfId="2" applyNumberFormat="1" applyFont="1" applyFill="1" applyBorder="1"/>
    <xf numFmtId="166" fontId="2" fillId="23" borderId="83" xfId="0" applyNumberFormat="1" applyFont="1" applyFill="1" applyBorder="1"/>
    <xf numFmtId="166" fontId="2" fillId="23" borderId="85" xfId="0" applyNumberFormat="1" applyFont="1" applyFill="1" applyBorder="1"/>
    <xf numFmtId="166" fontId="2" fillId="13" borderId="12" xfId="0" applyNumberFormat="1" applyFont="1" applyFill="1" applyBorder="1"/>
    <xf numFmtId="9" fontId="2" fillId="13" borderId="38" xfId="2" applyFont="1" applyFill="1" applyBorder="1" applyAlignment="1">
      <alignment horizontal="right"/>
    </xf>
    <xf numFmtId="43" fontId="9" fillId="0" borderId="0" xfId="0" applyNumberFormat="1" applyFont="1" applyFill="1"/>
    <xf numFmtId="169" fontId="0" fillId="0" borderId="0" xfId="0" applyNumberFormat="1" applyFont="1" applyFill="1" applyBorder="1" applyAlignment="1" applyProtection="1"/>
    <xf numFmtId="43" fontId="9" fillId="0" borderId="0" xfId="0" applyNumberFormat="1" applyFont="1"/>
    <xf numFmtId="0" fontId="0" fillId="13" borderId="8" xfId="0" applyFill="1" applyBorder="1"/>
    <xf numFmtId="164" fontId="8" fillId="13" borderId="4" xfId="1" applyNumberFormat="1" applyFont="1" applyFill="1" applyBorder="1"/>
    <xf numFmtId="164" fontId="8" fillId="13" borderId="6" xfId="0" applyNumberFormat="1" applyFont="1" applyFill="1" applyBorder="1"/>
    <xf numFmtId="166" fontId="8" fillId="13" borderId="10" xfId="1" applyNumberFormat="1" applyFont="1" applyFill="1" applyBorder="1"/>
    <xf numFmtId="0" fontId="13" fillId="0" borderId="0" xfId="0" applyFont="1" applyFill="1"/>
    <xf numFmtId="2" fontId="32" fillId="0" borderId="20" xfId="0" applyNumberFormat="1" applyFont="1" applyBorder="1" applyAlignment="1">
      <alignment horizontal="left" vertical="center" wrapText="1"/>
    </xf>
    <xf numFmtId="166" fontId="33" fillId="0" borderId="50" xfId="1" applyNumberFormat="1" applyFont="1" applyBorder="1" applyAlignment="1">
      <alignment horizontal="right" vertical="center" wrapText="1"/>
    </xf>
    <xf numFmtId="166" fontId="33" fillId="0" borderId="51" xfId="1" applyNumberFormat="1" applyFont="1" applyBorder="1" applyAlignment="1">
      <alignment horizontal="right" vertical="center" wrapText="1"/>
    </xf>
    <xf numFmtId="166" fontId="33" fillId="0" borderId="52" xfId="1" applyNumberFormat="1" applyFont="1" applyBorder="1" applyAlignment="1">
      <alignment horizontal="right" vertical="center" wrapText="1"/>
    </xf>
    <xf numFmtId="166" fontId="33" fillId="0" borderId="1" xfId="1" applyNumberFormat="1" applyFont="1" applyBorder="1" applyAlignment="1">
      <alignment horizontal="right" vertical="center" wrapText="1"/>
    </xf>
    <xf numFmtId="166" fontId="33" fillId="0" borderId="81" xfId="1" applyNumberFormat="1" applyFont="1" applyBorder="1" applyAlignment="1">
      <alignment horizontal="right" vertical="center" wrapText="1"/>
    </xf>
    <xf numFmtId="166" fontId="33" fillId="0" borderId="26" xfId="1" applyNumberFormat="1" applyFont="1" applyBorder="1" applyAlignment="1">
      <alignment horizontal="right" vertical="center" wrapText="1"/>
    </xf>
    <xf numFmtId="166" fontId="33" fillId="0" borderId="27" xfId="1" applyNumberFormat="1" applyFont="1" applyBorder="1" applyAlignment="1">
      <alignment horizontal="right" vertical="center" wrapText="1"/>
    </xf>
    <xf numFmtId="166" fontId="33" fillId="0" borderId="28" xfId="1" applyNumberFormat="1" applyFont="1" applyBorder="1" applyAlignment="1">
      <alignment horizontal="right" vertical="center" wrapText="1"/>
    </xf>
    <xf numFmtId="0" fontId="13" fillId="0" borderId="0" xfId="0" applyFont="1"/>
    <xf numFmtId="166" fontId="13" fillId="0" borderId="26" xfId="1" applyNumberFormat="1" applyFont="1" applyBorder="1" applyAlignment="1">
      <alignment horizontal="center" vertical="center"/>
    </xf>
    <xf numFmtId="166" fontId="13" fillId="0" borderId="27" xfId="1" applyNumberFormat="1" applyFont="1" applyBorder="1" applyAlignment="1">
      <alignment horizontal="center" vertical="center"/>
    </xf>
    <xf numFmtId="166" fontId="13" fillId="0" borderId="28" xfId="1" applyNumberFormat="1" applyFont="1" applyBorder="1" applyAlignment="1">
      <alignment horizontal="center" vertical="center"/>
    </xf>
    <xf numFmtId="166" fontId="13" fillId="20" borderId="26" xfId="1" applyNumberFormat="1" applyFont="1" applyFill="1" applyBorder="1" applyAlignment="1">
      <alignment horizontal="center" vertical="center"/>
    </xf>
    <xf numFmtId="166" fontId="13" fillId="20" borderId="27" xfId="1" applyNumberFormat="1" applyFont="1" applyFill="1" applyBorder="1" applyAlignment="1">
      <alignment horizontal="center" vertical="center"/>
    </xf>
    <xf numFmtId="166" fontId="13" fillId="20" borderId="28" xfId="1" applyNumberFormat="1" applyFont="1" applyFill="1" applyBorder="1" applyAlignment="1">
      <alignment horizontal="center" vertical="center"/>
    </xf>
    <xf numFmtId="166" fontId="13" fillId="24" borderId="27" xfId="1" applyNumberFormat="1" applyFont="1" applyFill="1" applyBorder="1" applyAlignment="1">
      <alignment horizontal="center" vertical="center"/>
    </xf>
    <xf numFmtId="166" fontId="13" fillId="24" borderId="28" xfId="1" applyNumberFormat="1" applyFont="1" applyFill="1" applyBorder="1" applyAlignment="1">
      <alignment horizontal="center" vertical="center"/>
    </xf>
    <xf numFmtId="166" fontId="13" fillId="0" borderId="81" xfId="1" applyNumberFormat="1" applyFont="1" applyBorder="1" applyAlignment="1">
      <alignment horizontal="center" vertical="center"/>
    </xf>
    <xf numFmtId="2" fontId="32" fillId="25" borderId="8" xfId="0" applyNumberFormat="1" applyFont="1" applyFill="1" applyBorder="1" applyAlignment="1">
      <alignment horizontal="left" vertical="center" wrapText="1"/>
    </xf>
    <xf numFmtId="166" fontId="32" fillId="25" borderId="42" xfId="1" applyNumberFormat="1" applyFont="1" applyFill="1" applyBorder="1" applyAlignment="1">
      <alignment horizontal="right" vertical="center" wrapText="1"/>
    </xf>
    <xf numFmtId="166" fontId="32" fillId="25" borderId="57" xfId="1" applyNumberFormat="1" applyFont="1" applyFill="1" applyBorder="1" applyAlignment="1">
      <alignment horizontal="right" vertical="center" wrapText="1"/>
    </xf>
    <xf numFmtId="166" fontId="32" fillId="25" borderId="43" xfId="1" applyNumberFormat="1" applyFont="1" applyFill="1" applyBorder="1" applyAlignment="1">
      <alignment horizontal="right" vertical="center" wrapText="1"/>
    </xf>
    <xf numFmtId="166" fontId="32" fillId="0" borderId="0" xfId="1" applyNumberFormat="1" applyFont="1" applyFill="1" applyBorder="1" applyAlignment="1">
      <alignment horizontal="right" vertical="center" wrapText="1"/>
    </xf>
    <xf numFmtId="0" fontId="8" fillId="13" borderId="76" xfId="1" applyNumberFormat="1" applyFont="1" applyFill="1" applyBorder="1" applyAlignment="1">
      <alignment horizontal="left" vertical="center" wrapText="1"/>
    </xf>
    <xf numFmtId="0" fontId="8" fillId="13" borderId="12" xfId="1" applyNumberFormat="1" applyFont="1" applyFill="1" applyBorder="1" applyAlignment="1">
      <alignment horizontal="center" vertical="center" wrapText="1"/>
    </xf>
    <xf numFmtId="166" fontId="25" fillId="13" borderId="8" xfId="1" applyNumberFormat="1" applyFont="1" applyFill="1" applyBorder="1" applyAlignment="1">
      <alignment horizontal="center" vertical="center" wrapText="1"/>
    </xf>
    <xf numFmtId="166" fontId="25" fillId="13" borderId="10" xfId="1" applyNumberFormat="1" applyFont="1" applyFill="1" applyBorder="1" applyAlignment="1">
      <alignment horizontal="center" vertical="center" wrapText="1"/>
    </xf>
    <xf numFmtId="166" fontId="25" fillId="13" borderId="12" xfId="1" applyNumberFormat="1" applyFont="1" applyFill="1" applyBorder="1" applyAlignment="1">
      <alignment horizontal="center" vertical="center" wrapText="1"/>
    </xf>
    <xf numFmtId="166" fontId="25" fillId="13" borderId="9" xfId="1" applyNumberFormat="1" applyFont="1" applyFill="1" applyBorder="1" applyAlignment="1">
      <alignment horizontal="center" vertical="center" wrapText="1"/>
    </xf>
    <xf numFmtId="169" fontId="0" fillId="0" borderId="0" xfId="0" applyNumberFormat="1"/>
    <xf numFmtId="166" fontId="8" fillId="13" borderId="76" xfId="1" applyNumberFormat="1" applyFont="1" applyFill="1" applyBorder="1" applyAlignment="1">
      <alignment vertical="top" wrapText="1"/>
    </xf>
    <xf numFmtId="3" fontId="8" fillId="13" borderId="12" xfId="1" applyNumberFormat="1" applyFont="1" applyFill="1" applyBorder="1" applyAlignment="1">
      <alignment horizontal="center" vertical="top" wrapText="1"/>
    </xf>
    <xf numFmtId="166" fontId="25" fillId="13" borderId="8" xfId="1" applyNumberFormat="1" applyFont="1" applyFill="1" applyBorder="1" applyAlignment="1">
      <alignment horizontal="right" vertical="center" wrapText="1"/>
    </xf>
    <xf numFmtId="9" fontId="25" fillId="13" borderId="8" xfId="2" applyFont="1" applyFill="1" applyBorder="1" applyAlignment="1">
      <alignment horizontal="center" vertical="center" wrapText="1"/>
    </xf>
    <xf numFmtId="9" fontId="2" fillId="13" borderId="18" xfId="2" applyFont="1" applyFill="1" applyBorder="1" applyAlignment="1">
      <alignment horizontal="center"/>
    </xf>
    <xf numFmtId="165" fontId="0" fillId="0" borderId="0" xfId="0" applyNumberFormat="1"/>
    <xf numFmtId="166" fontId="8" fillId="13" borderId="76" xfId="1" applyNumberFormat="1" applyFont="1" applyFill="1" applyBorder="1" applyAlignment="1">
      <alignment vertical="top"/>
    </xf>
    <xf numFmtId="37" fontId="25" fillId="13" borderId="8" xfId="1" applyNumberFormat="1" applyFont="1" applyFill="1" applyBorder="1" applyAlignment="1">
      <alignment horizontal="center" vertical="center" wrapText="1"/>
    </xf>
    <xf numFmtId="9" fontId="2" fillId="13" borderId="38" xfId="2" applyFont="1" applyFill="1" applyBorder="1" applyAlignment="1">
      <alignment horizontal="center"/>
    </xf>
    <xf numFmtId="9" fontId="0" fillId="0" borderId="0" xfId="2" applyFont="1"/>
    <xf numFmtId="166" fontId="0" fillId="0" borderId="0" xfId="0" applyNumberFormat="1"/>
    <xf numFmtId="0" fontId="9" fillId="0" borderId="0" xfId="0" applyNumberFormat="1" applyFont="1" applyBorder="1" applyAlignment="1">
      <alignment horizontal="center"/>
    </xf>
    <xf numFmtId="43" fontId="0" fillId="0" borderId="0" xfId="0" applyNumberFormat="1"/>
    <xf numFmtId="0" fontId="9" fillId="0" borderId="27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5" fontId="23" fillId="9" borderId="2" xfId="3" applyNumberFormat="1" applyFont="1" applyFill="1" applyBorder="1" applyAlignment="1">
      <alignment horizontal="center"/>
    </xf>
    <xf numFmtId="8" fontId="2" fillId="0" borderId="0" xfId="0" applyNumberFormat="1" applyFont="1" applyFill="1" applyBorder="1"/>
    <xf numFmtId="166" fontId="16" fillId="2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 wrapText="1"/>
    </xf>
    <xf numFmtId="0" fontId="36" fillId="0" borderId="0" xfId="0" applyFont="1" applyAlignment="1">
      <alignment horizontal="center"/>
    </xf>
    <xf numFmtId="43" fontId="13" fillId="0" borderId="0" xfId="2" applyNumberFormat="1" applyFont="1"/>
    <xf numFmtId="9" fontId="13" fillId="0" borderId="0" xfId="2" applyFont="1"/>
    <xf numFmtId="166" fontId="13" fillId="0" borderId="0" xfId="0" applyNumberFormat="1" applyFont="1"/>
    <xf numFmtId="0" fontId="8" fillId="0" borderId="0" xfId="0" applyFont="1"/>
    <xf numFmtId="0" fontId="13" fillId="0" borderId="0" xfId="0" applyFont="1" applyFill="1" applyBorder="1"/>
    <xf numFmtId="16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/>
    <xf numFmtId="166" fontId="13" fillId="0" borderId="0" xfId="0" applyNumberFormat="1" applyFont="1" applyFill="1"/>
    <xf numFmtId="2" fontId="32" fillId="0" borderId="0" xfId="0" applyNumberFormat="1" applyFont="1" applyFill="1" applyBorder="1" applyAlignment="1">
      <alignment horizontal="left" vertical="center" wrapText="1"/>
    </xf>
    <xf numFmtId="166" fontId="32" fillId="0" borderId="0" xfId="1" applyNumberFormat="1" applyFont="1" applyFill="1" applyBorder="1" applyAlignment="1">
      <alignment horizontal="left" vertical="center" wrapText="1"/>
    </xf>
    <xf numFmtId="166" fontId="41" fillId="0" borderId="0" xfId="1" applyNumberFormat="1" applyFont="1" applyFill="1" applyBorder="1" applyAlignment="1">
      <alignment horizontal="right" vertical="center" wrapText="1"/>
    </xf>
    <xf numFmtId="0" fontId="13" fillId="0" borderId="0" xfId="0" applyFont="1" applyFill="1" applyAlignment="1">
      <alignment horizontal="left" indent="1"/>
    </xf>
    <xf numFmtId="0" fontId="13" fillId="13" borderId="13" xfId="0" applyFont="1" applyFill="1" applyBorder="1" applyAlignment="1">
      <alignment horizontal="left" indent="1"/>
    </xf>
    <xf numFmtId="166" fontId="13" fillId="13" borderId="86" xfId="0" applyNumberFormat="1" applyFont="1" applyFill="1" applyBorder="1"/>
    <xf numFmtId="166" fontId="13" fillId="13" borderId="87" xfId="0" applyNumberFormat="1" applyFont="1" applyFill="1" applyBorder="1"/>
    <xf numFmtId="166" fontId="13" fillId="0" borderId="0" xfId="0" applyNumberFormat="1" applyFont="1" applyFill="1" applyBorder="1"/>
    <xf numFmtId="2" fontId="32" fillId="25" borderId="26" xfId="0" applyNumberFormat="1" applyFont="1" applyFill="1" applyBorder="1" applyAlignment="1">
      <alignment horizontal="left" vertical="center" wrapText="1"/>
    </xf>
    <xf numFmtId="43" fontId="13" fillId="0" borderId="0" xfId="0" applyNumberFormat="1" applyFont="1" applyFill="1" applyBorder="1"/>
    <xf numFmtId="0" fontId="13" fillId="20" borderId="42" xfId="0" applyFont="1" applyFill="1" applyBorder="1" applyAlignment="1">
      <alignment horizontal="left" indent="1"/>
    </xf>
    <xf numFmtId="43" fontId="13" fillId="20" borderId="38" xfId="0" applyNumberFormat="1" applyFont="1" applyFill="1" applyBorder="1"/>
    <xf numFmtId="0" fontId="13" fillId="0" borderId="0" xfId="0" applyFont="1" applyFill="1" applyBorder="1" applyAlignment="1">
      <alignment horizontal="left" indent="1"/>
    </xf>
    <xf numFmtId="166" fontId="13" fillId="0" borderId="0" xfId="2" applyNumberFormat="1" applyFont="1" applyFill="1" applyBorder="1"/>
    <xf numFmtId="9" fontId="13" fillId="0" borderId="0" xfId="2" applyFont="1" applyFill="1" applyBorder="1"/>
    <xf numFmtId="166" fontId="8" fillId="0" borderId="0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6" fontId="13" fillId="0" borderId="0" xfId="1" applyNumberFormat="1" applyFont="1" applyFill="1" applyBorder="1"/>
    <xf numFmtId="9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0" borderId="0" xfId="0" applyFont="1" applyFill="1" applyBorder="1"/>
    <xf numFmtId="166" fontId="16" fillId="0" borderId="0" xfId="0" applyNumberFormat="1" applyFont="1" applyFill="1" applyBorder="1"/>
    <xf numFmtId="43" fontId="16" fillId="0" borderId="0" xfId="0" applyNumberFormat="1" applyFont="1" applyFill="1" applyBorder="1"/>
    <xf numFmtId="0" fontId="8" fillId="0" borderId="0" xfId="0" applyFont="1" applyFill="1" applyBorder="1" applyAlignment="1">
      <alignment horizontal="center" wrapText="1"/>
    </xf>
    <xf numFmtId="9" fontId="8" fillId="0" borderId="0" xfId="0" applyNumberFormat="1" applyFont="1" applyFill="1" applyBorder="1" applyAlignment="1">
      <alignment horizontal="center"/>
    </xf>
    <xf numFmtId="17" fontId="13" fillId="0" borderId="0" xfId="0" applyNumberFormat="1" applyFont="1" applyFill="1"/>
    <xf numFmtId="166" fontId="40" fillId="26" borderId="57" xfId="1" applyNumberFormat="1" applyFont="1" applyFill="1" applyBorder="1" applyAlignment="1">
      <alignment horizontal="left" vertical="center" wrapText="1"/>
    </xf>
    <xf numFmtId="166" fontId="37" fillId="26" borderId="57" xfId="1" applyNumberFormat="1" applyFont="1" applyFill="1" applyBorder="1"/>
    <xf numFmtId="0" fontId="13" fillId="26" borderId="0" xfId="0" applyFont="1" applyFill="1"/>
    <xf numFmtId="0" fontId="13" fillId="9" borderId="0" xfId="0" applyFont="1" applyFill="1"/>
    <xf numFmtId="166" fontId="40" fillId="9" borderId="57" xfId="1" applyNumberFormat="1" applyFont="1" applyFill="1" applyBorder="1" applyAlignment="1">
      <alignment horizontal="left" vertical="center" wrapText="1"/>
    </xf>
    <xf numFmtId="166" fontId="37" fillId="9" borderId="57" xfId="1" applyNumberFormat="1" applyFont="1" applyFill="1" applyBorder="1"/>
    <xf numFmtId="166" fontId="37" fillId="9" borderId="43" xfId="1" applyNumberFormat="1" applyFont="1" applyFill="1" applyBorder="1"/>
    <xf numFmtId="166" fontId="37" fillId="26" borderId="43" xfId="1" applyNumberFormat="1" applyFont="1" applyFill="1" applyBorder="1"/>
    <xf numFmtId="166" fontId="8" fillId="9" borderId="27" xfId="1" applyNumberFormat="1" applyFont="1" applyFill="1" applyBorder="1" applyAlignment="1">
      <alignment horizontal="left" vertical="center"/>
    </xf>
    <xf numFmtId="166" fontId="2" fillId="9" borderId="27" xfId="0" applyNumberFormat="1" applyFont="1" applyFill="1" applyBorder="1"/>
    <xf numFmtId="166" fontId="8" fillId="26" borderId="27" xfId="1" applyNumberFormat="1" applyFont="1" applyFill="1" applyBorder="1" applyAlignment="1">
      <alignment horizontal="left" vertical="center"/>
    </xf>
    <xf numFmtId="166" fontId="13" fillId="26" borderId="27" xfId="1" applyNumberFormat="1" applyFont="1" applyFill="1" applyBorder="1"/>
    <xf numFmtId="43" fontId="32" fillId="0" borderId="0" xfId="1" applyNumberFormat="1" applyFont="1" applyFill="1" applyBorder="1" applyAlignment="1">
      <alignment horizontal="left" vertical="center" wrapText="1"/>
    </xf>
    <xf numFmtId="43" fontId="42" fillId="0" borderId="0" xfId="1" applyFont="1" applyBorder="1" applyAlignment="1">
      <alignment vertical="center"/>
    </xf>
    <xf numFmtId="2" fontId="42" fillId="0" borderId="0" xfId="0" applyNumberFormat="1" applyFont="1" applyBorder="1" applyAlignment="1">
      <alignment vertical="center"/>
    </xf>
    <xf numFmtId="166" fontId="32" fillId="0" borderId="1" xfId="1" applyNumberFormat="1" applyFont="1" applyFill="1" applyBorder="1" applyAlignment="1">
      <alignment horizontal="right" vertical="center" wrapText="1"/>
    </xf>
    <xf numFmtId="2" fontId="32" fillId="0" borderId="22" xfId="0" applyNumberFormat="1" applyFont="1" applyFill="1" applyBorder="1" applyAlignment="1">
      <alignment horizontal="left" vertical="center" wrapText="1"/>
    </xf>
    <xf numFmtId="43" fontId="32" fillId="0" borderId="1" xfId="1" applyNumberFormat="1" applyFont="1" applyFill="1" applyBorder="1" applyAlignment="1">
      <alignment horizontal="left" vertical="center" wrapText="1"/>
    </xf>
    <xf numFmtId="166" fontId="13" fillId="25" borderId="36" xfId="0" applyNumberFormat="1" applyFont="1" applyFill="1" applyBorder="1"/>
    <xf numFmtId="166" fontId="13" fillId="25" borderId="79" xfId="0" applyNumberFormat="1" applyFont="1" applyFill="1" applyBorder="1"/>
    <xf numFmtId="166" fontId="13" fillId="25" borderId="27" xfId="0" applyNumberFormat="1" applyFont="1" applyFill="1" applyBorder="1"/>
    <xf numFmtId="164" fontId="38" fillId="27" borderId="77" xfId="0" applyNumberFormat="1" applyFont="1" applyFill="1" applyBorder="1" applyAlignment="1">
      <alignment horizontal="center" vertical="center"/>
    </xf>
    <xf numFmtId="164" fontId="38" fillId="27" borderId="27" xfId="0" applyNumberFormat="1" applyFont="1" applyFill="1" applyBorder="1" applyAlignment="1">
      <alignment horizontal="center" vertical="center"/>
    </xf>
    <xf numFmtId="166" fontId="8" fillId="27" borderId="27" xfId="1" applyNumberFormat="1" applyFont="1" applyFill="1" applyBorder="1" applyAlignment="1">
      <alignment horizontal="left" vertical="center"/>
    </xf>
    <xf numFmtId="164" fontId="8" fillId="27" borderId="27" xfId="0" applyNumberFormat="1" applyFont="1" applyFill="1" applyBorder="1" applyAlignment="1">
      <alignment horizontal="center" vertical="center"/>
    </xf>
    <xf numFmtId="166" fontId="8" fillId="27" borderId="13" xfId="1" applyNumberFormat="1" applyFont="1" applyFill="1" applyBorder="1" applyAlignment="1">
      <alignment horizontal="left" vertical="center"/>
    </xf>
    <xf numFmtId="166" fontId="8" fillId="27" borderId="16" xfId="1" applyNumberFormat="1" applyFont="1" applyFill="1" applyBorder="1" applyAlignment="1">
      <alignment horizontal="left" vertical="center"/>
    </xf>
    <xf numFmtId="164" fontId="8" fillId="27" borderId="16" xfId="0" applyNumberFormat="1" applyFont="1" applyFill="1" applyBorder="1" applyAlignment="1">
      <alignment horizontal="center" vertical="center"/>
    </xf>
    <xf numFmtId="164" fontId="8" fillId="27" borderId="14" xfId="0" applyNumberFormat="1" applyFont="1" applyFill="1" applyBorder="1" applyAlignment="1">
      <alignment horizontal="center" vertical="center"/>
    </xf>
    <xf numFmtId="166" fontId="8" fillId="9" borderId="26" xfId="1" applyNumberFormat="1" applyFont="1" applyFill="1" applyBorder="1" applyAlignment="1">
      <alignment horizontal="left" vertical="center"/>
    </xf>
    <xf numFmtId="166" fontId="2" fillId="9" borderId="28" xfId="0" applyNumberFormat="1" applyFont="1" applyFill="1" applyBorder="1"/>
    <xf numFmtId="166" fontId="8" fillId="27" borderId="26" xfId="1" applyNumberFormat="1" applyFont="1" applyFill="1" applyBorder="1" applyAlignment="1">
      <alignment horizontal="left" vertical="center"/>
    </xf>
    <xf numFmtId="164" fontId="8" fillId="27" borderId="28" xfId="0" applyNumberFormat="1" applyFont="1" applyFill="1" applyBorder="1" applyAlignment="1">
      <alignment horizontal="center" vertical="center"/>
    </xf>
    <xf numFmtId="166" fontId="8" fillId="26" borderId="26" xfId="1" applyNumberFormat="1" applyFont="1" applyFill="1" applyBorder="1" applyAlignment="1">
      <alignment horizontal="left" vertical="center"/>
    </xf>
    <xf numFmtId="166" fontId="13" fillId="26" borderId="28" xfId="1" applyNumberFormat="1" applyFont="1" applyFill="1" applyBorder="1"/>
    <xf numFmtId="2" fontId="32" fillId="26" borderId="42" xfId="0" applyNumberFormat="1" applyFont="1" applyFill="1" applyBorder="1" applyAlignment="1">
      <alignment horizontal="left" vertical="center" wrapText="1"/>
    </xf>
    <xf numFmtId="166" fontId="39" fillId="26" borderId="57" xfId="1" applyNumberFormat="1" applyFont="1" applyFill="1" applyBorder="1" applyAlignment="1">
      <alignment horizontal="left" vertical="center" wrapText="1"/>
    </xf>
    <xf numFmtId="0" fontId="8" fillId="0" borderId="50" xfId="0" applyFont="1" applyBorder="1"/>
    <xf numFmtId="0" fontId="8" fillId="0" borderId="51" xfId="0" applyFont="1" applyBorder="1"/>
    <xf numFmtId="0" fontId="8" fillId="0" borderId="52" xfId="0" applyFont="1" applyBorder="1"/>
    <xf numFmtId="2" fontId="32" fillId="9" borderId="42" xfId="0" applyNumberFormat="1" applyFont="1" applyFill="1" applyBorder="1" applyAlignment="1">
      <alignment horizontal="left" vertical="center" wrapText="1"/>
    </xf>
    <xf numFmtId="166" fontId="39" fillId="9" borderId="57" xfId="1" applyNumberFormat="1" applyFont="1" applyFill="1" applyBorder="1" applyAlignment="1">
      <alignment horizontal="left" vertical="center" wrapText="1"/>
    </xf>
    <xf numFmtId="0" fontId="2" fillId="13" borderId="3" xfId="0" applyFont="1" applyFill="1" applyBorder="1"/>
    <xf numFmtId="0" fontId="8" fillId="13" borderId="74" xfId="0" applyFont="1" applyFill="1" applyBorder="1"/>
    <xf numFmtId="164" fontId="8" fillId="13" borderId="88" xfId="0" applyNumberFormat="1" applyFont="1" applyFill="1" applyBorder="1"/>
    <xf numFmtId="164" fontId="8" fillId="13" borderId="89" xfId="1" applyNumberFormat="1" applyFont="1" applyFill="1" applyBorder="1"/>
    <xf numFmtId="164" fontId="8" fillId="13" borderId="19" xfId="1" applyNumberFormat="1" applyFont="1" applyFill="1" applyBorder="1"/>
    <xf numFmtId="166" fontId="41" fillId="0" borderId="0" xfId="1" applyNumberFormat="1" applyFont="1" applyFill="1" applyBorder="1" applyAlignment="1">
      <alignment horizontal="left" vertical="center" wrapText="1"/>
    </xf>
    <xf numFmtId="166" fontId="33" fillId="0" borderId="0" xfId="1" applyNumberFormat="1" applyFont="1" applyFill="1" applyBorder="1" applyAlignment="1">
      <alignment horizontal="right" vertical="center" wrapText="1"/>
    </xf>
    <xf numFmtId="166" fontId="13" fillId="0" borderId="0" xfId="1" applyNumberFormat="1" applyFont="1" applyFill="1" applyBorder="1" applyAlignment="1">
      <alignment horizontal="center" vertical="center"/>
    </xf>
    <xf numFmtId="166" fontId="16" fillId="0" borderId="0" xfId="1" applyNumberFormat="1" applyFont="1" applyFill="1" applyBorder="1" applyAlignment="1">
      <alignment horizontal="center" vertical="center"/>
    </xf>
    <xf numFmtId="166" fontId="39" fillId="0" borderId="0" xfId="1" applyNumberFormat="1" applyFont="1" applyFill="1" applyBorder="1" applyAlignment="1">
      <alignment horizontal="left" vertical="center" wrapText="1"/>
    </xf>
    <xf numFmtId="166" fontId="13" fillId="0" borderId="1" xfId="1" applyNumberFormat="1" applyFont="1" applyFill="1" applyBorder="1" applyAlignment="1">
      <alignment horizontal="center" vertical="center"/>
    </xf>
    <xf numFmtId="166" fontId="16" fillId="0" borderId="1" xfId="1" applyNumberFormat="1" applyFont="1" applyFill="1" applyBorder="1" applyAlignment="1">
      <alignment horizontal="center" vertical="center"/>
    </xf>
    <xf numFmtId="2" fontId="32" fillId="18" borderId="60" xfId="0" applyNumberFormat="1" applyFont="1" applyFill="1" applyBorder="1" applyAlignment="1">
      <alignment horizontal="left" vertical="center" wrapText="1"/>
    </xf>
    <xf numFmtId="166" fontId="39" fillId="18" borderId="2" xfId="1" applyNumberFormat="1" applyFont="1" applyFill="1" applyBorder="1" applyAlignment="1">
      <alignment horizontal="left" vertical="center" wrapText="1"/>
    </xf>
    <xf numFmtId="166" fontId="32" fillId="18" borderId="2" xfId="1" applyNumberFormat="1" applyFont="1" applyFill="1" applyBorder="1" applyAlignment="1">
      <alignment horizontal="right" vertical="center" wrapText="1"/>
    </xf>
    <xf numFmtId="166" fontId="32" fillId="18" borderId="81" xfId="1" applyNumberFormat="1" applyFont="1" applyFill="1" applyBorder="1" applyAlignment="1">
      <alignment horizontal="right" vertical="center" wrapText="1"/>
    </xf>
  </cellXfs>
  <cellStyles count="4">
    <cellStyle name="Comma" xfId="1" builtinId="3"/>
    <cellStyle name="Normal" xfId="0" builtinId="0"/>
    <cellStyle name="Normal 10 10" xfId="3" xr:uid="{46AFB02A-B53E-4B6E-864B-D1FB82AA56F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Enamikpong.Ngwobia\Desktop\Cadence\2018\Initiative%206200-%20Gas%20&amp;%20Power%20Revenue%20collections%20Actual%20-Oct%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Department\BDD\BGE%20Team\Gas%20Accounts\2019\Gas%20Perf%20Report%20%202019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Actual Collections "/>
      <sheetName val="Invoices and Payments All"/>
      <sheetName val="Sheet6"/>
      <sheetName val="2018 Estimated Gas &amp; Power Rev"/>
      <sheetName val="2018 Proposed Collections Plan"/>
      <sheetName val="NBET Payment"/>
      <sheetName val="Sheet1"/>
      <sheetName val="Sheet4"/>
      <sheetName val="Sheet7"/>
      <sheetName val="Sheet5"/>
      <sheetName val="Sheet3"/>
      <sheetName val="Sheet2"/>
    </sheetNames>
    <sheetDataSet>
      <sheetData sheetId="0" refreshError="1"/>
      <sheetData sheetId="1">
        <row r="20">
          <cell r="I20">
            <v>106016.67959895899</v>
          </cell>
        </row>
        <row r="21">
          <cell r="I21">
            <v>71727.105541751938</v>
          </cell>
        </row>
        <row r="23">
          <cell r="I23">
            <v>291278.27173647966</v>
          </cell>
        </row>
        <row r="24">
          <cell r="I24">
            <v>186078.3898960707</v>
          </cell>
        </row>
        <row r="25">
          <cell r="I25">
            <v>858079.32142784854</v>
          </cell>
        </row>
        <row r="26">
          <cell r="I26">
            <v>321222.92620264326</v>
          </cell>
        </row>
        <row r="27">
          <cell r="I27">
            <v>258750.8624751982</v>
          </cell>
        </row>
        <row r="29">
          <cell r="I29">
            <v>370624.77135707997</v>
          </cell>
        </row>
        <row r="30">
          <cell r="I30">
            <v>275556.06570073229</v>
          </cell>
        </row>
        <row r="31">
          <cell r="I31">
            <v>108400.31948013416</v>
          </cell>
        </row>
      </sheetData>
      <sheetData sheetId="2" refreshError="1"/>
      <sheetData sheetId="3">
        <row r="6">
          <cell r="P6">
            <v>0</v>
          </cell>
        </row>
        <row r="7">
          <cell r="P7">
            <v>814680.00000000012</v>
          </cell>
        </row>
        <row r="8">
          <cell r="P8">
            <v>1357800.0000000002</v>
          </cell>
        </row>
        <row r="9">
          <cell r="P9">
            <v>3405450</v>
          </cell>
        </row>
        <row r="11">
          <cell r="P11">
            <v>1475695.0000000002</v>
          </cell>
        </row>
        <row r="13">
          <cell r="P13">
            <v>29200000</v>
          </cell>
        </row>
        <row r="15">
          <cell r="P15">
            <v>3376250</v>
          </cell>
        </row>
        <row r="16">
          <cell r="P16">
            <v>19345000</v>
          </cell>
        </row>
        <row r="18">
          <cell r="P18">
            <v>4054785</v>
          </cell>
        </row>
        <row r="22">
          <cell r="P22">
            <v>10950000</v>
          </cell>
        </row>
        <row r="25">
          <cell r="P25">
            <v>3405450</v>
          </cell>
        </row>
        <row r="27">
          <cell r="P27">
            <v>1916250</v>
          </cell>
        </row>
        <row r="28">
          <cell r="P28">
            <v>5748750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Payments"/>
      <sheetName val="2019 Sales"/>
      <sheetName val=" NNPC Retention"/>
      <sheetName val="Summary"/>
      <sheetName val="Chart"/>
      <sheetName val="Report"/>
      <sheetName val="Sheet1"/>
    </sheetNames>
    <sheetDataSet>
      <sheetData sheetId="0"/>
      <sheetData sheetId="1"/>
      <sheetData sheetId="2">
        <row r="5">
          <cell r="M5">
            <v>19593440.61845975</v>
          </cell>
        </row>
        <row r="7">
          <cell r="M7">
            <v>25939336.202656105</v>
          </cell>
        </row>
        <row r="13">
          <cell r="M13">
            <v>154215899.79707715</v>
          </cell>
        </row>
        <row r="14">
          <cell r="M14">
            <v>146822685.46000001</v>
          </cell>
        </row>
        <row r="16">
          <cell r="M16">
            <v>164565536.09779999</v>
          </cell>
        </row>
        <row r="19">
          <cell r="M19">
            <v>289252381.5</v>
          </cell>
        </row>
        <row r="26">
          <cell r="M26">
            <v>51603308.837177396</v>
          </cell>
        </row>
        <row r="40">
          <cell r="M40">
            <v>148448973.26657999</v>
          </cell>
        </row>
        <row r="41">
          <cell r="M41">
            <v>407830588.19999999</v>
          </cell>
        </row>
        <row r="42">
          <cell r="M42">
            <v>92625711.983519986</v>
          </cell>
        </row>
        <row r="43">
          <cell r="M43">
            <v>59666866.971839994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ECB3-96D5-4585-858E-311CEF27183D}">
  <dimension ref="A2:T69"/>
  <sheetViews>
    <sheetView tabSelected="1" topLeftCell="D11" zoomScale="87" zoomScaleNormal="87" workbookViewId="0">
      <selection activeCell="F28" sqref="F28"/>
    </sheetView>
  </sheetViews>
  <sheetFormatPr defaultColWidth="8.7109375" defaultRowHeight="15" x14ac:dyDescent="0.25"/>
  <cols>
    <col min="1" max="1" width="8.7109375" style="381"/>
    <col min="2" max="2" width="42.85546875" style="381" customWidth="1"/>
    <col min="3" max="3" width="19.28515625" style="381" bestFit="1" customWidth="1"/>
    <col min="4" max="4" width="19.28515625" style="381" customWidth="1"/>
    <col min="5" max="5" width="18.85546875" style="381" customWidth="1"/>
    <col min="6" max="6" width="16.5703125" style="381" bestFit="1" customWidth="1"/>
    <col min="7" max="7" width="20.7109375" style="381" customWidth="1"/>
    <col min="8" max="16" width="17.7109375" style="381" customWidth="1"/>
    <col min="17" max="17" width="17.7109375" style="371" customWidth="1"/>
    <col min="18" max="18" width="17.5703125" style="371" customWidth="1"/>
    <col min="19" max="19" width="9" style="381" customWidth="1"/>
    <col min="20" max="21" width="6.7109375" style="381" customWidth="1"/>
    <col min="22" max="16384" width="8.7109375" style="381"/>
  </cols>
  <sheetData>
    <row r="2" spans="1:20" ht="21" x14ac:dyDescent="0.35">
      <c r="B2" s="422" t="s">
        <v>92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</row>
    <row r="3" spans="1:20" x14ac:dyDescent="0.25">
      <c r="D3" s="424"/>
      <c r="E3" s="425"/>
      <c r="F3" s="426"/>
    </row>
    <row r="4" spans="1:20" ht="15.75" thickBot="1" x14ac:dyDescent="0.3">
      <c r="B4" s="427"/>
      <c r="E4" s="426"/>
      <c r="Q4" s="428"/>
    </row>
    <row r="5" spans="1:20" s="371" customFormat="1" x14ac:dyDescent="0.25">
      <c r="B5" s="484" t="s">
        <v>91</v>
      </c>
      <c r="C5" s="485" t="s">
        <v>62</v>
      </c>
      <c r="D5" s="486">
        <v>43800</v>
      </c>
      <c r="E5" s="486">
        <v>43861</v>
      </c>
      <c r="F5" s="486">
        <v>43862</v>
      </c>
      <c r="G5" s="486">
        <v>43892</v>
      </c>
      <c r="H5" s="486">
        <v>43924</v>
      </c>
      <c r="I5" s="486">
        <v>43955</v>
      </c>
      <c r="J5" s="486">
        <v>43987</v>
      </c>
      <c r="K5" s="486">
        <v>44018</v>
      </c>
      <c r="L5" s="486">
        <v>44050</v>
      </c>
      <c r="M5" s="486">
        <v>44082</v>
      </c>
      <c r="N5" s="486">
        <v>44113</v>
      </c>
      <c r="O5" s="486">
        <v>44145</v>
      </c>
      <c r="P5" s="487">
        <v>44176</v>
      </c>
      <c r="Q5" s="429"/>
    </row>
    <row r="6" spans="1:20" s="462" customFormat="1" x14ac:dyDescent="0.25">
      <c r="A6" s="371"/>
      <c r="B6" s="488" t="s">
        <v>86</v>
      </c>
      <c r="C6" s="467">
        <f>SUM(E6:P6)</f>
        <v>128411831.99999999</v>
      </c>
      <c r="D6" s="467"/>
      <c r="E6" s="468">
        <f>'OP19 Target'!C54</f>
        <v>11599350.697383834</v>
      </c>
      <c r="F6" s="468">
        <f>'OP19 Target'!D54</f>
        <v>7755185.4806716125</v>
      </c>
      <c r="G6" s="468">
        <f>'OP19 Target'!E54</f>
        <v>11599350.697383834</v>
      </c>
      <c r="H6" s="468">
        <f>'OP19 Target'!F54</f>
        <v>6835928.5810230384</v>
      </c>
      <c r="I6" s="468">
        <f>'OP19 Target'!G54</f>
        <v>11432213.079265911</v>
      </c>
      <c r="J6" s="468">
        <f>'OP19 Target'!H54</f>
        <v>10930800.224912142</v>
      </c>
      <c r="K6" s="468">
        <f>'OP19 Target'!I54</f>
        <v>12058979.147208123</v>
      </c>
      <c r="L6" s="468">
        <f>'OP19 Target'!J54</f>
        <v>9426561.6618508399</v>
      </c>
      <c r="M6" s="468">
        <f>'OP19 Target'!K54</f>
        <v>12769314.024209293</v>
      </c>
      <c r="N6" s="468">
        <f>'OP19 Target'!L54</f>
        <v>11432213.079265911</v>
      </c>
      <c r="O6" s="468">
        <f>'OP19 Target'!M54</f>
        <v>9342992.8527918793</v>
      </c>
      <c r="P6" s="489">
        <f>'OP19 Target'!N54</f>
        <v>13228942.474033577</v>
      </c>
      <c r="Q6" s="429"/>
      <c r="R6" s="431"/>
    </row>
    <row r="7" spans="1:20" s="461" customFormat="1" ht="16.5" thickBot="1" x14ac:dyDescent="0.3">
      <c r="A7" s="371"/>
      <c r="B7" s="499" t="s">
        <v>77</v>
      </c>
      <c r="C7" s="500">
        <f>SUM(E7:Q7)+D7</f>
        <v>28322305.078172587</v>
      </c>
      <c r="D7" s="463"/>
      <c r="E7" s="463">
        <f>E6*0.3</f>
        <v>3479805.2092151502</v>
      </c>
      <c r="F7" s="463">
        <f>F6*0.3</f>
        <v>2326555.6442014836</v>
      </c>
      <c r="G7" s="463">
        <f>G6*0.3</f>
        <v>3479805.2092151502</v>
      </c>
      <c r="H7" s="463">
        <f>H6*0.3</f>
        <v>2050778.5743069113</v>
      </c>
      <c r="I7" s="463">
        <f>I6*0.3</f>
        <v>3429663.9237797731</v>
      </c>
      <c r="J7" s="463">
        <f>J6*0.3</f>
        <v>3279240.0674736425</v>
      </c>
      <c r="K7" s="463">
        <f>K6*0.3</f>
        <v>3617693.7441624366</v>
      </c>
      <c r="L7" s="463">
        <f>L6*0.3</f>
        <v>2827968.4985552519</v>
      </c>
      <c r="M7" s="463">
        <f>M6*0.3</f>
        <v>3830794.2072627875</v>
      </c>
      <c r="N7" s="464"/>
      <c r="O7" s="464"/>
      <c r="P7" s="465"/>
      <c r="Q7" s="430"/>
      <c r="R7" s="371"/>
    </row>
    <row r="8" spans="1:20" x14ac:dyDescent="0.25">
      <c r="A8" s="371"/>
      <c r="B8" s="496"/>
      <c r="C8" s="497"/>
      <c r="D8" s="497"/>
      <c r="E8" s="497"/>
      <c r="F8" s="497"/>
      <c r="G8" s="497"/>
      <c r="H8" s="497"/>
      <c r="I8" s="497"/>
      <c r="J8" s="497"/>
      <c r="K8" s="497"/>
      <c r="L8" s="497"/>
      <c r="M8" s="497"/>
      <c r="N8" s="497"/>
      <c r="O8" s="497"/>
      <c r="P8" s="498"/>
      <c r="Q8" s="430"/>
      <c r="R8" s="430"/>
      <c r="S8" s="427"/>
      <c r="T8" s="427"/>
    </row>
    <row r="9" spans="1:20" s="371" customFormat="1" x14ac:dyDescent="0.25">
      <c r="B9" s="490" t="s">
        <v>93</v>
      </c>
      <c r="C9" s="482" t="s">
        <v>62</v>
      </c>
      <c r="D9" s="483">
        <v>43921</v>
      </c>
      <c r="E9" s="483">
        <v>43922</v>
      </c>
      <c r="F9" s="483">
        <v>43952</v>
      </c>
      <c r="G9" s="483">
        <v>44012</v>
      </c>
      <c r="H9" s="483">
        <v>44042</v>
      </c>
      <c r="I9" s="483">
        <v>44073</v>
      </c>
      <c r="J9" s="483">
        <v>44104</v>
      </c>
      <c r="K9" s="483">
        <v>44134</v>
      </c>
      <c r="L9" s="483">
        <v>44165</v>
      </c>
      <c r="M9" s="483">
        <v>44195</v>
      </c>
      <c r="N9" s="483">
        <v>44227</v>
      </c>
      <c r="O9" s="483">
        <v>44197</v>
      </c>
      <c r="P9" s="491"/>
      <c r="Q9" s="430"/>
      <c r="R9" s="458"/>
      <c r="S9" s="458"/>
    </row>
    <row r="10" spans="1:20" x14ac:dyDescent="0.25">
      <c r="A10" s="371"/>
      <c r="B10" s="492" t="s">
        <v>87</v>
      </c>
      <c r="C10" s="469">
        <f>SUM(D10:M10)</f>
        <v>45687699.856396958</v>
      </c>
      <c r="D10" s="470">
        <v>5092395.9110162519</v>
      </c>
      <c r="E10" s="470">
        <f>'OP19 Target'!C55</f>
        <v>4987720.7998750489</v>
      </c>
      <c r="F10" s="470">
        <f>'OP19 Target'!D55</f>
        <v>3334729.7566887932</v>
      </c>
      <c r="G10" s="470">
        <f>'OP19 Target'!E55</f>
        <v>4987720.7998750489</v>
      </c>
      <c r="H10" s="470">
        <f>'OP19 Target'!F55</f>
        <v>2939449.2898399066</v>
      </c>
      <c r="I10" s="470">
        <f>'OP19 Target'!G55</f>
        <v>4915851.6240843413</v>
      </c>
      <c r="J10" s="470">
        <f>'OP19 Target'!H55</f>
        <v>4700244.0967122214</v>
      </c>
      <c r="K10" s="470">
        <f>'OP19 Target'!I55</f>
        <v>5185361.0332994927</v>
      </c>
      <c r="L10" s="470">
        <f>'OP19 Target'!J55</f>
        <v>4053421.5145958611</v>
      </c>
      <c r="M10" s="470">
        <f>'OP19 Target'!K55</f>
        <v>5490805.0304099955</v>
      </c>
      <c r="N10" s="470">
        <f>'OP19 Target'!M55</f>
        <v>4017486.9267005082</v>
      </c>
      <c r="O10" s="470">
        <f>'OP19 Target'!N55</f>
        <v>5688445.2638344383</v>
      </c>
      <c r="P10" s="493"/>
      <c r="Q10" s="430"/>
    </row>
    <row r="11" spans="1:20" s="371" customFormat="1" ht="16.5" thickBot="1" x14ac:dyDescent="0.3">
      <c r="B11" s="494" t="s">
        <v>77</v>
      </c>
      <c r="C11" s="495">
        <f>SUM(E11:Q11)+D11</f>
        <v>13706309.956919089</v>
      </c>
      <c r="D11" s="459">
        <f>D10*0.3</f>
        <v>1527718.7733048755</v>
      </c>
      <c r="E11" s="459">
        <f t="shared" ref="E11:M11" si="0">E10*0.3</f>
        <v>1496316.2399625147</v>
      </c>
      <c r="F11" s="459">
        <f t="shared" si="0"/>
        <v>1000418.9270066379</v>
      </c>
      <c r="G11" s="459">
        <f t="shared" si="0"/>
        <v>1496316.2399625147</v>
      </c>
      <c r="H11" s="459">
        <f t="shared" si="0"/>
        <v>881834.78695197194</v>
      </c>
      <c r="I11" s="459">
        <f t="shared" si="0"/>
        <v>1474755.4872253023</v>
      </c>
      <c r="J11" s="459">
        <f t="shared" si="0"/>
        <v>1410073.2290136663</v>
      </c>
      <c r="K11" s="459">
        <f t="shared" si="0"/>
        <v>1555608.3099898477</v>
      </c>
      <c r="L11" s="459">
        <f t="shared" si="0"/>
        <v>1216026.4543787583</v>
      </c>
      <c r="M11" s="459">
        <f t="shared" si="0"/>
        <v>1647241.5091229987</v>
      </c>
      <c r="N11" s="460"/>
      <c r="O11" s="460"/>
      <c r="P11" s="466"/>
      <c r="Q11" s="430"/>
    </row>
    <row r="12" spans="1:20" s="371" customFormat="1" x14ac:dyDescent="0.25"/>
    <row r="13" spans="1:20" s="371" customFormat="1" ht="15.75" thickBot="1" x14ac:dyDescent="0.3">
      <c r="B13" s="430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</row>
    <row r="14" spans="1:20" s="371" customFormat="1" x14ac:dyDescent="0.25">
      <c r="B14" s="501" t="s">
        <v>88</v>
      </c>
      <c r="C14" s="502" t="s">
        <v>62</v>
      </c>
      <c r="D14" s="503">
        <v>43830</v>
      </c>
      <c r="E14" s="504">
        <v>43831</v>
      </c>
      <c r="F14" s="504">
        <v>43863</v>
      </c>
      <c r="G14" s="504">
        <v>43895</v>
      </c>
      <c r="H14" s="504">
        <v>43927</v>
      </c>
      <c r="I14" s="504">
        <v>43959</v>
      </c>
      <c r="J14" s="504">
        <v>43991</v>
      </c>
      <c r="K14" s="504">
        <v>44023</v>
      </c>
      <c r="L14" s="504">
        <v>44055</v>
      </c>
      <c r="M14" s="504">
        <v>44087</v>
      </c>
      <c r="N14" s="504">
        <v>44119</v>
      </c>
      <c r="O14" s="504">
        <v>44151</v>
      </c>
      <c r="P14" s="505">
        <v>44183</v>
      </c>
      <c r="Q14" s="430"/>
    </row>
    <row r="15" spans="1:20" s="371" customFormat="1" ht="25.5" customHeight="1" x14ac:dyDescent="0.25">
      <c r="B15" s="475" t="s">
        <v>65</v>
      </c>
      <c r="C15" s="506">
        <f>SUM(D15:P15)</f>
        <v>92577969.579999998</v>
      </c>
      <c r="D15" s="507">
        <v>4233169.58</v>
      </c>
      <c r="E15" s="508">
        <v>7336667</v>
      </c>
      <c r="F15" s="508">
        <v>7827723</v>
      </c>
      <c r="G15" s="508">
        <v>3818366</v>
      </c>
      <c r="H15" s="508">
        <v>5158019</v>
      </c>
      <c r="I15" s="508">
        <v>8190065</v>
      </c>
      <c r="J15" s="508">
        <v>7029609</v>
      </c>
      <c r="K15" s="508">
        <v>7930000</v>
      </c>
      <c r="L15" s="508">
        <v>8393309</v>
      </c>
      <c r="M15" s="508">
        <v>8058940</v>
      </c>
      <c r="N15" s="508">
        <v>8302395</v>
      </c>
      <c r="O15" s="508">
        <v>7906398</v>
      </c>
      <c r="P15" s="511">
        <v>8393309</v>
      </c>
      <c r="Q15" s="430"/>
    </row>
    <row r="16" spans="1:20" s="371" customFormat="1" ht="25.5" customHeight="1" x14ac:dyDescent="0.25">
      <c r="B16" s="475" t="s">
        <v>67</v>
      </c>
      <c r="C16" s="506">
        <f>SUM(D16:P16)</f>
        <v>20392760.274</v>
      </c>
      <c r="D16" s="509">
        <f>D15*0.3</f>
        <v>1269950.8740000001</v>
      </c>
      <c r="E16" s="509">
        <f>E15*0.3</f>
        <v>2201000.1</v>
      </c>
      <c r="F16" s="509">
        <f t="shared" ref="F16:P16" si="1">F15*0.3</f>
        <v>2348316.9</v>
      </c>
      <c r="G16" s="509">
        <f t="shared" si="1"/>
        <v>1145509.8</v>
      </c>
      <c r="H16" s="509">
        <f t="shared" si="1"/>
        <v>1547405.7</v>
      </c>
      <c r="I16" s="509">
        <f t="shared" si="1"/>
        <v>2457019.5</v>
      </c>
      <c r="J16" s="509">
        <f t="shared" si="1"/>
        <v>2108882.6999999997</v>
      </c>
      <c r="K16" s="509">
        <f t="shared" si="1"/>
        <v>2379000</v>
      </c>
      <c r="L16" s="509">
        <f t="shared" si="1"/>
        <v>2517992.6999999997</v>
      </c>
      <c r="M16" s="509">
        <f t="shared" si="1"/>
        <v>2417682</v>
      </c>
      <c r="N16" s="509"/>
      <c r="O16" s="509"/>
      <c r="P16" s="512"/>
      <c r="Q16" s="430"/>
    </row>
    <row r="17" spans="2:17" s="371" customFormat="1" ht="15.75" x14ac:dyDescent="0.25">
      <c r="B17" s="475" t="s">
        <v>68</v>
      </c>
      <c r="C17" s="510">
        <f>SUM(E17:P17)</f>
        <v>26503439.999999996</v>
      </c>
      <c r="D17" s="395">
        <f>D16*0.3</f>
        <v>380985.2622</v>
      </c>
      <c r="E17" s="395">
        <f t="shared" ref="E17:P18" si="2">E15*0.3</f>
        <v>2201000.1</v>
      </c>
      <c r="F17" s="395">
        <f t="shared" si="2"/>
        <v>2348316.9</v>
      </c>
      <c r="G17" s="395">
        <f t="shared" si="2"/>
        <v>1145509.8</v>
      </c>
      <c r="H17" s="395">
        <f t="shared" si="2"/>
        <v>1547405.7</v>
      </c>
      <c r="I17" s="395">
        <f t="shared" si="2"/>
        <v>2457019.5</v>
      </c>
      <c r="J17" s="395">
        <f t="shared" si="2"/>
        <v>2108882.6999999997</v>
      </c>
      <c r="K17" s="395">
        <f t="shared" si="2"/>
        <v>2379000</v>
      </c>
      <c r="L17" s="395">
        <f t="shared" si="2"/>
        <v>2517992.6999999997</v>
      </c>
      <c r="M17" s="395">
        <f t="shared" si="2"/>
        <v>2417682</v>
      </c>
      <c r="N17" s="395">
        <f t="shared" si="2"/>
        <v>2490718.5</v>
      </c>
      <c r="O17" s="395">
        <f t="shared" si="2"/>
        <v>2371919.4</v>
      </c>
      <c r="P17" s="474">
        <f t="shared" si="2"/>
        <v>2517992.6999999997</v>
      </c>
      <c r="Q17" s="430"/>
    </row>
    <row r="18" spans="2:17" s="371" customFormat="1" ht="16.5" thickBot="1" x14ac:dyDescent="0.3">
      <c r="B18" s="513" t="s">
        <v>69</v>
      </c>
      <c r="C18" s="514">
        <f>SUM(E18:P18)</f>
        <v>5736842.8199999994</v>
      </c>
      <c r="D18" s="515">
        <f>D16*0.3</f>
        <v>380985.2622</v>
      </c>
      <c r="E18" s="515">
        <f>E16*0.3</f>
        <v>660300.03</v>
      </c>
      <c r="F18" s="515">
        <f t="shared" si="2"/>
        <v>704495.07</v>
      </c>
      <c r="G18" s="515">
        <f t="shared" si="2"/>
        <v>343652.94</v>
      </c>
      <c r="H18" s="515">
        <f t="shared" si="2"/>
        <v>464221.70999999996</v>
      </c>
      <c r="I18" s="515">
        <f t="shared" si="2"/>
        <v>737105.85</v>
      </c>
      <c r="J18" s="515">
        <f t="shared" si="2"/>
        <v>632664.80999999994</v>
      </c>
      <c r="K18" s="515">
        <f t="shared" si="2"/>
        <v>713700</v>
      </c>
      <c r="L18" s="515">
        <f t="shared" si="2"/>
        <v>755397.80999999994</v>
      </c>
      <c r="M18" s="515">
        <f t="shared" si="2"/>
        <v>725304.6</v>
      </c>
      <c r="N18" s="515">
        <f t="shared" si="2"/>
        <v>0</v>
      </c>
      <c r="O18" s="515">
        <f t="shared" si="2"/>
        <v>0</v>
      </c>
      <c r="P18" s="516">
        <f t="shared" si="2"/>
        <v>0</v>
      </c>
      <c r="Q18" s="430"/>
    </row>
    <row r="19" spans="2:17" s="371" customFormat="1" ht="15.75" x14ac:dyDescent="0.25">
      <c r="B19" s="432"/>
      <c r="C19" s="433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6"/>
      <c r="Q19" s="434"/>
    </row>
    <row r="20" spans="2:17" s="371" customFormat="1" ht="15.75" x14ac:dyDescent="0.25"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</row>
    <row r="21" spans="2:17" s="371" customFormat="1" ht="16.5" thickBot="1" x14ac:dyDescent="0.3">
      <c r="B21" s="432"/>
      <c r="C21" s="432"/>
      <c r="D21" s="432"/>
      <c r="E21" s="432"/>
      <c r="F21" s="432"/>
      <c r="G21" s="432"/>
      <c r="H21" s="432"/>
      <c r="I21" s="432"/>
      <c r="J21" s="432"/>
      <c r="K21" s="432"/>
      <c r="L21" s="432"/>
      <c r="M21" s="432"/>
      <c r="N21" s="432"/>
      <c r="O21" s="432"/>
      <c r="P21" s="432"/>
      <c r="Q21" s="432"/>
    </row>
    <row r="22" spans="2:17" s="371" customFormat="1" ht="16.5" thickBot="1" x14ac:dyDescent="0.3">
      <c r="B22" s="435"/>
      <c r="C22" s="480" t="s">
        <v>94</v>
      </c>
      <c r="D22" s="481">
        <v>43921</v>
      </c>
      <c r="E22" s="481">
        <v>43922</v>
      </c>
      <c r="F22" s="481">
        <v>43952</v>
      </c>
      <c r="G22" s="481">
        <v>44012</v>
      </c>
      <c r="H22" s="481">
        <v>44042</v>
      </c>
      <c r="I22" s="481">
        <v>44073</v>
      </c>
      <c r="J22" s="481">
        <v>44104</v>
      </c>
      <c r="K22" s="481">
        <v>44134</v>
      </c>
      <c r="L22" s="481">
        <v>44165</v>
      </c>
      <c r="M22" s="481">
        <v>44195</v>
      </c>
      <c r="N22" s="432"/>
      <c r="O22" s="432"/>
      <c r="P22" s="432"/>
    </row>
    <row r="23" spans="2:17" s="428" customFormat="1" ht="15.75" x14ac:dyDescent="0.25">
      <c r="B23" s="436" t="s">
        <v>89</v>
      </c>
      <c r="C23" s="437">
        <f>SUM(D23:Q23)</f>
        <v>66080460.130396962</v>
      </c>
      <c r="D23" s="438">
        <f>D16+D10</f>
        <v>6362346.7850162517</v>
      </c>
      <c r="E23" s="438">
        <f>E16+E10</f>
        <v>7188720.8998750485</v>
      </c>
      <c r="F23" s="438">
        <f>F16+F10</f>
        <v>5683046.6566887926</v>
      </c>
      <c r="G23" s="438">
        <f>G16+G10</f>
        <v>6133230.5998750487</v>
      </c>
      <c r="H23" s="438">
        <f>H16+H10</f>
        <v>4486854.9898399068</v>
      </c>
      <c r="I23" s="438">
        <f>I16+I10</f>
        <v>7372871.1240843413</v>
      </c>
      <c r="J23" s="438">
        <f>J16+J10</f>
        <v>6809126.7967122216</v>
      </c>
      <c r="K23" s="438">
        <f>K16+K10</f>
        <v>7564361.0332994927</v>
      </c>
      <c r="L23" s="438">
        <f>L16+L10</f>
        <v>6571414.2145958608</v>
      </c>
      <c r="M23" s="438">
        <f>M16+M10</f>
        <v>7908487.0304099955</v>
      </c>
      <c r="N23" s="432"/>
      <c r="O23" s="432"/>
      <c r="P23" s="432"/>
      <c r="Q23" s="439"/>
    </row>
    <row r="24" spans="2:17" s="428" customFormat="1" ht="15.75" x14ac:dyDescent="0.25">
      <c r="B24" s="440" t="s">
        <v>77</v>
      </c>
      <c r="C24" s="477">
        <f>C23*0.3</f>
        <v>19824138.039119087</v>
      </c>
      <c r="D24" s="478">
        <f>D23*0.3</f>
        <v>1908704.0355048755</v>
      </c>
      <c r="E24" s="478">
        <f>E23*0.3</f>
        <v>2156616.2699625143</v>
      </c>
      <c r="F24" s="479">
        <f t="shared" ref="F24:N24" si="3">F23*0.3</f>
        <v>1704913.9970066377</v>
      </c>
      <c r="G24" s="479">
        <f t="shared" si="3"/>
        <v>1839969.1799625147</v>
      </c>
      <c r="H24" s="479">
        <f t="shared" si="3"/>
        <v>1346056.4969519719</v>
      </c>
      <c r="I24" s="479">
        <f t="shared" si="3"/>
        <v>2211861.3372253021</v>
      </c>
      <c r="J24" s="479">
        <f t="shared" si="3"/>
        <v>2042738.0390136663</v>
      </c>
      <c r="K24" s="479">
        <f t="shared" si="3"/>
        <v>2269308.3099898477</v>
      </c>
      <c r="L24" s="479">
        <f t="shared" si="3"/>
        <v>1971424.2643787581</v>
      </c>
      <c r="M24" s="479">
        <f t="shared" si="3"/>
        <v>2372546.1091229985</v>
      </c>
      <c r="N24" s="432"/>
      <c r="O24" s="432"/>
      <c r="P24" s="432"/>
      <c r="Q24" s="441"/>
    </row>
    <row r="25" spans="2:17" s="428" customFormat="1" ht="16.5" thickBot="1" x14ac:dyDescent="0.3">
      <c r="B25" s="442" t="s">
        <v>90</v>
      </c>
      <c r="C25" s="443">
        <f>SUM(D25:Q25)</f>
        <v>19824.138039119087</v>
      </c>
      <c r="D25" s="443">
        <f>D24/1000</f>
        <v>1908.7040355048755</v>
      </c>
      <c r="E25" s="443">
        <f t="shared" ref="E25:M25" si="4">E24/1000</f>
        <v>2156.6162699625143</v>
      </c>
      <c r="F25" s="443">
        <f t="shared" si="4"/>
        <v>1704.9139970066378</v>
      </c>
      <c r="G25" s="443">
        <f t="shared" si="4"/>
        <v>1839.9691799625148</v>
      </c>
      <c r="H25" s="443">
        <f t="shared" si="4"/>
        <v>1346.0564969519719</v>
      </c>
      <c r="I25" s="443">
        <f t="shared" si="4"/>
        <v>2211.8613372253021</v>
      </c>
      <c r="J25" s="443">
        <f t="shared" si="4"/>
        <v>2042.7380390136664</v>
      </c>
      <c r="K25" s="443">
        <f t="shared" si="4"/>
        <v>2269.3083099898477</v>
      </c>
      <c r="L25" s="443">
        <f t="shared" si="4"/>
        <v>1971.4242643787582</v>
      </c>
      <c r="M25" s="443">
        <f t="shared" si="4"/>
        <v>2372.5461091229986</v>
      </c>
      <c r="N25" s="432"/>
      <c r="O25" s="432"/>
      <c r="P25" s="432"/>
      <c r="Q25" s="439"/>
    </row>
    <row r="26" spans="2:17" s="428" customFormat="1" x14ac:dyDescent="0.25"/>
    <row r="27" spans="2:17" s="428" customFormat="1" x14ac:dyDescent="0.25">
      <c r="B27" s="444"/>
      <c r="C27" s="439"/>
      <c r="D27" s="439"/>
      <c r="E27" s="439"/>
      <c r="F27" s="439"/>
      <c r="H27" s="439"/>
    </row>
    <row r="28" spans="2:17" s="428" customFormat="1" x14ac:dyDescent="0.25">
      <c r="B28" s="444"/>
      <c r="C28" s="439"/>
      <c r="D28" s="439"/>
      <c r="E28" s="439"/>
      <c r="K28" s="441"/>
    </row>
    <row r="29" spans="2:17" s="428" customFormat="1" x14ac:dyDescent="0.25">
      <c r="B29" s="444"/>
      <c r="C29" s="439"/>
      <c r="D29" s="439"/>
      <c r="E29" s="445"/>
      <c r="K29" s="441"/>
    </row>
    <row r="30" spans="2:17" s="428" customFormat="1" x14ac:dyDescent="0.25">
      <c r="B30" s="444"/>
      <c r="C30" s="439"/>
      <c r="D30" s="439"/>
      <c r="E30" s="439"/>
      <c r="F30" s="439"/>
    </row>
    <row r="31" spans="2:17" s="428" customFormat="1" x14ac:dyDescent="0.25">
      <c r="C31" s="439"/>
      <c r="D31" s="439"/>
      <c r="E31" s="446"/>
    </row>
    <row r="32" spans="2:17" s="428" customFormat="1" x14ac:dyDescent="0.25"/>
    <row r="33" spans="2:15" s="428" customFormat="1" x14ac:dyDescent="0.25">
      <c r="B33" s="444"/>
      <c r="C33" s="439"/>
      <c r="D33" s="439"/>
      <c r="E33" s="439"/>
      <c r="F33" s="439"/>
    </row>
    <row r="34" spans="2:15" s="428" customFormat="1" x14ac:dyDescent="0.25">
      <c r="B34" s="444"/>
      <c r="C34" s="439"/>
      <c r="D34" s="472"/>
      <c r="E34" s="473"/>
      <c r="F34" s="473"/>
      <c r="G34" s="473"/>
      <c r="H34" s="473"/>
      <c r="I34" s="473"/>
      <c r="J34" s="473"/>
      <c r="K34" s="473"/>
      <c r="L34" s="473"/>
      <c r="M34" s="473"/>
      <c r="N34" s="473"/>
      <c r="O34" s="473"/>
    </row>
    <row r="35" spans="2:15" s="428" customFormat="1" x14ac:dyDescent="0.25">
      <c r="B35" s="444"/>
      <c r="C35" s="439"/>
      <c r="D35" s="439"/>
      <c r="E35" s="439"/>
      <c r="F35" s="439"/>
      <c r="G35" s="439"/>
      <c r="H35" s="439"/>
      <c r="I35" s="439"/>
    </row>
    <row r="36" spans="2:15" s="428" customFormat="1" x14ac:dyDescent="0.25">
      <c r="B36" s="444"/>
      <c r="C36" s="439"/>
      <c r="D36" s="439"/>
      <c r="E36" s="439"/>
      <c r="F36" s="439"/>
      <c r="G36" s="449"/>
    </row>
    <row r="37" spans="2:15" s="428" customFormat="1" x14ac:dyDescent="0.25">
      <c r="C37" s="439"/>
      <c r="D37" s="439"/>
      <c r="E37" s="446"/>
      <c r="G37" s="441"/>
    </row>
    <row r="38" spans="2:15" s="428" customFormat="1" x14ac:dyDescent="0.25">
      <c r="F38" s="450"/>
      <c r="G38" s="441"/>
    </row>
    <row r="39" spans="2:15" s="428" customFormat="1" x14ac:dyDescent="0.25">
      <c r="E39" s="448"/>
      <c r="F39" s="447"/>
      <c r="G39" s="447"/>
    </row>
    <row r="40" spans="2:15" s="428" customFormat="1" x14ac:dyDescent="0.25"/>
    <row r="41" spans="2:15" s="428" customFormat="1" x14ac:dyDescent="0.25">
      <c r="E41" s="448"/>
      <c r="F41" s="448"/>
      <c r="G41" s="448"/>
    </row>
    <row r="42" spans="2:15" s="428" customFormat="1" x14ac:dyDescent="0.25">
      <c r="F42" s="451"/>
      <c r="G42" s="452"/>
    </row>
    <row r="43" spans="2:15" s="428" customFormat="1" x14ac:dyDescent="0.25">
      <c r="F43" s="439"/>
      <c r="G43" s="441"/>
    </row>
    <row r="44" spans="2:15" s="428" customFormat="1" x14ac:dyDescent="0.25">
      <c r="E44" s="453"/>
      <c r="F44" s="454"/>
      <c r="G44" s="455"/>
    </row>
    <row r="45" spans="2:15" s="428" customFormat="1" x14ac:dyDescent="0.25">
      <c r="F45" s="447"/>
      <c r="G45" s="447"/>
    </row>
    <row r="46" spans="2:15" s="428" customFormat="1" x14ac:dyDescent="0.25"/>
    <row r="47" spans="2:15" s="428" customFormat="1" ht="30.6" customHeight="1" x14ac:dyDescent="0.25">
      <c r="E47" s="456"/>
      <c r="F47" s="456"/>
      <c r="G47" s="456"/>
    </row>
    <row r="48" spans="2:15" s="428" customFormat="1" x14ac:dyDescent="0.25">
      <c r="E48" s="448"/>
      <c r="F48" s="457"/>
      <c r="G48" s="449"/>
    </row>
    <row r="49" spans="5:7" s="428" customFormat="1" x14ac:dyDescent="0.25">
      <c r="F49" s="439"/>
      <c r="G49" s="441"/>
    </row>
    <row r="50" spans="5:7" s="428" customFormat="1" x14ac:dyDescent="0.25">
      <c r="E50" s="453"/>
      <c r="F50" s="454"/>
      <c r="G50" s="455"/>
    </row>
    <row r="51" spans="5:7" s="428" customFormat="1" x14ac:dyDescent="0.25">
      <c r="E51" s="448"/>
      <c r="F51" s="447"/>
      <c r="G51" s="447"/>
    </row>
    <row r="52" spans="5:7" s="428" customFormat="1" x14ac:dyDescent="0.25"/>
    <row r="53" spans="5:7" s="428" customFormat="1" x14ac:dyDescent="0.25">
      <c r="E53" s="448"/>
      <c r="F53" s="448"/>
      <c r="G53" s="448"/>
    </row>
    <row r="54" spans="5:7" s="428" customFormat="1" x14ac:dyDescent="0.25">
      <c r="E54" s="448"/>
      <c r="F54" s="457"/>
      <c r="G54" s="449"/>
    </row>
    <row r="55" spans="5:7" s="428" customFormat="1" x14ac:dyDescent="0.25">
      <c r="F55" s="439"/>
      <c r="G55" s="439"/>
    </row>
    <row r="56" spans="5:7" s="428" customFormat="1" x14ac:dyDescent="0.25">
      <c r="E56" s="453"/>
      <c r="F56" s="454"/>
      <c r="G56" s="454"/>
    </row>
    <row r="57" spans="5:7" s="428" customFormat="1" x14ac:dyDescent="0.25">
      <c r="E57" s="448"/>
      <c r="F57" s="447"/>
      <c r="G57" s="447"/>
    </row>
    <row r="58" spans="5:7" s="428" customFormat="1" x14ac:dyDescent="0.25"/>
    <row r="59" spans="5:7" s="428" customFormat="1" x14ac:dyDescent="0.25">
      <c r="E59" s="448"/>
      <c r="F59" s="448"/>
      <c r="G59" s="449"/>
    </row>
    <row r="60" spans="5:7" s="428" customFormat="1" x14ac:dyDescent="0.25">
      <c r="F60" s="439"/>
      <c r="G60" s="439"/>
    </row>
    <row r="61" spans="5:7" s="428" customFormat="1" x14ac:dyDescent="0.25">
      <c r="E61" s="453"/>
      <c r="F61" s="454"/>
      <c r="G61" s="454"/>
    </row>
    <row r="62" spans="5:7" s="428" customFormat="1" x14ac:dyDescent="0.25">
      <c r="F62" s="439"/>
      <c r="G62" s="447"/>
    </row>
    <row r="63" spans="5:7" s="428" customFormat="1" x14ac:dyDescent="0.25"/>
    <row r="64" spans="5:7" s="428" customFormat="1" x14ac:dyDescent="0.25"/>
    <row r="65" s="428" customFormat="1" x14ac:dyDescent="0.25"/>
    <row r="66" s="428" customFormat="1" x14ac:dyDescent="0.25"/>
    <row r="67" s="428" customFormat="1" x14ac:dyDescent="0.25"/>
    <row r="68" s="428" customFormat="1" x14ac:dyDescent="0.25"/>
    <row r="69" s="371" customFormat="1" x14ac:dyDescent="0.25"/>
  </sheetData>
  <mergeCells count="2">
    <mergeCell ref="B2:Q2"/>
    <mergeCell ref="E47:G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F97C-431F-43E8-8EA0-A267C4953244}">
  <dimension ref="A1:AB184"/>
  <sheetViews>
    <sheetView zoomScale="68" zoomScaleNormal="68" workbookViewId="0">
      <pane xSplit="2" ySplit="3" topLeftCell="C48" activePane="bottomRight" state="frozen"/>
      <selection pane="topRight" activeCell="C1" sqref="C1"/>
      <selection pane="bottomLeft" activeCell="A4" sqref="A4"/>
      <selection pane="bottomRight" activeCell="C58" sqref="C58:K58"/>
    </sheetView>
  </sheetViews>
  <sheetFormatPr defaultRowHeight="15" x14ac:dyDescent="0.25"/>
  <cols>
    <col min="1" max="1" width="12" bestFit="1" customWidth="1"/>
    <col min="2" max="2" width="39.42578125" bestFit="1" customWidth="1"/>
    <col min="3" max="3" width="20.140625" customWidth="1"/>
    <col min="4" max="4" width="18" customWidth="1"/>
    <col min="5" max="5" width="19.85546875" bestFit="1" customWidth="1"/>
    <col min="6" max="6" width="21.42578125" customWidth="1"/>
    <col min="7" max="7" width="19.5703125" customWidth="1"/>
    <col min="8" max="10" width="16.5703125" bestFit="1" customWidth="1"/>
    <col min="11" max="11" width="16.140625" bestFit="1" customWidth="1"/>
    <col min="12" max="14" width="20.140625" bestFit="1" customWidth="1"/>
    <col min="15" max="15" width="18.140625" bestFit="1" customWidth="1"/>
    <col min="16" max="16" width="21.140625" style="242" customWidth="1"/>
    <col min="17" max="17" width="4.5703125" style="242" customWidth="1"/>
    <col min="18" max="18" width="20.140625" style="416" customWidth="1"/>
    <col min="19" max="20" width="22.140625" customWidth="1"/>
    <col min="21" max="21" width="20.140625" customWidth="1"/>
    <col min="22" max="22" width="41.140625" customWidth="1"/>
    <col min="23" max="23" width="16.140625" customWidth="1"/>
    <col min="24" max="24" width="24.42578125" style="3" customWidth="1"/>
    <col min="25" max="25" width="26.7109375" customWidth="1"/>
    <col min="26" max="26" width="21.28515625" customWidth="1"/>
    <col min="27" max="27" width="25.42578125" customWidth="1"/>
  </cols>
  <sheetData>
    <row r="1" spans="2:28" x14ac:dyDescent="0.25">
      <c r="P1"/>
      <c r="Q1" s="1"/>
      <c r="R1"/>
      <c r="U1">
        <v>306.45</v>
      </c>
      <c r="W1" s="2"/>
    </row>
    <row r="2" spans="2:28" ht="15.75" thickBot="1" x14ac:dyDescent="0.3">
      <c r="P2"/>
      <c r="Q2" s="1"/>
      <c r="R2"/>
      <c r="W2" s="2"/>
    </row>
    <row r="3" spans="2:28" ht="19.5" thickBot="1" x14ac:dyDescent="0.35">
      <c r="B3" s="417" t="s">
        <v>78</v>
      </c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"/>
      <c r="Q3" s="5"/>
      <c r="R3" s="6"/>
      <c r="S3" s="4"/>
      <c r="T3" s="4"/>
      <c r="U3" s="7"/>
      <c r="V3" s="7"/>
      <c r="W3" s="8"/>
      <c r="X3" s="7"/>
      <c r="Y3" s="7"/>
      <c r="Z3" s="7"/>
    </row>
    <row r="4" spans="2:28" ht="32.25" customHeight="1" thickBot="1" x14ac:dyDescent="0.3">
      <c r="B4" s="9" t="s">
        <v>0</v>
      </c>
      <c r="C4" s="10">
        <v>43831</v>
      </c>
      <c r="D4" s="10">
        <v>43862</v>
      </c>
      <c r="E4" s="10">
        <v>43891</v>
      </c>
      <c r="F4" s="10">
        <v>43922</v>
      </c>
      <c r="G4" s="10">
        <v>43952</v>
      </c>
      <c r="H4" s="10">
        <v>43983</v>
      </c>
      <c r="I4" s="10">
        <v>44013</v>
      </c>
      <c r="J4" s="10">
        <v>44044</v>
      </c>
      <c r="K4" s="10">
        <v>44075</v>
      </c>
      <c r="L4" s="10">
        <v>44105</v>
      </c>
      <c r="M4" s="10">
        <v>44136</v>
      </c>
      <c r="N4" s="10">
        <v>44166</v>
      </c>
      <c r="O4" s="12" t="s">
        <v>79</v>
      </c>
      <c r="P4" s="13" t="s">
        <v>85</v>
      </c>
      <c r="Q4" s="14"/>
      <c r="R4" s="15" t="s">
        <v>1</v>
      </c>
      <c r="S4" s="16" t="s">
        <v>2</v>
      </c>
      <c r="T4" s="16" t="s">
        <v>3</v>
      </c>
      <c r="U4" s="16">
        <v>43830</v>
      </c>
      <c r="V4" s="17" t="s">
        <v>4</v>
      </c>
      <c r="W4" s="2"/>
      <c r="X4" s="18" t="s">
        <v>5</v>
      </c>
      <c r="Y4" s="19" t="s">
        <v>6</v>
      </c>
      <c r="Z4" s="19" t="s">
        <v>7</v>
      </c>
      <c r="AA4" s="20" t="s">
        <v>8</v>
      </c>
      <c r="AB4" s="21" t="s">
        <v>9</v>
      </c>
    </row>
    <row r="5" spans="2:28" ht="15.75" thickBot="1" x14ac:dyDescent="0.3">
      <c r="B5" s="22" t="s">
        <v>10</v>
      </c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  <c r="O5" s="26"/>
      <c r="P5" s="27"/>
      <c r="Q5" s="5"/>
      <c r="R5" s="28"/>
      <c r="S5" s="29"/>
      <c r="T5" s="29"/>
      <c r="U5" s="29"/>
      <c r="V5" s="30"/>
      <c r="W5" s="2"/>
      <c r="X5" s="31"/>
      <c r="Y5" s="32"/>
      <c r="Z5" s="32"/>
      <c r="AA5" s="33"/>
      <c r="AB5" s="34"/>
    </row>
    <row r="6" spans="2:28" x14ac:dyDescent="0.25">
      <c r="B6" s="35" t="s">
        <v>11</v>
      </c>
      <c r="C6" s="36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8">
        <v>0</v>
      </c>
      <c r="O6" s="39">
        <f>AVERAGE(C6:N6)</f>
        <v>0</v>
      </c>
      <c r="P6" s="42">
        <f>O6*7.8*366*1000</f>
        <v>0</v>
      </c>
      <c r="Q6" s="40"/>
      <c r="R6" s="41">
        <f>AVERAGE(C6:K6)</f>
        <v>0</v>
      </c>
      <c r="S6" s="42">
        <f>R6*7.8*273*1000</f>
        <v>0</v>
      </c>
      <c r="T6" s="42">
        <f>R6*7.8*274*1000</f>
        <v>0</v>
      </c>
      <c r="U6" s="43">
        <v>0</v>
      </c>
      <c r="V6" s="44"/>
      <c r="W6" s="45"/>
      <c r="X6" s="46">
        <v>0</v>
      </c>
      <c r="Y6" s="47">
        <f>'[1]2018 Estimated Gas &amp; Power Rev'!$P$6</f>
        <v>0</v>
      </c>
      <c r="Z6" s="47">
        <f>'[1]2018 Estimated Gas &amp; Power Rev'!$P$6</f>
        <v>0</v>
      </c>
      <c r="AA6" s="48"/>
      <c r="AB6" s="49"/>
    </row>
    <row r="7" spans="2:28" x14ac:dyDescent="0.25">
      <c r="B7" s="35" t="s">
        <v>12</v>
      </c>
      <c r="C7" s="36">
        <v>0.3</v>
      </c>
      <c r="D7" s="37">
        <v>0.3</v>
      </c>
      <c r="E7" s="37">
        <v>0.3</v>
      </c>
      <c r="F7" s="37">
        <v>0.3</v>
      </c>
      <c r="G7" s="37">
        <v>0.3</v>
      </c>
      <c r="H7" s="37">
        <v>0.3</v>
      </c>
      <c r="I7" s="37">
        <v>0.3</v>
      </c>
      <c r="J7" s="37">
        <v>0.3</v>
      </c>
      <c r="K7" s="37">
        <v>0.3</v>
      </c>
      <c r="L7" s="37">
        <v>0.3</v>
      </c>
      <c r="M7" s="37">
        <v>0.3</v>
      </c>
      <c r="N7" s="38">
        <v>0.3</v>
      </c>
      <c r="O7" s="39">
        <f>AVERAGE(C7:N7)</f>
        <v>0.29999999999999993</v>
      </c>
      <c r="P7" s="51">
        <f>O7*2.64*366*1000</f>
        <v>289871.99999999994</v>
      </c>
      <c r="Q7" s="40"/>
      <c r="R7" s="41">
        <f>AVERAGE(C7:K7)</f>
        <v>0.3</v>
      </c>
      <c r="S7" s="51">
        <f>R7*7.96*273*1000</f>
        <v>651924</v>
      </c>
      <c r="T7" s="51">
        <f>R7*7.96*274*1000</f>
        <v>654312</v>
      </c>
      <c r="U7" s="52">
        <f>('[2]2019 Sales'!$M$7)/306.45</f>
        <v>84644.595211799984</v>
      </c>
      <c r="V7" s="53"/>
      <c r="W7" s="45"/>
      <c r="X7" s="46">
        <v>0.3</v>
      </c>
      <c r="Y7" s="54">
        <f>'[1]2018 Estimated Gas &amp; Power Rev'!$P$7</f>
        <v>814680.00000000012</v>
      </c>
      <c r="Z7" s="55">
        <f>'[1]Invoices and Payments All'!$I$21</f>
        <v>71727.105541751938</v>
      </c>
      <c r="AA7" s="56">
        <f t="shared" ref="AA7:AA25" si="0">P7-Y7</f>
        <v>-524808.00000000023</v>
      </c>
      <c r="AB7" s="57">
        <f>AA7/P7</f>
        <v>-1.8104818678589183</v>
      </c>
    </row>
    <row r="8" spans="2:28" ht="30" x14ac:dyDescent="0.25">
      <c r="B8" s="35" t="s">
        <v>13</v>
      </c>
      <c r="C8" s="36">
        <v>0.5</v>
      </c>
      <c r="D8" s="37">
        <v>0.5</v>
      </c>
      <c r="E8" s="37">
        <v>0.5</v>
      </c>
      <c r="F8" s="37">
        <v>0.5</v>
      </c>
      <c r="G8" s="37">
        <v>0.5</v>
      </c>
      <c r="H8" s="37">
        <v>0.5</v>
      </c>
      <c r="I8" s="37">
        <v>0.5</v>
      </c>
      <c r="J8" s="37">
        <v>0.5</v>
      </c>
      <c r="K8" s="37">
        <v>0.5</v>
      </c>
      <c r="L8" s="37">
        <v>0.5</v>
      </c>
      <c r="M8" s="37">
        <v>0.5</v>
      </c>
      <c r="N8" s="38">
        <v>0.5</v>
      </c>
      <c r="O8" s="39">
        <f>AVERAGE(C8:N8)</f>
        <v>0.5</v>
      </c>
      <c r="P8" s="51">
        <f t="shared" ref="P8:P19" si="1">O8*2.64*366*1000</f>
        <v>483120</v>
      </c>
      <c r="Q8" s="40"/>
      <c r="R8" s="41">
        <f>AVERAGE(C8:K8)</f>
        <v>0.5</v>
      </c>
      <c r="S8" s="51">
        <f>R8*7.96*273*1000</f>
        <v>1086540</v>
      </c>
      <c r="T8" s="51">
        <f>R8*7.96*274*1000</f>
        <v>1090520</v>
      </c>
      <c r="U8" s="52">
        <f>('[2]2019 Sales'!$M$5)/306.45</f>
        <v>63936.826948799971</v>
      </c>
      <c r="V8" s="58" t="s">
        <v>14</v>
      </c>
      <c r="W8" s="45"/>
      <c r="X8" s="46">
        <v>0.5</v>
      </c>
      <c r="Y8" s="55">
        <f>'[1]2018 Estimated Gas &amp; Power Rev'!$P$8</f>
        <v>1357800.0000000002</v>
      </c>
      <c r="Z8" s="55">
        <f>'[1]Invoices and Payments All'!$I$20</f>
        <v>106016.67959895899</v>
      </c>
      <c r="AA8" s="56">
        <f t="shared" si="0"/>
        <v>-874680.00000000023</v>
      </c>
      <c r="AB8" s="57">
        <f>AA8/P8</f>
        <v>-1.8104818678589176</v>
      </c>
    </row>
    <row r="9" spans="2:28" ht="15.75" thickBot="1" x14ac:dyDescent="0.3">
      <c r="B9" s="35" t="s">
        <v>15</v>
      </c>
      <c r="C9" s="36">
        <v>3.5</v>
      </c>
      <c r="D9" s="37">
        <v>3.5</v>
      </c>
      <c r="E9" s="37">
        <v>3.5</v>
      </c>
      <c r="F9" s="37">
        <v>3.5</v>
      </c>
      <c r="G9" s="37">
        <v>3.5</v>
      </c>
      <c r="H9" s="37">
        <v>3.5</v>
      </c>
      <c r="I9" s="37">
        <v>3</v>
      </c>
      <c r="J9" s="37">
        <v>3</v>
      </c>
      <c r="K9" s="37">
        <v>3</v>
      </c>
      <c r="L9" s="37">
        <v>3.5</v>
      </c>
      <c r="M9" s="37">
        <v>3.5</v>
      </c>
      <c r="N9" s="38">
        <v>3</v>
      </c>
      <c r="O9" s="39">
        <f>AVERAGE(C9:N9)</f>
        <v>3.3333333333333335</v>
      </c>
      <c r="P9" s="51">
        <f t="shared" si="1"/>
        <v>3220800</v>
      </c>
      <c r="Q9" s="40"/>
      <c r="R9" s="41">
        <f>AVERAGE(C9:K9)</f>
        <v>3.3333333333333335</v>
      </c>
      <c r="S9" s="51">
        <f>R9*3.34*273*1000</f>
        <v>3039400</v>
      </c>
      <c r="T9" s="51">
        <f>R9*3.34*274*1000</f>
        <v>3050533.3333333335</v>
      </c>
      <c r="U9" s="52">
        <f>('[2]2019 Sales'!$M$42)/306.45</f>
        <v>302253.91412471852</v>
      </c>
      <c r="V9" s="58"/>
      <c r="W9" s="45"/>
      <c r="X9" s="59">
        <v>3</v>
      </c>
      <c r="Y9" s="55">
        <f>'[1]2018 Estimated Gas &amp; Power Rev'!$P$9</f>
        <v>3405450</v>
      </c>
      <c r="Z9" s="55">
        <f>'[1]Invoices and Payments All'!$I$26</f>
        <v>321222.92620264326</v>
      </c>
      <c r="AA9" s="56">
        <f t="shared" si="0"/>
        <v>-184650</v>
      </c>
      <c r="AB9" s="57">
        <f>AA9/P9</f>
        <v>-5.733047690014903E-2</v>
      </c>
    </row>
    <row r="10" spans="2:28" ht="15.75" thickBot="1" x14ac:dyDescent="0.3">
      <c r="B10" s="60" t="s">
        <v>16</v>
      </c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63"/>
      <c r="P10" s="51">
        <f t="shared" si="1"/>
        <v>0</v>
      </c>
      <c r="Q10" s="64"/>
      <c r="R10" s="64"/>
      <c r="S10" s="65"/>
      <c r="T10" s="65"/>
      <c r="U10" s="66"/>
      <c r="V10" s="67"/>
      <c r="W10" s="45"/>
      <c r="X10" s="68"/>
      <c r="Y10" s="69"/>
      <c r="Z10" s="69"/>
      <c r="AA10" s="56">
        <f t="shared" si="0"/>
        <v>0</v>
      </c>
      <c r="AB10" s="57"/>
    </row>
    <row r="11" spans="2:28" ht="15.75" thickBot="1" x14ac:dyDescent="0.3">
      <c r="B11" s="70" t="s">
        <v>17</v>
      </c>
      <c r="C11" s="36">
        <v>1.3</v>
      </c>
      <c r="D11" s="37">
        <v>1.3</v>
      </c>
      <c r="E11" s="37">
        <v>1.3</v>
      </c>
      <c r="F11" s="37">
        <v>1.3</v>
      </c>
      <c r="G11" s="37">
        <v>1.3</v>
      </c>
      <c r="H11" s="37">
        <v>1.3</v>
      </c>
      <c r="I11" s="37">
        <v>1.3</v>
      </c>
      <c r="J11" s="37">
        <v>1.3</v>
      </c>
      <c r="K11" s="37">
        <v>1.3</v>
      </c>
      <c r="L11" s="37">
        <v>1.3</v>
      </c>
      <c r="M11" s="37">
        <v>1.3</v>
      </c>
      <c r="N11" s="38">
        <v>1.3</v>
      </c>
      <c r="O11" s="39">
        <f>AVERAGE(C11:N11)</f>
        <v>1.3000000000000003</v>
      </c>
      <c r="P11" s="51">
        <f t="shared" si="1"/>
        <v>1256112.0000000002</v>
      </c>
      <c r="Q11" s="40"/>
      <c r="R11" s="41">
        <f>AVERAGE(C11:K11)</f>
        <v>1.3</v>
      </c>
      <c r="S11" s="51">
        <f>R11*(3.34+1.73)*273*1000</f>
        <v>1799343</v>
      </c>
      <c r="T11" s="51">
        <f>R11*(3.34+1.73)*274*1000</f>
        <v>1805934</v>
      </c>
      <c r="U11" s="52">
        <f>('[2]2019 Sales'!$M$43)/306.45</f>
        <v>194703.43276828193</v>
      </c>
      <c r="V11" s="58"/>
      <c r="W11" s="45"/>
      <c r="X11" s="59">
        <v>1.3</v>
      </c>
      <c r="Y11" s="55">
        <f>'[1]2018 Estimated Gas &amp; Power Rev'!$P$11</f>
        <v>1475695.0000000002</v>
      </c>
      <c r="Z11" s="55">
        <f>'[1]Invoices and Payments All'!$I$27</f>
        <v>258750.8624751982</v>
      </c>
      <c r="AA11" s="56">
        <f t="shared" si="0"/>
        <v>-219583</v>
      </c>
      <c r="AB11" s="57">
        <f>AA11/P11</f>
        <v>-0.17481164100016555</v>
      </c>
    </row>
    <row r="12" spans="2:28" ht="15.75" thickBot="1" x14ac:dyDescent="0.3">
      <c r="B12" s="60" t="s">
        <v>18</v>
      </c>
      <c r="C12" s="71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3"/>
      <c r="O12" s="73"/>
      <c r="P12" s="51">
        <f t="shared" si="1"/>
        <v>0</v>
      </c>
      <c r="Q12" s="74"/>
      <c r="R12" s="74"/>
      <c r="S12" s="76"/>
      <c r="T12" s="76"/>
      <c r="U12" s="77"/>
      <c r="V12" s="67"/>
      <c r="W12" s="45"/>
      <c r="X12" s="78"/>
      <c r="Y12" s="79"/>
      <c r="Z12" s="79"/>
      <c r="AA12" s="56">
        <f t="shared" si="0"/>
        <v>0</v>
      </c>
      <c r="AB12" s="57"/>
    </row>
    <row r="13" spans="2:28" ht="30" x14ac:dyDescent="0.25">
      <c r="B13" s="35" t="s">
        <v>19</v>
      </c>
      <c r="C13" s="36">
        <v>35</v>
      </c>
      <c r="D13" s="37">
        <v>15</v>
      </c>
      <c r="E13" s="37">
        <v>33</v>
      </c>
      <c r="F13" s="37">
        <v>10</v>
      </c>
      <c r="G13" s="37">
        <v>33</v>
      </c>
      <c r="H13" s="37">
        <v>30</v>
      </c>
      <c r="I13" s="37">
        <v>40</v>
      </c>
      <c r="J13" s="37">
        <v>20</v>
      </c>
      <c r="K13" s="37">
        <v>48</v>
      </c>
      <c r="L13" s="37">
        <v>33</v>
      </c>
      <c r="M13" s="37">
        <v>20</v>
      </c>
      <c r="N13" s="38">
        <v>50</v>
      </c>
      <c r="O13" s="39">
        <f t="shared" ref="O13:O18" si="2">AVERAGE(C13:N13)</f>
        <v>30.583333333333332</v>
      </c>
      <c r="P13" s="51">
        <f t="shared" si="1"/>
        <v>29550839.999999996</v>
      </c>
      <c r="Q13" s="40"/>
      <c r="R13" s="41">
        <f t="shared" ref="R13:R19" si="3">AVERAGE(C13:K13)</f>
        <v>29.333333333333332</v>
      </c>
      <c r="S13" s="51">
        <f>R13*2.5*273*1000</f>
        <v>20020000</v>
      </c>
      <c r="T13" s="51">
        <f>R13*2.5*274*1000*0.85</f>
        <v>17079333.333333332</v>
      </c>
      <c r="U13" s="52">
        <f>('[2]2019 Sales'!$M$16)/306.45</f>
        <v>537006.15466731926</v>
      </c>
      <c r="V13" s="80" t="s">
        <v>20</v>
      </c>
      <c r="W13" s="45"/>
      <c r="X13" s="46">
        <v>32</v>
      </c>
      <c r="Y13" s="55">
        <f>'[1]2018 Estimated Gas &amp; Power Rev'!$P$13</f>
        <v>29200000</v>
      </c>
      <c r="Z13" s="55">
        <f>'[1]Invoices and Payments All'!$I$25</f>
        <v>858079.32142784854</v>
      </c>
      <c r="AA13" s="56">
        <f t="shared" si="0"/>
        <v>350839.99999999627</v>
      </c>
      <c r="AB13" s="57">
        <f>AA13/P13</f>
        <v>1.187242054709769E-2</v>
      </c>
    </row>
    <row r="14" spans="2:28" x14ac:dyDescent="0.25">
      <c r="B14" s="35" t="s">
        <v>21</v>
      </c>
      <c r="C14" s="36">
        <v>60</v>
      </c>
      <c r="D14" s="37">
        <v>51</v>
      </c>
      <c r="E14" s="37">
        <v>58</v>
      </c>
      <c r="F14" s="37">
        <v>34</v>
      </c>
      <c r="G14" s="37">
        <v>57</v>
      </c>
      <c r="H14" s="37">
        <v>57</v>
      </c>
      <c r="I14" s="37">
        <v>67</v>
      </c>
      <c r="J14" s="37">
        <v>40</v>
      </c>
      <c r="K14" s="37">
        <v>70</v>
      </c>
      <c r="L14" s="37">
        <v>60</v>
      </c>
      <c r="M14" s="37">
        <v>56</v>
      </c>
      <c r="N14" s="38">
        <v>70</v>
      </c>
      <c r="O14" s="39">
        <f t="shared" si="2"/>
        <v>56.666666666666664</v>
      </c>
      <c r="P14" s="51"/>
      <c r="Q14" s="40"/>
      <c r="R14" s="41">
        <f t="shared" si="3"/>
        <v>54.888888888888886</v>
      </c>
      <c r="S14" s="51"/>
      <c r="T14" s="51"/>
      <c r="U14" s="81"/>
      <c r="V14" s="82"/>
      <c r="W14" s="45"/>
      <c r="X14" s="46">
        <v>55.8</v>
      </c>
      <c r="Y14" s="83"/>
      <c r="Z14" s="83"/>
      <c r="AA14" s="56">
        <f t="shared" si="0"/>
        <v>0</v>
      </c>
      <c r="AB14" s="57"/>
    </row>
    <row r="15" spans="2:28" x14ac:dyDescent="0.25">
      <c r="B15" s="70" t="s">
        <v>22</v>
      </c>
      <c r="C15" s="36">
        <v>3.7</v>
      </c>
      <c r="D15" s="37">
        <v>3.7</v>
      </c>
      <c r="E15" s="37">
        <v>3.7</v>
      </c>
      <c r="F15" s="37">
        <v>3.7</v>
      </c>
      <c r="G15" s="37">
        <v>3.7</v>
      </c>
      <c r="H15" s="37">
        <v>3.7</v>
      </c>
      <c r="I15" s="37">
        <v>3.7</v>
      </c>
      <c r="J15" s="37">
        <v>3.7</v>
      </c>
      <c r="K15" s="37">
        <v>3.7</v>
      </c>
      <c r="L15" s="37">
        <v>3.7</v>
      </c>
      <c r="M15" s="37">
        <v>3.7</v>
      </c>
      <c r="N15" s="38">
        <v>3.7</v>
      </c>
      <c r="O15" s="39">
        <f t="shared" si="2"/>
        <v>3.7000000000000006</v>
      </c>
      <c r="P15" s="51">
        <f t="shared" si="1"/>
        <v>3575088.0000000009</v>
      </c>
      <c r="Q15" s="40"/>
      <c r="R15" s="41">
        <f t="shared" si="3"/>
        <v>3.6999999999999997</v>
      </c>
      <c r="S15" s="51">
        <f>R15*2.5*273*1000</f>
        <v>2525250</v>
      </c>
      <c r="T15" s="51">
        <f>R15*2.5*274*1000</f>
        <v>2534500</v>
      </c>
      <c r="U15" s="52">
        <f>('[2]2019 Sales'!$M$26)/306.45</f>
        <v>168390.63089305727</v>
      </c>
      <c r="V15" s="58"/>
      <c r="W15" s="45"/>
      <c r="X15" s="46">
        <v>3.7</v>
      </c>
      <c r="Y15" s="55">
        <f>'[1]2018 Estimated Gas &amp; Power Rev'!$P$15</f>
        <v>3376250</v>
      </c>
      <c r="Z15" s="55">
        <f>'[1]Invoices and Payments All'!$I$30</f>
        <v>275556.06570073229</v>
      </c>
      <c r="AA15" s="56">
        <f t="shared" si="0"/>
        <v>198838.00000000093</v>
      </c>
      <c r="AB15" s="57">
        <f>AA15/P15</f>
        <v>5.5617651929127584E-2</v>
      </c>
    </row>
    <row r="16" spans="2:28" ht="30" x14ac:dyDescent="0.25">
      <c r="B16" s="35" t="s">
        <v>23</v>
      </c>
      <c r="C16" s="36">
        <v>43</v>
      </c>
      <c r="D16" s="37">
        <v>18</v>
      </c>
      <c r="E16" s="37">
        <v>44</v>
      </c>
      <c r="F16" s="37">
        <v>15</v>
      </c>
      <c r="G16" s="37">
        <v>42</v>
      </c>
      <c r="H16" s="37">
        <v>40</v>
      </c>
      <c r="I16" s="37">
        <v>44</v>
      </c>
      <c r="J16" s="37">
        <v>32</v>
      </c>
      <c r="K16" s="37">
        <v>45</v>
      </c>
      <c r="L16" s="37">
        <v>43</v>
      </c>
      <c r="M16" s="37">
        <v>30</v>
      </c>
      <c r="N16" s="38">
        <v>46</v>
      </c>
      <c r="O16" s="39">
        <f t="shared" si="2"/>
        <v>36.833333333333336</v>
      </c>
      <c r="P16" s="51">
        <f>O16*2.64*366*1000</f>
        <v>35589840.000000007</v>
      </c>
      <c r="Q16" s="40"/>
      <c r="R16" s="41">
        <f t="shared" si="3"/>
        <v>35.888888888888886</v>
      </c>
      <c r="S16" s="51">
        <f>R16*2.5*273*1000</f>
        <v>24494166.666666664</v>
      </c>
      <c r="T16" s="51">
        <f>R16*2.5*274*1000*0.85</f>
        <v>20896305.555555556</v>
      </c>
      <c r="U16" s="52">
        <f>('[2]2019 Sales'!$M$14)/306.45</f>
        <v>479108.12680698326</v>
      </c>
      <c r="V16" s="80" t="s">
        <v>24</v>
      </c>
      <c r="W16" s="45"/>
      <c r="X16" s="46">
        <v>21.2</v>
      </c>
      <c r="Y16" s="55">
        <f>'[1]2018 Estimated Gas &amp; Power Rev'!$P$16</f>
        <v>19345000</v>
      </c>
      <c r="Z16" s="55">
        <f>'[1]Invoices and Payments All'!$I$24</f>
        <v>186078.3898960707</v>
      </c>
      <c r="AA16" s="56">
        <f t="shared" si="0"/>
        <v>16244840.000000007</v>
      </c>
      <c r="AB16" s="57">
        <f>AA16/P16</f>
        <v>0.45644599694744353</v>
      </c>
    </row>
    <row r="17" spans="2:28" x14ac:dyDescent="0.25">
      <c r="B17" s="70" t="s">
        <v>25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9">
        <f t="shared" si="2"/>
        <v>0</v>
      </c>
      <c r="P17" s="51">
        <f t="shared" si="1"/>
        <v>0</v>
      </c>
      <c r="Q17" s="40"/>
      <c r="R17" s="41">
        <f t="shared" si="3"/>
        <v>0</v>
      </c>
      <c r="S17" s="51">
        <f>R17*2.5*273*1000</f>
        <v>0</v>
      </c>
      <c r="T17" s="51">
        <f>R17*2.5*274*1000</f>
        <v>0</v>
      </c>
      <c r="U17" s="52">
        <v>0</v>
      </c>
      <c r="V17" s="58"/>
      <c r="W17" s="45"/>
      <c r="X17" s="46">
        <v>0</v>
      </c>
      <c r="Y17" s="55">
        <v>0</v>
      </c>
      <c r="Z17" s="55">
        <v>0</v>
      </c>
      <c r="AA17" s="56">
        <f t="shared" si="0"/>
        <v>0</v>
      </c>
      <c r="AB17" s="57"/>
    </row>
    <row r="18" spans="2:28" ht="30" x14ac:dyDescent="0.25">
      <c r="B18" s="70" t="s">
        <v>26</v>
      </c>
      <c r="C18" s="36">
        <v>3.5</v>
      </c>
      <c r="D18" s="37">
        <v>1.5</v>
      </c>
      <c r="E18" s="37">
        <v>3.5</v>
      </c>
      <c r="F18" s="37">
        <v>1.5</v>
      </c>
      <c r="G18" s="37">
        <v>3.5</v>
      </c>
      <c r="H18" s="37">
        <v>3.5</v>
      </c>
      <c r="I18" s="37">
        <v>3.5</v>
      </c>
      <c r="J18" s="37">
        <v>3</v>
      </c>
      <c r="K18" s="37">
        <v>3</v>
      </c>
      <c r="L18" s="37">
        <v>3.5</v>
      </c>
      <c r="M18" s="37">
        <v>3.5</v>
      </c>
      <c r="N18" s="38">
        <v>3.5</v>
      </c>
      <c r="O18" s="39">
        <f t="shared" si="2"/>
        <v>3.0833333333333335</v>
      </c>
      <c r="P18" s="51">
        <f t="shared" si="1"/>
        <v>2979240.0000000005</v>
      </c>
      <c r="Q18" s="40"/>
      <c r="R18" s="41">
        <f t="shared" si="3"/>
        <v>2.9444444444444446</v>
      </c>
      <c r="S18" s="51">
        <f>R18*5.18*273*1000</f>
        <v>4163856.6666666665</v>
      </c>
      <c r="T18" s="51">
        <f>R18*5.18*274*1000</f>
        <v>4179108.888888889</v>
      </c>
      <c r="U18" s="52">
        <f>('[2]2019 Sales'!$M$13)/306.45</f>
        <v>503233.47951403866</v>
      </c>
      <c r="V18" s="58" t="s">
        <v>14</v>
      </c>
      <c r="W18" s="45"/>
      <c r="X18" s="46">
        <v>2.2999999999999998</v>
      </c>
      <c r="Y18" s="55">
        <f>'[1]2018 Estimated Gas &amp; Power Rev'!$P$18</f>
        <v>4054785</v>
      </c>
      <c r="Z18" s="55">
        <f>'[1]Invoices and Payments All'!$I$23</f>
        <v>291278.27173647966</v>
      </c>
      <c r="AA18" s="56">
        <f t="shared" si="0"/>
        <v>-1075544.9999999995</v>
      </c>
      <c r="AB18" s="57">
        <f>AA18/P18</f>
        <v>-0.36101321142304726</v>
      </c>
    </row>
    <row r="19" spans="2:28" ht="15.75" thickBot="1" x14ac:dyDescent="0.3">
      <c r="B19" s="84" t="s">
        <v>27</v>
      </c>
      <c r="C19" s="36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9">
        <f>AVERAGE(C19:N19)</f>
        <v>0</v>
      </c>
      <c r="P19" s="51">
        <f t="shared" si="1"/>
        <v>0</v>
      </c>
      <c r="Q19" s="40"/>
      <c r="R19" s="41">
        <f t="shared" si="3"/>
        <v>0</v>
      </c>
      <c r="S19" s="86">
        <f>R19*2.5*273*1000</f>
        <v>0</v>
      </c>
      <c r="T19" s="86">
        <f>R19*2.5*274*1000</f>
        <v>0</v>
      </c>
      <c r="U19" s="87">
        <v>0</v>
      </c>
      <c r="V19" s="58"/>
      <c r="W19" s="45"/>
      <c r="X19" s="59">
        <v>0</v>
      </c>
      <c r="Y19" s="88">
        <v>0</v>
      </c>
      <c r="Z19" s="88">
        <v>0</v>
      </c>
      <c r="AA19" s="89">
        <f t="shared" si="0"/>
        <v>0</v>
      </c>
      <c r="AB19" s="90" t="e">
        <f>AA19/P19</f>
        <v>#DIV/0!</v>
      </c>
    </row>
    <row r="20" spans="2:28" ht="15.75" thickBot="1" x14ac:dyDescent="0.3">
      <c r="B20" s="91" t="s">
        <v>28</v>
      </c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4"/>
      <c r="O20" s="95"/>
      <c r="P20" s="96">
        <f>SUM(P6:P19)</f>
        <v>76944912</v>
      </c>
      <c r="Q20" s="97"/>
      <c r="R20" s="98"/>
      <c r="S20" s="99">
        <f>SUM(S6:S19)</f>
        <v>57780480.333333328</v>
      </c>
      <c r="T20" s="99">
        <f>SUM(T6:T19)</f>
        <v>51290547.111111112</v>
      </c>
      <c r="U20" s="100">
        <f>SUM(U6:U19)</f>
        <v>2333277.1609349987</v>
      </c>
      <c r="V20" s="101"/>
      <c r="W20" s="45"/>
      <c r="X20" s="102">
        <f>SUM(X6:X19)</f>
        <v>120.10000000000001</v>
      </c>
      <c r="Y20" s="103">
        <f>SUM(Y6:Y19)</f>
        <v>63029660</v>
      </c>
      <c r="Z20" s="103">
        <f>SUM(Z6:Z19)</f>
        <v>2368709.6225796835</v>
      </c>
      <c r="AA20" s="103">
        <f t="shared" si="0"/>
        <v>13915252</v>
      </c>
      <c r="AB20" s="104">
        <f>AA20/P20</f>
        <v>0.18084694151057057</v>
      </c>
    </row>
    <row r="21" spans="2:28" ht="15.75" thickBot="1" x14ac:dyDescent="0.3">
      <c r="B21" s="105" t="s">
        <v>29</v>
      </c>
      <c r="C21" s="106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8"/>
      <c r="O21" s="109"/>
      <c r="P21" s="110"/>
      <c r="Q21" s="97"/>
      <c r="R21" s="111"/>
      <c r="S21" s="112"/>
      <c r="T21" s="112"/>
      <c r="U21" s="113"/>
      <c r="V21" s="114"/>
      <c r="W21" s="45"/>
      <c r="X21" s="115"/>
      <c r="Y21" s="116"/>
      <c r="Z21" s="116"/>
      <c r="AA21" s="56">
        <f t="shared" si="0"/>
        <v>0</v>
      </c>
      <c r="AB21" s="57"/>
    </row>
    <row r="22" spans="2:28" x14ac:dyDescent="0.25">
      <c r="B22" s="117" t="s">
        <v>30</v>
      </c>
      <c r="C22" s="118">
        <v>0</v>
      </c>
      <c r="D22" s="119">
        <v>0</v>
      </c>
      <c r="E22" s="119">
        <v>0</v>
      </c>
      <c r="F22" s="119">
        <v>0</v>
      </c>
      <c r="G22" s="119">
        <v>0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20">
        <v>0</v>
      </c>
      <c r="O22" s="121">
        <f>AVERAGE(C22:N22)</f>
        <v>0</v>
      </c>
      <c r="P22" s="122">
        <f>O22*2.5*365*1000</f>
        <v>0</v>
      </c>
      <c r="Q22" s="40"/>
      <c r="R22" s="123">
        <f>AVERAGE(C22:K22)</f>
        <v>0</v>
      </c>
      <c r="S22" s="124">
        <f>R22*2.5*273*1000</f>
        <v>0</v>
      </c>
      <c r="T22" s="124">
        <f>R22*2.5*274*1000</f>
        <v>0</v>
      </c>
      <c r="U22" s="125">
        <v>0</v>
      </c>
      <c r="V22" s="58"/>
      <c r="W22" s="45"/>
      <c r="X22" s="46">
        <v>0</v>
      </c>
      <c r="Y22" s="126">
        <v>0</v>
      </c>
      <c r="Z22" s="126">
        <v>0</v>
      </c>
      <c r="AA22" s="56">
        <f t="shared" si="0"/>
        <v>0</v>
      </c>
      <c r="AB22" s="57"/>
    </row>
    <row r="23" spans="2:28" ht="30.75" thickBot="1" x14ac:dyDescent="0.3">
      <c r="B23" s="127" t="s">
        <v>31</v>
      </c>
      <c r="C23" s="128">
        <v>12</v>
      </c>
      <c r="D23" s="129">
        <v>12</v>
      </c>
      <c r="E23" s="129">
        <v>12</v>
      </c>
      <c r="F23" s="129">
        <v>12</v>
      </c>
      <c r="G23" s="129">
        <v>12</v>
      </c>
      <c r="H23" s="129">
        <v>12</v>
      </c>
      <c r="I23" s="129">
        <v>12</v>
      </c>
      <c r="J23" s="129">
        <v>12</v>
      </c>
      <c r="K23" s="129">
        <v>12</v>
      </c>
      <c r="L23" s="129">
        <v>12</v>
      </c>
      <c r="M23" s="129">
        <v>12</v>
      </c>
      <c r="N23" s="130">
        <v>12</v>
      </c>
      <c r="O23" s="131">
        <f>AVERAGE(C23:N23)</f>
        <v>12</v>
      </c>
      <c r="P23" s="85">
        <f>O23*2.64*366*1000</f>
        <v>11594880</v>
      </c>
      <c r="Q23" s="40"/>
      <c r="R23" s="132">
        <f>AVERAGE(C23:K23)</f>
        <v>12</v>
      </c>
      <c r="S23" s="86">
        <f>R23*2.5*273*1000</f>
        <v>8190000</v>
      </c>
      <c r="T23" s="86">
        <f>R23*2.5*274*1000*0.85</f>
        <v>6987000</v>
      </c>
      <c r="U23" s="133">
        <f>('[2]2019 Sales'!$M$19)/306.45</f>
        <v>943881.16005873715</v>
      </c>
      <c r="V23" s="80" t="s">
        <v>24</v>
      </c>
      <c r="W23" s="45"/>
      <c r="X23" s="59">
        <v>12</v>
      </c>
      <c r="Y23" s="134">
        <f>'[1]2018 Estimated Gas &amp; Power Rev'!$P$22</f>
        <v>10950000</v>
      </c>
      <c r="Z23" s="134">
        <f>'[1]Invoices and Payments All'!$I$31</f>
        <v>108400.31948013416</v>
      </c>
      <c r="AA23" s="56">
        <f t="shared" si="0"/>
        <v>644880</v>
      </c>
      <c r="AB23" s="57">
        <f>AA23/P23</f>
        <v>5.5617651929127342E-2</v>
      </c>
    </row>
    <row r="24" spans="2:28" s="148" customFormat="1" ht="15.75" thickBot="1" x14ac:dyDescent="0.3">
      <c r="B24" s="135" t="s">
        <v>32</v>
      </c>
      <c r="C24" s="136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8"/>
      <c r="O24" s="139"/>
      <c r="P24" s="140">
        <f>SUM(P22:P23)</f>
        <v>11594880</v>
      </c>
      <c r="Q24" s="141"/>
      <c r="R24" s="142"/>
      <c r="S24" s="143">
        <f>SUM(S22:S23)</f>
        <v>8190000</v>
      </c>
      <c r="T24" s="143">
        <f>SUM(T22:T23)</f>
        <v>6987000</v>
      </c>
      <c r="U24" s="144">
        <f t="shared" ref="U24:Z24" si="4">SUM(U22:U23)</f>
        <v>943881.16005873715</v>
      </c>
      <c r="V24" s="145"/>
      <c r="W24" s="45"/>
      <c r="X24" s="102">
        <f t="shared" si="4"/>
        <v>12</v>
      </c>
      <c r="Y24" s="146">
        <f t="shared" si="4"/>
        <v>10950000</v>
      </c>
      <c r="Z24" s="146">
        <f t="shared" si="4"/>
        <v>108400.31948013416</v>
      </c>
      <c r="AA24" s="146">
        <f t="shared" si="0"/>
        <v>644880</v>
      </c>
      <c r="AB24" s="147">
        <f>AA24/P24</f>
        <v>5.5617651929127342E-2</v>
      </c>
    </row>
    <row r="25" spans="2:28" ht="15.75" thickBot="1" x14ac:dyDescent="0.3">
      <c r="B25" s="149" t="s">
        <v>33</v>
      </c>
      <c r="C25" s="150">
        <f t="shared" ref="C25:N25" si="5">SUM(C6:C23)</f>
        <v>162.80000000000001</v>
      </c>
      <c r="D25" s="151">
        <f t="shared" si="5"/>
        <v>106.8</v>
      </c>
      <c r="E25" s="151">
        <f t="shared" si="5"/>
        <v>159.80000000000001</v>
      </c>
      <c r="F25" s="151">
        <f t="shared" si="5"/>
        <v>81.800000000000011</v>
      </c>
      <c r="G25" s="151">
        <f t="shared" si="5"/>
        <v>156.80000000000001</v>
      </c>
      <c r="H25" s="151">
        <f t="shared" si="5"/>
        <v>151.80000000000001</v>
      </c>
      <c r="I25" s="151">
        <f t="shared" si="5"/>
        <v>175.3</v>
      </c>
      <c r="J25" s="151">
        <f t="shared" si="5"/>
        <v>115.8</v>
      </c>
      <c r="K25" s="151">
        <f t="shared" si="5"/>
        <v>186.8</v>
      </c>
      <c r="L25" s="151">
        <f t="shared" si="5"/>
        <v>160.80000000000001</v>
      </c>
      <c r="M25" s="151">
        <f t="shared" si="5"/>
        <v>130.80000000000001</v>
      </c>
      <c r="N25" s="152">
        <f t="shared" si="5"/>
        <v>190.29999999999998</v>
      </c>
      <c r="O25" s="153">
        <f>AVERAGE(C25:N25)</f>
        <v>148.29999999999998</v>
      </c>
      <c r="P25" s="154">
        <f>P24+P20</f>
        <v>88539792</v>
      </c>
      <c r="Q25" s="155"/>
      <c r="R25" s="156">
        <f>AVERAGE(C25:K25)</f>
        <v>144.18888888888887</v>
      </c>
      <c r="S25" s="157">
        <f>S24+S20</f>
        <v>65970480.333333328</v>
      </c>
      <c r="T25" s="157">
        <f>T24+T20</f>
        <v>58277547.111111112</v>
      </c>
      <c r="U25" s="158">
        <f>U24+U20</f>
        <v>3277158.3209937359</v>
      </c>
      <c r="V25" s="159"/>
      <c r="W25" s="45"/>
      <c r="X25" s="160">
        <f t="shared" ref="X25:Z25" si="6">X24+X20</f>
        <v>132.10000000000002</v>
      </c>
      <c r="Y25" s="161">
        <f t="shared" si="6"/>
        <v>73979660</v>
      </c>
      <c r="Z25" s="161">
        <f t="shared" si="6"/>
        <v>2477109.9420598177</v>
      </c>
      <c r="AA25" s="162">
        <f t="shared" si="0"/>
        <v>14560132</v>
      </c>
      <c r="AB25" s="163">
        <f>AA25/P25</f>
        <v>0.1644473255595631</v>
      </c>
    </row>
    <row r="26" spans="2:28" ht="15.75" thickBot="1" x14ac:dyDescent="0.3">
      <c r="B26" s="164" t="s">
        <v>34</v>
      </c>
      <c r="C26" s="165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7"/>
      <c r="O26" s="168"/>
      <c r="P26" s="169"/>
      <c r="Q26" s="75"/>
      <c r="R26" s="170"/>
      <c r="S26" s="171"/>
      <c r="T26" s="171"/>
      <c r="U26" s="172"/>
      <c r="V26" s="173"/>
      <c r="W26" s="45"/>
      <c r="X26" s="174"/>
      <c r="Y26" s="175"/>
      <c r="Z26" s="175"/>
      <c r="AA26" s="175"/>
      <c r="AB26" s="176"/>
    </row>
    <row r="27" spans="2:28" x14ac:dyDescent="0.25">
      <c r="B27" s="177" t="s">
        <v>35</v>
      </c>
      <c r="C27" s="178">
        <v>4</v>
      </c>
      <c r="D27" s="179">
        <v>4</v>
      </c>
      <c r="E27" s="179">
        <v>4</v>
      </c>
      <c r="F27" s="179">
        <v>4</v>
      </c>
      <c r="G27" s="179">
        <v>4</v>
      </c>
      <c r="H27" s="179">
        <v>4</v>
      </c>
      <c r="I27" s="179">
        <v>4</v>
      </c>
      <c r="J27" s="179">
        <v>4</v>
      </c>
      <c r="K27" s="179">
        <v>4</v>
      </c>
      <c r="L27" s="179">
        <v>4</v>
      </c>
      <c r="M27" s="179">
        <v>4</v>
      </c>
      <c r="N27" s="180">
        <v>4</v>
      </c>
      <c r="O27" s="121">
        <f>AVERAGE(C27:N27)</f>
        <v>4</v>
      </c>
      <c r="P27" s="122">
        <f>O27*2.64*366*1000</f>
        <v>3864960</v>
      </c>
      <c r="Q27" s="40"/>
      <c r="R27" s="123">
        <f>AVERAGE(C27:K27)</f>
        <v>4</v>
      </c>
      <c r="S27" s="124">
        <f>R27*3.34*273*1000</f>
        <v>3647279.9999999995</v>
      </c>
      <c r="T27" s="124">
        <f>R27*3.34*274*1000</f>
        <v>3660640</v>
      </c>
      <c r="U27" s="181">
        <f>('[2]2019 Sales'!$M$40)/306.45</f>
        <v>484414.98863299069</v>
      </c>
      <c r="V27" s="58"/>
      <c r="W27" s="45"/>
      <c r="X27" s="182">
        <v>3</v>
      </c>
      <c r="Y27" s="183">
        <f>'[1]2018 Estimated Gas &amp; Power Rev'!$P$25</f>
        <v>3405450</v>
      </c>
      <c r="Z27" s="183">
        <f>'[1]Invoices and Payments All'!$I$29</f>
        <v>370624.77135707997</v>
      </c>
      <c r="AA27" s="56">
        <f>P27-Y27</f>
        <v>459510</v>
      </c>
      <c r="AB27" s="57">
        <f>AA27/P27</f>
        <v>0.11889126924987581</v>
      </c>
    </row>
    <row r="28" spans="2:28" x14ac:dyDescent="0.25">
      <c r="B28" s="184" t="s">
        <v>36</v>
      </c>
      <c r="C28" s="185">
        <v>100</v>
      </c>
      <c r="D28" s="186">
        <v>100</v>
      </c>
      <c r="E28" s="186">
        <v>100</v>
      </c>
      <c r="F28" s="186">
        <v>100</v>
      </c>
      <c r="G28" s="186">
        <v>100</v>
      </c>
      <c r="H28" s="186">
        <v>100</v>
      </c>
      <c r="I28" s="186">
        <v>100</v>
      </c>
      <c r="J28" s="186">
        <v>100</v>
      </c>
      <c r="K28" s="186">
        <v>100</v>
      </c>
      <c r="L28" s="186">
        <v>100</v>
      </c>
      <c r="M28" s="186">
        <v>100</v>
      </c>
      <c r="N28" s="187">
        <v>100</v>
      </c>
      <c r="O28" s="188">
        <f>AVERAGE(C28:N28)</f>
        <v>100</v>
      </c>
      <c r="P28" s="189"/>
      <c r="Q28" s="190"/>
      <c r="R28" s="191">
        <f>AVERAGE(C28:K28)</f>
        <v>100</v>
      </c>
      <c r="S28" s="192"/>
      <c r="T28" s="192"/>
      <c r="U28" s="193"/>
      <c r="V28" s="194"/>
      <c r="W28" s="45"/>
      <c r="X28" s="195">
        <v>100</v>
      </c>
      <c r="Y28" s="55">
        <f>'[1]2018 Estimated Gas &amp; Power Rev'!$P$26</f>
        <v>0</v>
      </c>
      <c r="Z28" s="196"/>
      <c r="AA28" s="56"/>
      <c r="AB28" s="57"/>
    </row>
    <row r="29" spans="2:28" ht="30" x14ac:dyDescent="0.25">
      <c r="B29" s="184" t="s">
        <v>37</v>
      </c>
      <c r="C29" s="185">
        <v>0</v>
      </c>
      <c r="D29" s="186">
        <v>0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0</v>
      </c>
      <c r="L29" s="186">
        <v>0</v>
      </c>
      <c r="M29" s="186">
        <v>0</v>
      </c>
      <c r="N29" s="187">
        <v>0</v>
      </c>
      <c r="O29" s="188">
        <f>AVERAGE(C29:N29)</f>
        <v>0</v>
      </c>
      <c r="P29" s="189"/>
      <c r="Q29" s="190"/>
      <c r="R29" s="191">
        <f>AVERAGE(C29:K29)</f>
        <v>0</v>
      </c>
      <c r="S29" s="192"/>
      <c r="T29" s="192"/>
      <c r="U29" s="125">
        <v>0</v>
      </c>
      <c r="V29" s="58" t="s">
        <v>14</v>
      </c>
      <c r="W29" s="45"/>
      <c r="X29" s="195">
        <v>2.1</v>
      </c>
      <c r="Y29" s="55">
        <f>'[1]2018 Estimated Gas &amp; Power Rev'!$P$27</f>
        <v>1916250</v>
      </c>
      <c r="Z29" s="55">
        <f>'[1]2018 Estimated Gas &amp; Power Rev'!$P$26</f>
        <v>0</v>
      </c>
      <c r="AA29" s="56">
        <f>P29-Y29</f>
        <v>-1916250</v>
      </c>
      <c r="AB29" s="57"/>
    </row>
    <row r="30" spans="2:28" x14ac:dyDescent="0.25">
      <c r="B30" s="177" t="s">
        <v>38</v>
      </c>
      <c r="C30" s="197">
        <v>32</v>
      </c>
      <c r="D30" s="198">
        <v>33</v>
      </c>
      <c r="E30" s="198">
        <v>33</v>
      </c>
      <c r="F30" s="198">
        <v>30</v>
      </c>
      <c r="G30" s="198">
        <v>33</v>
      </c>
      <c r="H30" s="198">
        <v>32</v>
      </c>
      <c r="I30" s="198">
        <v>32</v>
      </c>
      <c r="J30" s="198">
        <v>33</v>
      </c>
      <c r="K30" s="198">
        <v>32</v>
      </c>
      <c r="L30" s="198">
        <v>32</v>
      </c>
      <c r="M30" s="198">
        <v>33</v>
      </c>
      <c r="N30" s="199">
        <v>34</v>
      </c>
      <c r="O30" s="39">
        <f>AVERAGE(C30:N30)</f>
        <v>32.416666666666664</v>
      </c>
      <c r="P30" s="50">
        <f>O30*2.64*366*1000</f>
        <v>31322280</v>
      </c>
      <c r="Q30" s="40"/>
      <c r="R30" s="41">
        <f>AVERAGE(C30:K30)</f>
        <v>32.222222222222221</v>
      </c>
      <c r="S30" s="51">
        <f>R30*3.34*273*1000</f>
        <v>29380866.666666664</v>
      </c>
      <c r="T30" s="51">
        <f>R30*3.34*274*1000</f>
        <v>29488488.888888888</v>
      </c>
      <c r="U30" s="125">
        <f>('[2]2019 Sales'!$M$41)/306.45</f>
        <v>1330822.6079295154</v>
      </c>
      <c r="V30" s="58"/>
      <c r="W30" s="45"/>
      <c r="X30" s="182">
        <v>6.3</v>
      </c>
      <c r="Y30" s="55">
        <f>'[1]2018 Estimated Gas &amp; Power Rev'!$P$28</f>
        <v>5748750</v>
      </c>
      <c r="Z30" s="55">
        <f>'[1]2018 Estimated Gas &amp; Power Rev'!$P$26</f>
        <v>0</v>
      </c>
      <c r="AA30" s="56">
        <f>P30-Y30</f>
        <v>25573530</v>
      </c>
      <c r="AB30" s="57">
        <f>AA30/P30</f>
        <v>0.81646451024638056</v>
      </c>
    </row>
    <row r="31" spans="2:28" x14ac:dyDescent="0.25">
      <c r="B31" s="177" t="s">
        <v>39</v>
      </c>
      <c r="C31" s="197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9"/>
      <c r="O31" s="39"/>
      <c r="P31" s="200"/>
      <c r="Q31" s="201"/>
      <c r="R31" s="41"/>
      <c r="S31" s="202"/>
      <c r="T31" s="202"/>
      <c r="U31" s="193"/>
      <c r="V31" s="58"/>
      <c r="W31" s="45"/>
      <c r="X31" s="182"/>
      <c r="Y31" s="196"/>
      <c r="Z31" s="196"/>
      <c r="AA31" s="56">
        <f>P31-Y31</f>
        <v>0</v>
      </c>
      <c r="AB31" s="57"/>
    </row>
    <row r="32" spans="2:28" ht="15.75" thickBot="1" x14ac:dyDescent="0.3">
      <c r="B32" s="177" t="s">
        <v>40</v>
      </c>
      <c r="C32" s="203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5"/>
      <c r="O32" s="206"/>
      <c r="P32" s="207"/>
      <c r="Q32" s="201"/>
      <c r="R32" s="208"/>
      <c r="S32" s="209"/>
      <c r="T32" s="209"/>
      <c r="U32" s="210"/>
      <c r="V32" s="53"/>
      <c r="W32" s="45"/>
      <c r="X32" s="211"/>
      <c r="Y32" s="212"/>
      <c r="Z32" s="212"/>
      <c r="AA32" s="56">
        <f>P32-Y32</f>
        <v>0</v>
      </c>
      <c r="AB32" s="57"/>
    </row>
    <row r="33" spans="2:28" ht="15.75" thickBot="1" x14ac:dyDescent="0.3">
      <c r="B33" s="213" t="s">
        <v>41</v>
      </c>
      <c r="C33" s="214">
        <f>SUM(C27:C32)</f>
        <v>136</v>
      </c>
      <c r="D33" s="214">
        <f t="shared" ref="D33:N33" si="7">SUM(D27:D32)</f>
        <v>137</v>
      </c>
      <c r="E33" s="214">
        <f t="shared" si="7"/>
        <v>137</v>
      </c>
      <c r="F33" s="214">
        <f t="shared" si="7"/>
        <v>134</v>
      </c>
      <c r="G33" s="214">
        <f t="shared" si="7"/>
        <v>137</v>
      </c>
      <c r="H33" s="214">
        <f t="shared" si="7"/>
        <v>136</v>
      </c>
      <c r="I33" s="214">
        <f t="shared" si="7"/>
        <v>136</v>
      </c>
      <c r="J33" s="214">
        <f t="shared" si="7"/>
        <v>137</v>
      </c>
      <c r="K33" s="214">
        <f t="shared" si="7"/>
        <v>136</v>
      </c>
      <c r="L33" s="214">
        <f t="shared" si="7"/>
        <v>136</v>
      </c>
      <c r="M33" s="214">
        <f t="shared" si="7"/>
        <v>137</v>
      </c>
      <c r="N33" s="215">
        <f t="shared" si="7"/>
        <v>138</v>
      </c>
      <c r="O33" s="216">
        <f>AVERAGE(C33:N33)</f>
        <v>136.41666666666666</v>
      </c>
      <c r="P33" s="217">
        <f>SUM(P27:P32)</f>
        <v>35187240</v>
      </c>
      <c r="Q33" s="218"/>
      <c r="R33" s="219">
        <f>AVERAGE(C33:K33)</f>
        <v>136.22222222222223</v>
      </c>
      <c r="S33" s="220">
        <f>SUM(S27:S32)</f>
        <v>33028146.666666664</v>
      </c>
      <c r="T33" s="220">
        <f>SUM(T27:T32)</f>
        <v>33149128.888888888</v>
      </c>
      <c r="U33" s="221">
        <f>SUM(U27:U32)</f>
        <v>1815237.5965625062</v>
      </c>
      <c r="V33" s="222"/>
      <c r="W33" s="45"/>
      <c r="X33" s="102">
        <f>SUM(X27:X32)</f>
        <v>111.39999999999999</v>
      </c>
      <c r="Y33" s="221">
        <f>SUM(Y27:Y32)</f>
        <v>11070450</v>
      </c>
      <c r="Z33" s="221">
        <f>SUM(Z27:Z32)</f>
        <v>370624.77135707997</v>
      </c>
      <c r="AA33" s="221">
        <f>SUM(AA27:AA32)</f>
        <v>24116790</v>
      </c>
      <c r="AB33" s="223">
        <f>AA33/P33</f>
        <v>0.68538453143810085</v>
      </c>
    </row>
    <row r="34" spans="2:28" s="236" customFormat="1" ht="16.5" thickBot="1" x14ac:dyDescent="0.3">
      <c r="B34" s="224" t="s">
        <v>42</v>
      </c>
      <c r="C34" s="225">
        <f>C25+SUM(C27:C32)</f>
        <v>298.8</v>
      </c>
      <c r="D34" s="226">
        <f t="shared" ref="D34:N34" si="8">D25+SUM(D27:D32)</f>
        <v>243.8</v>
      </c>
      <c r="E34" s="226">
        <f t="shared" si="8"/>
        <v>296.8</v>
      </c>
      <c r="F34" s="226">
        <f t="shared" si="8"/>
        <v>215.8</v>
      </c>
      <c r="G34" s="226">
        <f t="shared" si="8"/>
        <v>293.8</v>
      </c>
      <c r="H34" s="226">
        <f t="shared" si="8"/>
        <v>287.8</v>
      </c>
      <c r="I34" s="226">
        <f t="shared" si="8"/>
        <v>311.3</v>
      </c>
      <c r="J34" s="226">
        <f t="shared" si="8"/>
        <v>252.8</v>
      </c>
      <c r="K34" s="226">
        <f t="shared" si="8"/>
        <v>322.8</v>
      </c>
      <c r="L34" s="226">
        <f t="shared" si="8"/>
        <v>296.8</v>
      </c>
      <c r="M34" s="226">
        <f t="shared" si="8"/>
        <v>267.8</v>
      </c>
      <c r="N34" s="227">
        <f t="shared" si="8"/>
        <v>328.29999999999995</v>
      </c>
      <c r="O34" s="228">
        <f>O25+O33</f>
        <v>284.71666666666664</v>
      </c>
      <c r="P34" s="229">
        <f>P25+P33</f>
        <v>123727032</v>
      </c>
      <c r="Q34" s="230"/>
      <c r="R34" s="231">
        <f>R25+R33</f>
        <v>280.4111111111111</v>
      </c>
      <c r="S34" s="232">
        <f>S25+S33</f>
        <v>98998627</v>
      </c>
      <c r="T34" s="232">
        <f>T25+T33</f>
        <v>91426676</v>
      </c>
      <c r="U34" s="233">
        <f>U25+U33</f>
        <v>5092395.9175562421</v>
      </c>
      <c r="V34" s="53"/>
      <c r="W34" s="45"/>
      <c r="X34" s="234">
        <v>243.5</v>
      </c>
      <c r="Y34" s="235">
        <f t="shared" ref="Y34:AA34" si="9">Y25+Y33</f>
        <v>85050110</v>
      </c>
      <c r="Z34" s="235">
        <f t="shared" si="9"/>
        <v>2847734.7134168977</v>
      </c>
      <c r="AA34" s="235">
        <f t="shared" si="9"/>
        <v>38676922</v>
      </c>
      <c r="AB34" s="223">
        <f>AA34/P34</f>
        <v>0.31259880217606772</v>
      </c>
    </row>
    <row r="35" spans="2:28" ht="15.75" thickBot="1" x14ac:dyDescent="0.3">
      <c r="B35" s="237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240"/>
      <c r="Q35" s="5"/>
      <c r="R35" s="241"/>
      <c r="S35" s="242"/>
      <c r="T35" s="242"/>
      <c r="U35" s="243"/>
      <c r="V35" s="244"/>
      <c r="W35" s="45"/>
      <c r="X35" s="245"/>
      <c r="Y35" s="246"/>
      <c r="Z35" s="246"/>
      <c r="AA35" s="89">
        <f>P35-Y35</f>
        <v>0</v>
      </c>
      <c r="AB35" s="247"/>
    </row>
    <row r="36" spans="2:28" s="260" customFormat="1" ht="15.75" thickBot="1" x14ac:dyDescent="0.3">
      <c r="B36" s="248" t="s">
        <v>43</v>
      </c>
      <c r="C36" s="249">
        <f>C34-C28-C29</f>
        <v>198.8</v>
      </c>
      <c r="D36" s="250">
        <f t="shared" ref="D36:N36" si="10">D34-D28-D29</f>
        <v>143.80000000000001</v>
      </c>
      <c r="E36" s="250">
        <f t="shared" si="10"/>
        <v>196.8</v>
      </c>
      <c r="F36" s="250">
        <f t="shared" si="10"/>
        <v>115.80000000000001</v>
      </c>
      <c r="G36" s="250">
        <f t="shared" si="10"/>
        <v>193.8</v>
      </c>
      <c r="H36" s="250">
        <f t="shared" si="10"/>
        <v>187.8</v>
      </c>
      <c r="I36" s="250">
        <f t="shared" si="10"/>
        <v>211.3</v>
      </c>
      <c r="J36" s="250">
        <f t="shared" si="10"/>
        <v>152.80000000000001</v>
      </c>
      <c r="K36" s="250">
        <f t="shared" si="10"/>
        <v>222.8</v>
      </c>
      <c r="L36" s="250">
        <f t="shared" si="10"/>
        <v>196.8</v>
      </c>
      <c r="M36" s="250">
        <f t="shared" si="10"/>
        <v>167.8</v>
      </c>
      <c r="N36" s="250">
        <f t="shared" si="10"/>
        <v>228.29999999999995</v>
      </c>
      <c r="O36" s="251">
        <f>O34-O28-O29</f>
        <v>184.71666666666664</v>
      </c>
      <c r="P36" s="252">
        <f>P34-P28-P29</f>
        <v>123727032</v>
      </c>
      <c r="Q36" s="253"/>
      <c r="R36" s="254">
        <f>R34-R28-R29</f>
        <v>180.4111111111111</v>
      </c>
      <c r="S36" s="255">
        <f>S34-S28-S29</f>
        <v>98998627</v>
      </c>
      <c r="T36" s="255">
        <f>T34-T28-T29</f>
        <v>91426676</v>
      </c>
      <c r="U36" s="256">
        <f>U34</f>
        <v>5092395.9175562421</v>
      </c>
      <c r="V36" s="257"/>
      <c r="W36" s="45"/>
      <c r="X36" s="258">
        <f>X34-X28</f>
        <v>143.5</v>
      </c>
      <c r="Y36" s="259">
        <f>Y33+Y25</f>
        <v>85050110</v>
      </c>
      <c r="Z36" s="259">
        <f>Z33+Z25</f>
        <v>2847734.7134168977</v>
      </c>
      <c r="AA36" s="259">
        <f>AA33+AA25</f>
        <v>38676922</v>
      </c>
      <c r="AB36" s="223">
        <f>AA36/P36</f>
        <v>0.31259880217606772</v>
      </c>
    </row>
    <row r="37" spans="2:28" ht="26.25" thickBot="1" x14ac:dyDescent="0.3">
      <c r="B37" s="261" t="s">
        <v>44</v>
      </c>
      <c r="C37" s="262">
        <v>16</v>
      </c>
      <c r="D37" s="263">
        <f t="shared" ref="D37:N37" si="11">C37</f>
        <v>16</v>
      </c>
      <c r="E37" s="263">
        <f t="shared" si="11"/>
        <v>16</v>
      </c>
      <c r="F37" s="263">
        <f t="shared" si="11"/>
        <v>16</v>
      </c>
      <c r="G37" s="263">
        <f t="shared" si="11"/>
        <v>16</v>
      </c>
      <c r="H37" s="263">
        <f t="shared" si="11"/>
        <v>16</v>
      </c>
      <c r="I37" s="263">
        <f t="shared" si="11"/>
        <v>16</v>
      </c>
      <c r="J37" s="263">
        <f t="shared" si="11"/>
        <v>16</v>
      </c>
      <c r="K37" s="263">
        <f t="shared" si="11"/>
        <v>16</v>
      </c>
      <c r="L37" s="263">
        <f t="shared" si="11"/>
        <v>16</v>
      </c>
      <c r="M37" s="263">
        <f t="shared" si="11"/>
        <v>16</v>
      </c>
      <c r="N37" s="264">
        <f t="shared" si="11"/>
        <v>16</v>
      </c>
      <c r="O37" s="265">
        <f>AVERAGE(C37:N37)</f>
        <v>16</v>
      </c>
      <c r="P37" s="266">
        <f>O37*0.8*366*1000</f>
        <v>4684800</v>
      </c>
      <c r="Q37" s="141"/>
      <c r="R37" s="267">
        <f>AVERAGE(C37:K37)</f>
        <v>16</v>
      </c>
      <c r="S37" s="268">
        <f>R37*0.8*273*1000</f>
        <v>3494400</v>
      </c>
      <c r="T37" s="268">
        <f>R37*0.8*274*1000*0.85</f>
        <v>2981120.0000000005</v>
      </c>
      <c r="U37" s="269"/>
      <c r="V37" s="3"/>
      <c r="W37" s="3"/>
      <c r="X37" s="270" t="s">
        <v>45</v>
      </c>
      <c r="Y37" s="271"/>
      <c r="Z37" s="272">
        <f>+Z36/Y36</f>
        <v>3.3483022107989015E-2</v>
      </c>
    </row>
    <row r="38" spans="2:28" x14ac:dyDescent="0.25">
      <c r="R38" s="242"/>
      <c r="S38" s="242"/>
      <c r="T38" s="242"/>
      <c r="X38"/>
    </row>
    <row r="39" spans="2:28" x14ac:dyDescent="0.25">
      <c r="R39" s="242"/>
      <c r="S39" s="242"/>
      <c r="T39" s="242"/>
      <c r="X39"/>
    </row>
    <row r="40" spans="2:28" ht="15.75" thickBot="1" x14ac:dyDescent="0.3">
      <c r="R40" s="242"/>
      <c r="S40" s="242"/>
      <c r="T40" s="242"/>
      <c r="X40"/>
    </row>
    <row r="41" spans="2:28" ht="15.75" thickBot="1" x14ac:dyDescent="0.3">
      <c r="C41" s="10">
        <v>43831</v>
      </c>
      <c r="D41" s="10">
        <v>43862</v>
      </c>
      <c r="E41" s="10">
        <v>43891</v>
      </c>
      <c r="F41" s="10">
        <v>43922</v>
      </c>
      <c r="G41" s="10">
        <v>43952</v>
      </c>
      <c r="H41" s="10">
        <v>43983</v>
      </c>
      <c r="I41" s="10">
        <v>44013</v>
      </c>
      <c r="J41" s="10">
        <v>44044</v>
      </c>
      <c r="K41" s="10">
        <v>44075</v>
      </c>
      <c r="L41" s="10">
        <v>44105</v>
      </c>
      <c r="M41" s="10">
        <v>44136</v>
      </c>
      <c r="N41" s="10">
        <v>44166</v>
      </c>
      <c r="O41" s="11"/>
      <c r="P41" s="273" t="s">
        <v>46</v>
      </c>
      <c r="Q41" s="274"/>
      <c r="R41" s="275" t="s">
        <v>3</v>
      </c>
      <c r="S41" s="275" t="s">
        <v>47</v>
      </c>
      <c r="X41" s="276" t="s">
        <v>48</v>
      </c>
      <c r="Y41" s="276" t="s">
        <v>49</v>
      </c>
    </row>
    <row r="42" spans="2:28" ht="16.5" thickBot="1" x14ac:dyDescent="0.3">
      <c r="B42" s="277" t="s">
        <v>50</v>
      </c>
      <c r="C42" s="278">
        <f t="shared" ref="C42:P42" si="12">SUM(C6:C19)</f>
        <v>150.80000000000001</v>
      </c>
      <c r="D42" s="278">
        <f t="shared" si="12"/>
        <v>94.8</v>
      </c>
      <c r="E42" s="278">
        <f t="shared" si="12"/>
        <v>147.80000000000001</v>
      </c>
      <c r="F42" s="278">
        <f t="shared" si="12"/>
        <v>69.800000000000011</v>
      </c>
      <c r="G42" s="278">
        <f t="shared" si="12"/>
        <v>144.80000000000001</v>
      </c>
      <c r="H42" s="278">
        <f t="shared" si="12"/>
        <v>139.80000000000001</v>
      </c>
      <c r="I42" s="278">
        <f t="shared" si="12"/>
        <v>163.30000000000001</v>
      </c>
      <c r="J42" s="278">
        <f t="shared" si="12"/>
        <v>103.8</v>
      </c>
      <c r="K42" s="278">
        <f t="shared" si="12"/>
        <v>174.8</v>
      </c>
      <c r="L42" s="278">
        <f t="shared" si="12"/>
        <v>148.80000000000001</v>
      </c>
      <c r="M42" s="278">
        <f t="shared" si="12"/>
        <v>118.8</v>
      </c>
      <c r="N42" s="278">
        <f t="shared" si="12"/>
        <v>178.29999999999998</v>
      </c>
      <c r="O42" s="279">
        <f t="shared" si="12"/>
        <v>136.30000000000001</v>
      </c>
      <c r="P42" s="280">
        <f t="shared" si="12"/>
        <v>76944912</v>
      </c>
      <c r="Q42" s="281"/>
      <c r="R42" s="282">
        <f>SUM(T6:T19)</f>
        <v>51290547.111111112</v>
      </c>
      <c r="S42" s="283">
        <f>SUM(S6:S19)</f>
        <v>57780480.333333328</v>
      </c>
      <c r="T42" s="284"/>
      <c r="U42" s="284"/>
      <c r="V42" s="284"/>
      <c r="W42" s="284"/>
      <c r="X42" s="285">
        <f>SUM(Y6:Y19)</f>
        <v>63029660</v>
      </c>
      <c r="Y42" s="285">
        <f>SUM(Z6:Z19)</f>
        <v>2368709.6225796835</v>
      </c>
    </row>
    <row r="43" spans="2:28" ht="15.75" x14ac:dyDescent="0.25">
      <c r="B43" s="286" t="s">
        <v>51</v>
      </c>
      <c r="C43" s="287">
        <f>SUM(C22:C23)</f>
        <v>12</v>
      </c>
      <c r="D43" s="288">
        <f t="shared" ref="D43:N43" si="13">SUM(D22:D23)</f>
        <v>12</v>
      </c>
      <c r="E43" s="288">
        <f t="shared" si="13"/>
        <v>12</v>
      </c>
      <c r="F43" s="288">
        <f t="shared" si="13"/>
        <v>12</v>
      </c>
      <c r="G43" s="288">
        <f t="shared" si="13"/>
        <v>12</v>
      </c>
      <c r="H43" s="288">
        <f t="shared" si="13"/>
        <v>12</v>
      </c>
      <c r="I43" s="288">
        <f t="shared" si="13"/>
        <v>12</v>
      </c>
      <c r="J43" s="288">
        <f t="shared" si="13"/>
        <v>12</v>
      </c>
      <c r="K43" s="288">
        <f t="shared" si="13"/>
        <v>12</v>
      </c>
      <c r="L43" s="288">
        <f t="shared" si="13"/>
        <v>12</v>
      </c>
      <c r="M43" s="288">
        <f t="shared" si="13"/>
        <v>12</v>
      </c>
      <c r="N43" s="289">
        <f t="shared" si="13"/>
        <v>12</v>
      </c>
      <c r="O43" s="290">
        <f>SUM(O22:O23)</f>
        <v>12</v>
      </c>
      <c r="P43" s="291">
        <f>SUM(P22:P23)</f>
        <v>11594880</v>
      </c>
      <c r="Q43" s="281"/>
      <c r="R43" s="292">
        <f>SUM(T22:T23)</f>
        <v>6987000</v>
      </c>
      <c r="S43" s="293">
        <f>SUM(S22:S23)</f>
        <v>8190000</v>
      </c>
      <c r="T43" s="284"/>
      <c r="U43" s="284"/>
      <c r="V43" s="284"/>
      <c r="W43" s="284"/>
      <c r="X43" s="294">
        <f>SUM(Y22:Y23)</f>
        <v>10950000</v>
      </c>
      <c r="Y43" s="294">
        <f>SUM(Z22:Z23)</f>
        <v>108400.31948013416</v>
      </c>
    </row>
    <row r="44" spans="2:28" ht="15.75" x14ac:dyDescent="0.25">
      <c r="B44" s="295" t="s">
        <v>52</v>
      </c>
      <c r="C44" s="287">
        <f>SUM(C29:C32)</f>
        <v>32</v>
      </c>
      <c r="D44" s="288">
        <f t="shared" ref="D44:N44" si="14">SUM(D29:D32)</f>
        <v>33</v>
      </c>
      <c r="E44" s="288">
        <f t="shared" si="14"/>
        <v>33</v>
      </c>
      <c r="F44" s="288">
        <f t="shared" si="14"/>
        <v>30</v>
      </c>
      <c r="G44" s="288">
        <f t="shared" si="14"/>
        <v>33</v>
      </c>
      <c r="H44" s="288">
        <f t="shared" si="14"/>
        <v>32</v>
      </c>
      <c r="I44" s="288">
        <f t="shared" si="14"/>
        <v>32</v>
      </c>
      <c r="J44" s="288">
        <f t="shared" si="14"/>
        <v>33</v>
      </c>
      <c r="K44" s="288">
        <f t="shared" si="14"/>
        <v>32</v>
      </c>
      <c r="L44" s="288">
        <f t="shared" si="14"/>
        <v>32</v>
      </c>
      <c r="M44" s="288">
        <f t="shared" si="14"/>
        <v>33</v>
      </c>
      <c r="N44" s="289">
        <f t="shared" si="14"/>
        <v>34</v>
      </c>
      <c r="O44" s="290">
        <f>SUM(O29:O32)</f>
        <v>32.416666666666664</v>
      </c>
      <c r="P44" s="291">
        <f>+P30</f>
        <v>31322280</v>
      </c>
      <c r="Q44" s="281"/>
      <c r="R44" s="292">
        <f>+T30</f>
        <v>29488488.888888888</v>
      </c>
      <c r="S44" s="293">
        <f>+S30</f>
        <v>29380866.666666664</v>
      </c>
      <c r="T44" s="284"/>
      <c r="U44" s="284"/>
      <c r="V44" s="284"/>
      <c r="W44" s="284"/>
      <c r="X44" s="294">
        <f>+Y30+Y29</f>
        <v>7665000</v>
      </c>
      <c r="Y44" s="294">
        <f>+Z30+Z29</f>
        <v>0</v>
      </c>
    </row>
    <row r="45" spans="2:28" ht="16.5" thickBot="1" x14ac:dyDescent="0.3">
      <c r="B45" s="296" t="s">
        <v>53</v>
      </c>
      <c r="C45" s="297">
        <f>+C27</f>
        <v>4</v>
      </c>
      <c r="D45" s="298">
        <f t="shared" ref="D45:N45" si="15">+D27</f>
        <v>4</v>
      </c>
      <c r="E45" s="298">
        <f t="shared" si="15"/>
        <v>4</v>
      </c>
      <c r="F45" s="298">
        <f t="shared" si="15"/>
        <v>4</v>
      </c>
      <c r="G45" s="298">
        <f t="shared" si="15"/>
        <v>4</v>
      </c>
      <c r="H45" s="298">
        <f t="shared" si="15"/>
        <v>4</v>
      </c>
      <c r="I45" s="298">
        <f t="shared" si="15"/>
        <v>4</v>
      </c>
      <c r="J45" s="298">
        <f t="shared" si="15"/>
        <v>4</v>
      </c>
      <c r="K45" s="298">
        <f t="shared" si="15"/>
        <v>4</v>
      </c>
      <c r="L45" s="298">
        <f t="shared" si="15"/>
        <v>4</v>
      </c>
      <c r="M45" s="298">
        <f t="shared" si="15"/>
        <v>4</v>
      </c>
      <c r="N45" s="299">
        <f t="shared" si="15"/>
        <v>4</v>
      </c>
      <c r="O45" s="300">
        <f>+O27</f>
        <v>4</v>
      </c>
      <c r="P45" s="291">
        <f>+P27</f>
        <v>3864960</v>
      </c>
      <c r="Q45" s="281"/>
      <c r="R45" s="301">
        <f>+T27</f>
        <v>3660640</v>
      </c>
      <c r="S45" s="302">
        <f>+S27</f>
        <v>3647279.9999999995</v>
      </c>
      <c r="T45" s="284"/>
      <c r="U45" s="284"/>
      <c r="V45" s="284"/>
      <c r="W45" s="284"/>
      <c r="X45" s="303">
        <f>+Y27</f>
        <v>3405450</v>
      </c>
      <c r="Y45" s="303">
        <f>+Z27</f>
        <v>370624.77135707997</v>
      </c>
    </row>
    <row r="46" spans="2:28" ht="16.5" thickBot="1" x14ac:dyDescent="0.3">
      <c r="B46" s="304" t="s">
        <v>54</v>
      </c>
      <c r="C46" s="305">
        <f t="shared" ref="C46:N46" si="16">SUM(C42:C45)</f>
        <v>198.8</v>
      </c>
      <c r="D46" s="305">
        <f t="shared" si="16"/>
        <v>143.80000000000001</v>
      </c>
      <c r="E46" s="305">
        <f t="shared" si="16"/>
        <v>196.8</v>
      </c>
      <c r="F46" s="305">
        <f t="shared" si="16"/>
        <v>115.80000000000001</v>
      </c>
      <c r="G46" s="305">
        <f t="shared" si="16"/>
        <v>193.8</v>
      </c>
      <c r="H46" s="305">
        <f t="shared" si="16"/>
        <v>187.8</v>
      </c>
      <c r="I46" s="305">
        <f t="shared" si="16"/>
        <v>211.3</v>
      </c>
      <c r="J46" s="305">
        <f t="shared" si="16"/>
        <v>152.80000000000001</v>
      </c>
      <c r="K46" s="305">
        <f t="shared" si="16"/>
        <v>222.8</v>
      </c>
      <c r="L46" s="305">
        <f t="shared" si="16"/>
        <v>196.8</v>
      </c>
      <c r="M46" s="305">
        <f t="shared" si="16"/>
        <v>167.8</v>
      </c>
      <c r="N46" s="305">
        <f t="shared" si="16"/>
        <v>228.29999999999998</v>
      </c>
      <c r="O46" s="305">
        <f>SUM(O42:O45)</f>
        <v>184.71666666666667</v>
      </c>
      <c r="P46" s="306">
        <f>SUM(P42:P45)</f>
        <v>123727032</v>
      </c>
      <c r="Q46" s="307"/>
      <c r="R46" s="308">
        <f>SUM(R42:R45)</f>
        <v>91426676</v>
      </c>
      <c r="S46" s="309">
        <f>SUM(S42:S45)</f>
        <v>98998627</v>
      </c>
      <c r="T46" s="284"/>
      <c r="U46" s="284"/>
      <c r="V46" s="284"/>
      <c r="W46" s="284"/>
      <c r="X46" s="310"/>
      <c r="Y46" s="310"/>
    </row>
    <row r="47" spans="2:28" ht="16.5" thickBot="1" x14ac:dyDescent="0.3">
      <c r="B47" s="311">
        <v>43800</v>
      </c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312"/>
      <c r="R47" s="313">
        <f>U36</f>
        <v>5092395.9175562421</v>
      </c>
      <c r="S47" s="314">
        <f>R47</f>
        <v>5092395.9175562421</v>
      </c>
      <c r="T47" s="284"/>
      <c r="U47" s="284"/>
      <c r="V47" s="284"/>
      <c r="W47" s="284"/>
      <c r="X47" s="315"/>
      <c r="Y47" s="315"/>
    </row>
    <row r="48" spans="2:28" ht="26.25" thickBot="1" x14ac:dyDescent="0.3">
      <c r="B48" s="316" t="s">
        <v>44</v>
      </c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8">
        <f>P37</f>
        <v>4684800</v>
      </c>
      <c r="Q48" s="312"/>
      <c r="R48" s="319">
        <f>T37</f>
        <v>2981120.0000000005</v>
      </c>
      <c r="S48" s="320">
        <f>S37</f>
        <v>3494400</v>
      </c>
      <c r="T48" s="284"/>
      <c r="U48" s="284"/>
      <c r="V48" s="284"/>
      <c r="W48" s="284"/>
      <c r="X48" s="315"/>
      <c r="Y48" s="315"/>
    </row>
    <row r="49" spans="1:25" ht="16.5" thickBot="1" x14ac:dyDescent="0.3">
      <c r="B49" s="321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17"/>
      <c r="Q49" s="312"/>
      <c r="R49" s="319"/>
      <c r="S49" s="320"/>
      <c r="T49" s="284"/>
      <c r="U49" s="284"/>
      <c r="V49" s="284"/>
      <c r="W49" s="284"/>
      <c r="X49" s="315"/>
      <c r="Y49" s="315"/>
    </row>
    <row r="50" spans="1:25" ht="35.25" customHeight="1" thickBot="1" x14ac:dyDescent="0.3">
      <c r="B50" s="323" t="s">
        <v>55</v>
      </c>
      <c r="C50" s="324">
        <f t="shared" ref="C50:O50" si="17">C46-C14</f>
        <v>138.80000000000001</v>
      </c>
      <c r="D50" s="324">
        <f t="shared" si="17"/>
        <v>92.800000000000011</v>
      </c>
      <c r="E50" s="324">
        <f t="shared" si="17"/>
        <v>138.80000000000001</v>
      </c>
      <c r="F50" s="324">
        <f t="shared" si="17"/>
        <v>81.800000000000011</v>
      </c>
      <c r="G50" s="324">
        <f t="shared" si="17"/>
        <v>136.80000000000001</v>
      </c>
      <c r="H50" s="324">
        <f t="shared" si="17"/>
        <v>130.80000000000001</v>
      </c>
      <c r="I50" s="324">
        <f t="shared" si="17"/>
        <v>144.30000000000001</v>
      </c>
      <c r="J50" s="324">
        <f t="shared" si="17"/>
        <v>112.80000000000001</v>
      </c>
      <c r="K50" s="324">
        <f t="shared" si="17"/>
        <v>152.80000000000001</v>
      </c>
      <c r="L50" s="324">
        <f t="shared" si="17"/>
        <v>136.80000000000001</v>
      </c>
      <c r="M50" s="324">
        <f t="shared" si="17"/>
        <v>111.80000000000001</v>
      </c>
      <c r="N50" s="324">
        <f t="shared" si="17"/>
        <v>158.29999999999998</v>
      </c>
      <c r="O50" s="325">
        <f t="shared" si="17"/>
        <v>128.05000000000001</v>
      </c>
      <c r="P50" s="326">
        <f>P46+P48</f>
        <v>128411832</v>
      </c>
      <c r="Q50" s="327"/>
      <c r="R50" s="328">
        <f>SUM(R42:R45)+R48</f>
        <v>94407796</v>
      </c>
      <c r="S50" s="329">
        <f>SUM(S42:S45)+S48</f>
        <v>102493027</v>
      </c>
      <c r="T50" s="330"/>
      <c r="U50" s="284"/>
      <c r="V50" s="284"/>
      <c r="W50" s="284"/>
      <c r="X50" s="331">
        <f>SUM(X42:X45)</f>
        <v>85050110</v>
      </c>
      <c r="Y50" s="331">
        <f>SUM(Y42:Y45)</f>
        <v>2847734.7134168977</v>
      </c>
    </row>
    <row r="51" spans="1:25" s="3" customFormat="1" ht="29.25" customHeight="1" thickBot="1" x14ac:dyDescent="0.3">
      <c r="B51" s="332" t="s">
        <v>56</v>
      </c>
      <c r="C51" s="333">
        <f>C50</f>
        <v>138.80000000000001</v>
      </c>
      <c r="D51" s="333">
        <f t="shared" ref="D51:K51" si="18">D50</f>
        <v>92.800000000000011</v>
      </c>
      <c r="E51" s="333">
        <f t="shared" si="18"/>
        <v>138.80000000000001</v>
      </c>
      <c r="F51" s="333">
        <f t="shared" si="18"/>
        <v>81.800000000000011</v>
      </c>
      <c r="G51" s="333">
        <f t="shared" si="18"/>
        <v>136.80000000000001</v>
      </c>
      <c r="H51" s="333">
        <f t="shared" si="18"/>
        <v>130.80000000000001</v>
      </c>
      <c r="I51" s="333">
        <f t="shared" si="18"/>
        <v>144.30000000000001</v>
      </c>
      <c r="J51" s="333">
        <f t="shared" si="18"/>
        <v>112.80000000000001</v>
      </c>
      <c r="K51" s="333">
        <f t="shared" si="18"/>
        <v>152.80000000000001</v>
      </c>
      <c r="L51" s="334"/>
      <c r="M51" s="334"/>
      <c r="N51" s="334"/>
      <c r="O51" s="335">
        <f>AVERAGE(C51:N51)</f>
        <v>125.5222222222222</v>
      </c>
      <c r="P51" s="336"/>
      <c r="Q51" s="336"/>
      <c r="R51" s="337"/>
      <c r="S51" s="330"/>
      <c r="T51" s="330"/>
      <c r="U51" s="284"/>
      <c r="V51" s="284"/>
      <c r="W51" s="284"/>
      <c r="X51" s="337"/>
      <c r="Y51" s="337"/>
    </row>
    <row r="52" spans="1:25" s="3" customFormat="1" ht="16.5" thickBot="1" x14ac:dyDescent="0.3">
      <c r="B52" s="338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40"/>
      <c r="P52" s="336"/>
      <c r="Q52" s="336"/>
      <c r="R52" s="337"/>
      <c r="S52" s="330"/>
      <c r="T52" s="330"/>
      <c r="U52" s="284"/>
      <c r="V52" s="284"/>
      <c r="W52" s="284"/>
      <c r="X52" s="337"/>
      <c r="Y52" s="337"/>
    </row>
    <row r="53" spans="1:25" ht="15.75" thickBot="1" x14ac:dyDescent="0.3">
      <c r="C53" s="341">
        <v>43831</v>
      </c>
      <c r="D53" s="341">
        <v>43862</v>
      </c>
      <c r="E53" s="341">
        <v>43891</v>
      </c>
      <c r="F53" s="341">
        <v>43922</v>
      </c>
      <c r="G53" s="341">
        <v>43952</v>
      </c>
      <c r="H53" s="341">
        <v>43983</v>
      </c>
      <c r="I53" s="341">
        <v>44013</v>
      </c>
      <c r="J53" s="341">
        <v>44044</v>
      </c>
      <c r="K53" s="341">
        <v>44075</v>
      </c>
      <c r="L53" s="341">
        <v>44105</v>
      </c>
      <c r="M53" s="341">
        <v>44136</v>
      </c>
      <c r="N53" s="341">
        <v>44166</v>
      </c>
      <c r="O53" s="11" t="s">
        <v>57</v>
      </c>
      <c r="P53" s="342" t="s">
        <v>9</v>
      </c>
      <c r="Q53" s="337"/>
      <c r="R53" s="420">
        <v>2.64</v>
      </c>
      <c r="S53" s="337"/>
      <c r="T53" s="337"/>
      <c r="W53" s="276" t="s">
        <v>48</v>
      </c>
      <c r="X53" s="276" t="s">
        <v>49</v>
      </c>
    </row>
    <row r="54" spans="1:25" ht="16.5" thickBot="1" x14ac:dyDescent="0.3">
      <c r="A54">
        <f>127*9/12</f>
        <v>95.25</v>
      </c>
      <c r="B54" s="343" t="s">
        <v>58</v>
      </c>
      <c r="C54" s="344">
        <f>(C50/$O$50*($P$50/12))</f>
        <v>11599350.697383834</v>
      </c>
      <c r="D54" s="344">
        <f t="shared" ref="C54:N54" si="19">(D50/$O$50*($P$50/12))</f>
        <v>7755185.4806716125</v>
      </c>
      <c r="E54" s="344">
        <f t="shared" si="19"/>
        <v>11599350.697383834</v>
      </c>
      <c r="F54" s="344">
        <f t="shared" si="19"/>
        <v>6835928.5810230384</v>
      </c>
      <c r="G54" s="344">
        <f t="shared" si="19"/>
        <v>11432213.079265911</v>
      </c>
      <c r="H54" s="344">
        <f t="shared" si="19"/>
        <v>10930800.224912142</v>
      </c>
      <c r="I54" s="344">
        <f t="shared" si="19"/>
        <v>12058979.147208123</v>
      </c>
      <c r="J54" s="344">
        <f t="shared" si="19"/>
        <v>9426561.6618508399</v>
      </c>
      <c r="K54" s="344">
        <f t="shared" si="19"/>
        <v>12769314.024209293</v>
      </c>
      <c r="L54" s="345">
        <f t="shared" si="19"/>
        <v>11432213.079265911</v>
      </c>
      <c r="M54" s="345">
        <f t="shared" si="19"/>
        <v>9342992.8527918793</v>
      </c>
      <c r="N54" s="345">
        <f t="shared" si="19"/>
        <v>13228942.474033577</v>
      </c>
      <c r="O54" s="346">
        <f>SUM(C54:N54)</f>
        <v>128411831.99999999</v>
      </c>
      <c r="P54" s="347"/>
      <c r="Q54" s="337"/>
      <c r="R54" s="284">
        <f>+R53*185</f>
        <v>488.40000000000003</v>
      </c>
      <c r="S54" s="284"/>
      <c r="T54" s="284"/>
      <c r="U54" s="284"/>
      <c r="V54" s="284"/>
      <c r="W54" s="284"/>
      <c r="X54"/>
    </row>
    <row r="55" spans="1:25" ht="16.5" thickBot="1" x14ac:dyDescent="0.3">
      <c r="A55" s="412">
        <f>41/A54</f>
        <v>0.43044619422572178</v>
      </c>
      <c r="B55" s="343" t="s">
        <v>59</v>
      </c>
      <c r="C55" s="348">
        <f>C54*0.43</f>
        <v>4987720.7998750489</v>
      </c>
      <c r="D55" s="348">
        <f t="shared" ref="D55:K55" si="20">D54*0.43</f>
        <v>3334729.7566887932</v>
      </c>
      <c r="E55" s="348">
        <f t="shared" si="20"/>
        <v>4987720.7998750489</v>
      </c>
      <c r="F55" s="348">
        <f t="shared" si="20"/>
        <v>2939449.2898399066</v>
      </c>
      <c r="G55" s="348">
        <f t="shared" si="20"/>
        <v>4915851.6240843413</v>
      </c>
      <c r="H55" s="348">
        <f t="shared" si="20"/>
        <v>4700244.0967122214</v>
      </c>
      <c r="I55" s="348">
        <f t="shared" si="20"/>
        <v>5185361.0332994927</v>
      </c>
      <c r="J55" s="348">
        <f t="shared" si="20"/>
        <v>4053421.5145958611</v>
      </c>
      <c r="K55" s="348">
        <f t="shared" si="20"/>
        <v>5490805.0304099955</v>
      </c>
      <c r="L55" s="348">
        <f>L54*0.43</f>
        <v>4915851.6240843413</v>
      </c>
      <c r="M55" s="348">
        <f t="shared" ref="M55" si="21">M54*0.43</f>
        <v>4017486.9267005082</v>
      </c>
      <c r="N55" s="348">
        <f t="shared" ref="N55" si="22">N54*0.43</f>
        <v>5688445.2638344383</v>
      </c>
      <c r="O55" s="346">
        <f>SUM(C55:N55)</f>
        <v>55217087.75999999</v>
      </c>
      <c r="P55" s="349">
        <f>O55/O54</f>
        <v>0.43</v>
      </c>
      <c r="Q55" s="337"/>
      <c r="R55" s="284"/>
      <c r="S55" s="284"/>
      <c r="T55" s="284"/>
      <c r="U55" s="284"/>
      <c r="V55" s="284"/>
      <c r="W55" s="284"/>
      <c r="X55"/>
    </row>
    <row r="56" spans="1:25" ht="16.5" thickBot="1" x14ac:dyDescent="0.3">
      <c r="B56" s="350" t="s">
        <v>60</v>
      </c>
      <c r="C56" s="351">
        <f>C54-C55</f>
        <v>6611629.8975087851</v>
      </c>
      <c r="D56" s="352">
        <f t="shared" ref="D56:K56" si="23">D54-D55</f>
        <v>4420455.7239828194</v>
      </c>
      <c r="E56" s="352">
        <f t="shared" si="23"/>
        <v>6611629.8975087851</v>
      </c>
      <c r="F56" s="352">
        <f t="shared" si="23"/>
        <v>3896479.2911831317</v>
      </c>
      <c r="G56" s="352">
        <f t="shared" si="23"/>
        <v>6516361.4551815698</v>
      </c>
      <c r="H56" s="352">
        <f t="shared" si="23"/>
        <v>6230556.128199921</v>
      </c>
      <c r="I56" s="352">
        <f t="shared" si="23"/>
        <v>6873618.1139086299</v>
      </c>
      <c r="J56" s="352">
        <f t="shared" si="23"/>
        <v>5373140.1472549792</v>
      </c>
      <c r="K56" s="353">
        <f t="shared" si="23"/>
        <v>7278508.9937992971</v>
      </c>
      <c r="L56" s="354"/>
      <c r="M56" s="355"/>
      <c r="N56" s="356"/>
      <c r="O56" s="346">
        <f>SUM(C56:N56)</f>
        <v>53812379.648527928</v>
      </c>
      <c r="P56" s="357">
        <f>O56/O54</f>
        <v>0.41906091370558385</v>
      </c>
      <c r="R56" s="284"/>
      <c r="S56" s="284"/>
      <c r="T56" s="284"/>
      <c r="U56" s="284"/>
      <c r="V56" s="284"/>
      <c r="W56" s="284"/>
      <c r="X56"/>
    </row>
    <row r="57" spans="1:25" ht="16.5" thickBot="1" x14ac:dyDescent="0.3">
      <c r="B57" s="358" t="s">
        <v>61</v>
      </c>
      <c r="C57" s="359"/>
      <c r="D57" s="359"/>
      <c r="E57" s="359"/>
      <c r="F57" s="359"/>
      <c r="G57" s="359"/>
      <c r="H57" s="359"/>
      <c r="I57" s="359"/>
      <c r="J57" s="359"/>
      <c r="K57" s="359"/>
      <c r="L57" s="360">
        <f>L54</f>
        <v>11432213.079265911</v>
      </c>
      <c r="M57" s="360">
        <f t="shared" ref="M57:N57" si="24">M54</f>
        <v>9342992.8527918793</v>
      </c>
      <c r="N57" s="361">
        <f t="shared" si="24"/>
        <v>13228942.474033577</v>
      </c>
      <c r="O57" s="362">
        <f>SUM(C57:N57)</f>
        <v>34004148.40609137</v>
      </c>
      <c r="P57" s="363">
        <f>O57/O54</f>
        <v>0.26480541455160744</v>
      </c>
      <c r="R57" s="284"/>
      <c r="W57" s="364"/>
      <c r="X57"/>
    </row>
    <row r="58" spans="1:25" ht="16.5" thickBot="1" x14ac:dyDescent="0.3"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R58" s="284"/>
      <c r="V58" s="366"/>
      <c r="W58" s="364"/>
      <c r="X58"/>
    </row>
    <row r="59" spans="1:25" s="371" customFormat="1" ht="15.75" thickBot="1" x14ac:dyDescent="0.3">
      <c r="B59" s="367"/>
      <c r="C59" s="368">
        <v>43831</v>
      </c>
      <c r="D59" s="368">
        <v>43832</v>
      </c>
      <c r="E59" s="368">
        <v>43833</v>
      </c>
      <c r="F59" s="368">
        <v>43834</v>
      </c>
      <c r="G59" s="368">
        <v>43835</v>
      </c>
      <c r="H59" s="368">
        <v>43836</v>
      </c>
      <c r="I59" s="368">
        <v>43837</v>
      </c>
      <c r="J59" s="368">
        <v>43838</v>
      </c>
      <c r="K59" s="368">
        <v>43839</v>
      </c>
      <c r="L59" s="368">
        <v>43840</v>
      </c>
      <c r="M59" s="368">
        <v>43841</v>
      </c>
      <c r="N59" s="368">
        <v>43842</v>
      </c>
      <c r="O59" s="369">
        <v>43830</v>
      </c>
      <c r="P59" s="370" t="s">
        <v>62</v>
      </c>
    </row>
    <row r="60" spans="1:25" s="371" customFormat="1" ht="32.25" thickBot="1" x14ac:dyDescent="0.3">
      <c r="B60" s="372" t="s">
        <v>63</v>
      </c>
      <c r="C60" s="373">
        <v>326644</v>
      </c>
      <c r="D60" s="374">
        <v>288783</v>
      </c>
      <c r="E60" s="374">
        <v>327456</v>
      </c>
      <c r="F60" s="374">
        <v>318833</v>
      </c>
      <c r="G60" s="374">
        <v>320129</v>
      </c>
      <c r="H60" s="374">
        <v>323482</v>
      </c>
      <c r="I60" s="374">
        <v>319887</v>
      </c>
      <c r="J60" s="374">
        <v>334264</v>
      </c>
      <c r="K60" s="374">
        <v>323482</v>
      </c>
      <c r="L60" s="374">
        <v>214946</v>
      </c>
      <c r="M60" s="374">
        <v>277102</v>
      </c>
      <c r="N60" s="375">
        <v>310262</v>
      </c>
      <c r="O60" s="376"/>
      <c r="P60" s="377">
        <f>SUM(C60:O60)</f>
        <v>3685270</v>
      </c>
    </row>
    <row r="61" spans="1:25" s="381" customFormat="1" ht="16.5" thickBot="1" x14ac:dyDescent="0.3">
      <c r="B61" s="372" t="s">
        <v>64</v>
      </c>
      <c r="C61" s="378">
        <v>265844</v>
      </c>
      <c r="D61" s="379">
        <v>235031</v>
      </c>
      <c r="E61" s="379">
        <v>266505</v>
      </c>
      <c r="F61" s="379">
        <v>259487</v>
      </c>
      <c r="G61" s="379">
        <v>260542</v>
      </c>
      <c r="H61" s="379">
        <v>263270</v>
      </c>
      <c r="I61" s="379">
        <v>260345</v>
      </c>
      <c r="J61" s="379">
        <v>272046</v>
      </c>
      <c r="K61" s="379">
        <v>263270</v>
      </c>
      <c r="L61" s="379">
        <v>174937</v>
      </c>
      <c r="M61" s="379">
        <v>225524</v>
      </c>
      <c r="N61" s="380">
        <v>252512</v>
      </c>
      <c r="O61" s="376"/>
      <c r="P61" s="377">
        <f>SUM(C61:O61)</f>
        <v>2999313</v>
      </c>
    </row>
    <row r="62" spans="1:25" s="381" customFormat="1" ht="25.5" customHeight="1" thickBot="1" x14ac:dyDescent="0.3">
      <c r="B62" s="372" t="s">
        <v>65</v>
      </c>
      <c r="C62" s="382">
        <v>8610319</v>
      </c>
      <c r="D62" s="383">
        <v>7927575</v>
      </c>
      <c r="E62" s="383">
        <v>8456309</v>
      </c>
      <c r="F62" s="383">
        <v>8209715</v>
      </c>
      <c r="G62" s="383">
        <v>7805995</v>
      </c>
      <c r="H62" s="383">
        <v>8209715</v>
      </c>
      <c r="I62" s="383">
        <v>8456309</v>
      </c>
      <c r="J62" s="383">
        <v>6814722</v>
      </c>
      <c r="K62" s="383">
        <v>6049123</v>
      </c>
      <c r="L62" s="383">
        <v>7006122</v>
      </c>
      <c r="M62" s="383">
        <v>8054814</v>
      </c>
      <c r="N62" s="384">
        <v>8548893</v>
      </c>
      <c r="O62" s="376"/>
      <c r="P62" s="377">
        <f>SUM(C62:O62)</f>
        <v>94149611</v>
      </c>
    </row>
    <row r="63" spans="1:25" s="381" customFormat="1" ht="25.5" customHeight="1" thickBot="1" x14ac:dyDescent="0.3">
      <c r="B63" s="372" t="s">
        <v>66</v>
      </c>
      <c r="C63" s="385">
        <v>4249411.764725172</v>
      </c>
      <c r="D63" s="386">
        <f t="shared" ref="D63:N63" si="25">+D62</f>
        <v>7927575</v>
      </c>
      <c r="E63" s="386">
        <f t="shared" si="25"/>
        <v>8456309</v>
      </c>
      <c r="F63" s="386">
        <f t="shared" si="25"/>
        <v>8209715</v>
      </c>
      <c r="G63" s="386">
        <f t="shared" si="25"/>
        <v>7805995</v>
      </c>
      <c r="H63" s="386">
        <f t="shared" si="25"/>
        <v>8209715</v>
      </c>
      <c r="I63" s="386">
        <f t="shared" si="25"/>
        <v>8456309</v>
      </c>
      <c r="J63" s="386">
        <f t="shared" si="25"/>
        <v>6814722</v>
      </c>
      <c r="K63" s="386">
        <f t="shared" si="25"/>
        <v>6049123</v>
      </c>
      <c r="L63" s="386">
        <f t="shared" si="25"/>
        <v>7006122</v>
      </c>
      <c r="M63" s="386">
        <f t="shared" si="25"/>
        <v>8054814</v>
      </c>
      <c r="N63" s="387">
        <f t="shared" si="25"/>
        <v>8548893</v>
      </c>
      <c r="O63" s="421">
        <v>2882948.99</v>
      </c>
      <c r="P63" s="377">
        <f>SUM(C63:N63)</f>
        <v>89788703.764725178</v>
      </c>
    </row>
    <row r="64" spans="1:25" s="381" customFormat="1" ht="25.5" customHeight="1" thickBot="1" x14ac:dyDescent="0.3">
      <c r="B64" s="372" t="s">
        <v>67</v>
      </c>
      <c r="C64" s="382">
        <f>C62*0.8</f>
        <v>6888255.2000000002</v>
      </c>
      <c r="D64" s="382">
        <f t="shared" ref="D64:K64" si="26">D62*0.8</f>
        <v>6342060</v>
      </c>
      <c r="E64" s="382">
        <f t="shared" si="26"/>
        <v>6765047.2000000002</v>
      </c>
      <c r="F64" s="382">
        <f t="shared" si="26"/>
        <v>6567772</v>
      </c>
      <c r="G64" s="382">
        <f t="shared" si="26"/>
        <v>6244796</v>
      </c>
      <c r="H64" s="382">
        <f t="shared" si="26"/>
        <v>6567772</v>
      </c>
      <c r="I64" s="382">
        <f t="shared" si="26"/>
        <v>6765047.2000000002</v>
      </c>
      <c r="J64" s="382">
        <f t="shared" si="26"/>
        <v>5451777.6000000006</v>
      </c>
      <c r="K64" s="382">
        <f t="shared" si="26"/>
        <v>4839298.4000000004</v>
      </c>
      <c r="L64" s="388"/>
      <c r="M64" s="388"/>
      <c r="N64" s="389"/>
      <c r="O64" s="390">
        <f>2882948.99*0.8</f>
        <v>2306359.1920000003</v>
      </c>
      <c r="P64" s="377">
        <f>SUM(C64:N64)</f>
        <v>56431825.600000001</v>
      </c>
    </row>
    <row r="65" spans="2:25" s="381" customFormat="1" ht="16.5" thickBot="1" x14ac:dyDescent="0.3">
      <c r="B65" s="391" t="s">
        <v>68</v>
      </c>
      <c r="C65" s="392">
        <f t="shared" ref="C65:N65" si="27">C62*0.3</f>
        <v>2583095.6999999997</v>
      </c>
      <c r="D65" s="393">
        <f t="shared" si="27"/>
        <v>2378272.5</v>
      </c>
      <c r="E65" s="393">
        <f t="shared" si="27"/>
        <v>2536892.6999999997</v>
      </c>
      <c r="F65" s="393">
        <f t="shared" si="27"/>
        <v>2462914.5</v>
      </c>
      <c r="G65" s="393">
        <f t="shared" si="27"/>
        <v>2341798.5</v>
      </c>
      <c r="H65" s="393">
        <f t="shared" si="27"/>
        <v>2462914.5</v>
      </c>
      <c r="I65" s="393">
        <f t="shared" si="27"/>
        <v>2536892.6999999997</v>
      </c>
      <c r="J65" s="393">
        <f t="shared" si="27"/>
        <v>2044416.5999999999</v>
      </c>
      <c r="K65" s="393">
        <f t="shared" si="27"/>
        <v>1814736.9</v>
      </c>
      <c r="L65" s="393">
        <f t="shared" si="27"/>
        <v>2101836.6</v>
      </c>
      <c r="M65" s="393">
        <f t="shared" si="27"/>
        <v>2416444.1999999997</v>
      </c>
      <c r="N65" s="394">
        <f t="shared" si="27"/>
        <v>2564667.9</v>
      </c>
      <c r="O65" s="394">
        <f>O64*0.3</f>
        <v>691907.75760000001</v>
      </c>
      <c r="P65" s="377">
        <f>SUM(C65:O65)</f>
        <v>28936791.057599995</v>
      </c>
    </row>
    <row r="66" spans="2:25" s="371" customFormat="1" ht="16.5" thickBot="1" x14ac:dyDescent="0.3">
      <c r="B66" s="391" t="s">
        <v>69</v>
      </c>
      <c r="C66" s="395">
        <f>C64*0.3</f>
        <v>2066476.56</v>
      </c>
      <c r="D66" s="395">
        <f t="shared" ref="D66:O66" si="28">D64*0.3</f>
        <v>1902618</v>
      </c>
      <c r="E66" s="395">
        <f t="shared" si="28"/>
        <v>2029514.16</v>
      </c>
      <c r="F66" s="395">
        <f t="shared" si="28"/>
        <v>1970331.5999999999</v>
      </c>
      <c r="G66" s="395">
        <f t="shared" si="28"/>
        <v>1873438.8</v>
      </c>
      <c r="H66" s="395">
        <f t="shared" si="28"/>
        <v>1970331.5999999999</v>
      </c>
      <c r="I66" s="395">
        <f t="shared" si="28"/>
        <v>2029514.16</v>
      </c>
      <c r="J66" s="395">
        <f t="shared" si="28"/>
        <v>1635533.28</v>
      </c>
      <c r="K66" s="395">
        <f t="shared" si="28"/>
        <v>1451789.52</v>
      </c>
      <c r="L66" s="395">
        <f t="shared" si="28"/>
        <v>0</v>
      </c>
      <c r="M66" s="395">
        <f t="shared" si="28"/>
        <v>0</v>
      </c>
      <c r="N66" s="395">
        <f t="shared" si="28"/>
        <v>0</v>
      </c>
      <c r="O66" s="395">
        <f t="shared" si="28"/>
        <v>691907.75760000001</v>
      </c>
    </row>
    <row r="67" spans="2:25" s="371" customFormat="1" ht="15.75" x14ac:dyDescent="0.25"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</row>
    <row r="68" spans="2:25" s="371" customFormat="1" ht="15.75" x14ac:dyDescent="0.25"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</row>
    <row r="69" spans="2:25" ht="16.5" thickBot="1" x14ac:dyDescent="0.3">
      <c r="B69" s="148" t="s">
        <v>70</v>
      </c>
      <c r="C69" s="365"/>
      <c r="D69" s="365"/>
      <c r="E69" s="365"/>
      <c r="F69" s="365"/>
      <c r="G69" s="365"/>
      <c r="H69" s="365"/>
      <c r="I69" s="365"/>
      <c r="J69" s="365"/>
      <c r="K69" s="365"/>
      <c r="L69" s="365"/>
      <c r="M69" s="365"/>
      <c r="N69" s="365"/>
      <c r="R69" s="284"/>
      <c r="V69" s="366"/>
      <c r="W69" s="364"/>
      <c r="X69"/>
    </row>
    <row r="70" spans="2:25" ht="63.75" thickBot="1" x14ac:dyDescent="0.3">
      <c r="B70" s="396">
        <v>2020</v>
      </c>
      <c r="C70" s="397" t="s">
        <v>71</v>
      </c>
      <c r="D70" s="398" t="s">
        <v>72</v>
      </c>
      <c r="E70" s="399" t="s">
        <v>73</v>
      </c>
      <c r="F70" s="399" t="s">
        <v>80</v>
      </c>
      <c r="G70" s="398" t="s">
        <v>81</v>
      </c>
      <c r="H70" s="400" t="s">
        <v>74</v>
      </c>
      <c r="I70" s="401" t="s">
        <v>75</v>
      </c>
      <c r="M70" s="402"/>
      <c r="N70" s="402"/>
      <c r="O70" s="402"/>
      <c r="P70"/>
      <c r="R70" s="242"/>
      <c r="S70" s="242"/>
      <c r="T70" s="284"/>
      <c r="U70" s="284"/>
      <c r="W70" s="366"/>
      <c r="X70" s="364"/>
    </row>
    <row r="71" spans="2:25" ht="16.5" thickBot="1" x14ac:dyDescent="0.3">
      <c r="B71" s="403" t="s">
        <v>76</v>
      </c>
      <c r="C71" s="404">
        <f>O50</f>
        <v>128.05000000000001</v>
      </c>
      <c r="D71" s="405">
        <f>P50</f>
        <v>128411832</v>
      </c>
      <c r="E71" s="399">
        <f>S50</f>
        <v>102493027</v>
      </c>
      <c r="F71" s="399">
        <f>R50</f>
        <v>94407796</v>
      </c>
      <c r="G71" s="406">
        <f>F71/E71</f>
        <v>0.92111433102663653</v>
      </c>
      <c r="H71" s="400">
        <f>R50+R47</f>
        <v>99500191.917556241</v>
      </c>
      <c r="I71" s="407">
        <f>H71/E71</f>
        <v>0.97079962247145102</v>
      </c>
      <c r="M71" s="408"/>
      <c r="P71"/>
      <c r="R71" s="242"/>
      <c r="S71" s="242"/>
      <c r="T71" s="284"/>
      <c r="U71" s="284"/>
      <c r="V71" s="284"/>
      <c r="W71" s="284"/>
      <c r="X71" s="366"/>
      <c r="Y71" s="364"/>
    </row>
    <row r="72" spans="2:25" ht="16.5" thickBot="1" x14ac:dyDescent="0.3">
      <c r="B72" s="409" t="s">
        <v>77</v>
      </c>
      <c r="C72" s="410">
        <f>C71*0.3</f>
        <v>38.414999999999999</v>
      </c>
      <c r="D72" s="405">
        <f>D71*0.3</f>
        <v>38523549.600000001</v>
      </c>
      <c r="E72" s="399">
        <f>E71*0.3</f>
        <v>30747908.099999998</v>
      </c>
      <c r="F72" s="399">
        <f>F71*0.3</f>
        <v>28322338.800000001</v>
      </c>
      <c r="G72" s="406">
        <f>F72/E72</f>
        <v>0.92111433102663665</v>
      </c>
      <c r="H72" s="400">
        <f>(H71)*0.3</f>
        <v>29850057.575266872</v>
      </c>
      <c r="I72" s="411">
        <f>H72/E72</f>
        <v>0.97079962247145113</v>
      </c>
      <c r="M72" s="412"/>
      <c r="N72" s="412"/>
      <c r="O72" s="412"/>
      <c r="P72"/>
      <c r="R72" s="242"/>
      <c r="S72" s="242"/>
      <c r="T72" s="284"/>
      <c r="U72" s="284"/>
      <c r="V72" s="284"/>
      <c r="W72" s="284"/>
      <c r="X72"/>
      <c r="Y72" s="3"/>
    </row>
    <row r="73" spans="2:25" ht="15.75" x14ac:dyDescent="0.25">
      <c r="C73" s="413"/>
      <c r="D73" s="413"/>
      <c r="E73" s="413"/>
      <c r="F73" s="413"/>
      <c r="G73" s="413"/>
      <c r="H73" s="413"/>
      <c r="I73" s="413"/>
      <c r="J73" s="413"/>
      <c r="K73" s="413"/>
      <c r="L73" s="413"/>
      <c r="M73" s="413"/>
      <c r="N73" s="413"/>
      <c r="R73" s="284"/>
      <c r="U73" s="284"/>
      <c r="V73" s="284"/>
    </row>
    <row r="74" spans="2:25" ht="16.5" thickBot="1" x14ac:dyDescent="0.3">
      <c r="R74" s="414"/>
      <c r="U74" s="284"/>
      <c r="V74" s="284"/>
    </row>
    <row r="75" spans="2:25" ht="63.75" thickBot="1" x14ac:dyDescent="0.3">
      <c r="B75" s="396">
        <v>2020</v>
      </c>
      <c r="C75" s="397" t="s">
        <v>71</v>
      </c>
      <c r="D75" s="398" t="s">
        <v>84</v>
      </c>
      <c r="E75" s="399" t="s">
        <v>73</v>
      </c>
      <c r="F75" s="399" t="s">
        <v>80</v>
      </c>
      <c r="G75" s="398" t="s">
        <v>81</v>
      </c>
      <c r="H75" s="400" t="s">
        <v>83</v>
      </c>
      <c r="I75" s="401" t="s">
        <v>75</v>
      </c>
      <c r="J75" s="400" t="s">
        <v>82</v>
      </c>
      <c r="R75" s="414"/>
      <c r="U75" s="284"/>
      <c r="V75" s="284"/>
    </row>
    <row r="76" spans="2:25" ht="16.5" thickBot="1" x14ac:dyDescent="0.3">
      <c r="B76" s="403" t="s">
        <v>76</v>
      </c>
      <c r="C76" s="404"/>
      <c r="D76" s="405">
        <f>P62</f>
        <v>94149611</v>
      </c>
      <c r="E76" s="399">
        <f>SUM(C62:K62)</f>
        <v>70539782</v>
      </c>
      <c r="F76" s="399">
        <f>P64</f>
        <v>56431825.600000001</v>
      </c>
      <c r="G76" s="406">
        <f>F76/E76</f>
        <v>0.8</v>
      </c>
      <c r="H76" s="400">
        <f>O64+F76</f>
        <v>58738184.792000003</v>
      </c>
      <c r="I76" s="407">
        <f>H76/J76</f>
        <v>0.80000000000000016</v>
      </c>
      <c r="J76" s="413">
        <f>E76+O63</f>
        <v>73422730.989999995</v>
      </c>
      <c r="R76" s="414"/>
      <c r="U76" s="284"/>
      <c r="V76" s="284"/>
    </row>
    <row r="77" spans="2:25" ht="16.5" thickBot="1" x14ac:dyDescent="0.3">
      <c r="B77" s="409" t="s">
        <v>77</v>
      </c>
      <c r="C77" s="410">
        <f>C76*0.3</f>
        <v>0</v>
      </c>
      <c r="D77" s="405">
        <f>D76*0.3</f>
        <v>28244883.300000001</v>
      </c>
      <c r="E77" s="399">
        <f>E76*0.3</f>
        <v>21161934.599999998</v>
      </c>
      <c r="F77" s="399">
        <f>F76*0.3</f>
        <v>16929547.68</v>
      </c>
      <c r="G77" s="406">
        <f>F77/E77</f>
        <v>0.8</v>
      </c>
      <c r="H77" s="400">
        <f>(H76)*0.3</f>
        <v>17621455.437600002</v>
      </c>
      <c r="I77" s="411">
        <f>H77/J77</f>
        <v>0.80000000000000016</v>
      </c>
      <c r="J77" s="415">
        <f>J76*0.3</f>
        <v>22026819.296999998</v>
      </c>
      <c r="R77" s="414"/>
    </row>
    <row r="78" spans="2:25" x14ac:dyDescent="0.25">
      <c r="R78" s="414"/>
    </row>
    <row r="79" spans="2:25" x14ac:dyDescent="0.25">
      <c r="R79" s="414"/>
    </row>
    <row r="80" spans="2:25" x14ac:dyDescent="0.25">
      <c r="R80" s="414"/>
    </row>
    <row r="81" spans="10:18" x14ac:dyDescent="0.25">
      <c r="R81" s="414"/>
    </row>
    <row r="82" spans="10:18" x14ac:dyDescent="0.25">
      <c r="R82" s="414"/>
    </row>
    <row r="83" spans="10:18" x14ac:dyDescent="0.25">
      <c r="R83" s="414"/>
    </row>
    <row r="84" spans="10:18" x14ac:dyDescent="0.25">
      <c r="R84" s="414"/>
    </row>
    <row r="85" spans="10:18" x14ac:dyDescent="0.25">
      <c r="J85">
        <f>185-54</f>
        <v>131</v>
      </c>
      <c r="R85" s="414"/>
    </row>
    <row r="86" spans="10:18" x14ac:dyDescent="0.25">
      <c r="J86">
        <f>2.64*131*366</f>
        <v>126577.44000000002</v>
      </c>
      <c r="R86" s="414"/>
    </row>
    <row r="87" spans="10:18" x14ac:dyDescent="0.25">
      <c r="R87" s="414"/>
    </row>
    <row r="88" spans="10:18" x14ac:dyDescent="0.25">
      <c r="R88" s="414"/>
    </row>
    <row r="89" spans="10:18" x14ac:dyDescent="0.25">
      <c r="R89" s="414"/>
    </row>
    <row r="90" spans="10:18" x14ac:dyDescent="0.25">
      <c r="R90" s="414"/>
    </row>
    <row r="91" spans="10:18" x14ac:dyDescent="0.25">
      <c r="R91" s="414"/>
    </row>
    <row r="92" spans="10:18" x14ac:dyDescent="0.25">
      <c r="R92" s="414"/>
    </row>
    <row r="93" spans="10:18" x14ac:dyDescent="0.25">
      <c r="R93" s="414"/>
    </row>
    <row r="94" spans="10:18" x14ac:dyDescent="0.25">
      <c r="R94" s="414"/>
    </row>
    <row r="95" spans="10:18" x14ac:dyDescent="0.25">
      <c r="R95" s="414"/>
    </row>
    <row r="96" spans="10:18" x14ac:dyDescent="0.25">
      <c r="R96" s="414"/>
    </row>
    <row r="97" spans="18:18" x14ac:dyDescent="0.25">
      <c r="R97" s="414"/>
    </row>
    <row r="98" spans="18:18" x14ac:dyDescent="0.25">
      <c r="R98" s="414"/>
    </row>
    <row r="99" spans="18:18" x14ac:dyDescent="0.25">
      <c r="R99" s="414"/>
    </row>
    <row r="100" spans="18:18" x14ac:dyDescent="0.25">
      <c r="R100" s="414"/>
    </row>
    <row r="101" spans="18:18" x14ac:dyDescent="0.25">
      <c r="R101" s="414"/>
    </row>
    <row r="102" spans="18:18" x14ac:dyDescent="0.25">
      <c r="R102" s="414"/>
    </row>
    <row r="103" spans="18:18" x14ac:dyDescent="0.25">
      <c r="R103" s="414"/>
    </row>
    <row r="104" spans="18:18" x14ac:dyDescent="0.25">
      <c r="R104" s="414"/>
    </row>
    <row r="105" spans="18:18" x14ac:dyDescent="0.25">
      <c r="R105" s="414"/>
    </row>
    <row r="106" spans="18:18" x14ac:dyDescent="0.25">
      <c r="R106" s="414"/>
    </row>
    <row r="107" spans="18:18" x14ac:dyDescent="0.25">
      <c r="R107" s="414"/>
    </row>
    <row r="108" spans="18:18" x14ac:dyDescent="0.25">
      <c r="R108" s="414"/>
    </row>
    <row r="109" spans="18:18" x14ac:dyDescent="0.25">
      <c r="R109" s="414"/>
    </row>
    <row r="110" spans="18:18" x14ac:dyDescent="0.25">
      <c r="R110" s="414"/>
    </row>
    <row r="111" spans="18:18" x14ac:dyDescent="0.25">
      <c r="R111" s="414"/>
    </row>
    <row r="112" spans="18:18" x14ac:dyDescent="0.25">
      <c r="R112" s="414"/>
    </row>
    <row r="113" spans="18:18" x14ac:dyDescent="0.25">
      <c r="R113" s="414"/>
    </row>
    <row r="114" spans="18:18" x14ac:dyDescent="0.25">
      <c r="R114" s="414"/>
    </row>
    <row r="115" spans="18:18" x14ac:dyDescent="0.25">
      <c r="R115" s="414"/>
    </row>
    <row r="116" spans="18:18" x14ac:dyDescent="0.25">
      <c r="R116" s="414"/>
    </row>
    <row r="117" spans="18:18" x14ac:dyDescent="0.25">
      <c r="R117" s="414"/>
    </row>
    <row r="118" spans="18:18" x14ac:dyDescent="0.25">
      <c r="R118" s="414"/>
    </row>
    <row r="119" spans="18:18" x14ac:dyDescent="0.25">
      <c r="R119" s="414"/>
    </row>
    <row r="120" spans="18:18" x14ac:dyDescent="0.25">
      <c r="R120" s="414"/>
    </row>
    <row r="121" spans="18:18" x14ac:dyDescent="0.25">
      <c r="R121" s="414"/>
    </row>
    <row r="122" spans="18:18" x14ac:dyDescent="0.25">
      <c r="R122" s="414"/>
    </row>
    <row r="123" spans="18:18" x14ac:dyDescent="0.25">
      <c r="R123" s="414"/>
    </row>
    <row r="124" spans="18:18" x14ac:dyDescent="0.25">
      <c r="R124" s="414"/>
    </row>
    <row r="125" spans="18:18" x14ac:dyDescent="0.25">
      <c r="R125" s="414"/>
    </row>
    <row r="126" spans="18:18" x14ac:dyDescent="0.25">
      <c r="R126" s="414"/>
    </row>
    <row r="127" spans="18:18" x14ac:dyDescent="0.25">
      <c r="R127" s="414"/>
    </row>
    <row r="128" spans="18:18" x14ac:dyDescent="0.25">
      <c r="R128" s="414"/>
    </row>
    <row r="129" spans="18:18" x14ac:dyDescent="0.25">
      <c r="R129" s="414"/>
    </row>
    <row r="130" spans="18:18" x14ac:dyDescent="0.25">
      <c r="R130" s="414"/>
    </row>
    <row r="131" spans="18:18" x14ac:dyDescent="0.25">
      <c r="R131" s="414"/>
    </row>
    <row r="132" spans="18:18" x14ac:dyDescent="0.25">
      <c r="R132" s="414"/>
    </row>
    <row r="133" spans="18:18" x14ac:dyDescent="0.25">
      <c r="R133" s="414"/>
    </row>
    <row r="134" spans="18:18" x14ac:dyDescent="0.25">
      <c r="R134" s="414"/>
    </row>
    <row r="135" spans="18:18" x14ac:dyDescent="0.25">
      <c r="R135" s="414"/>
    </row>
    <row r="136" spans="18:18" x14ac:dyDescent="0.25">
      <c r="R136" s="414"/>
    </row>
    <row r="137" spans="18:18" x14ac:dyDescent="0.25">
      <c r="R137" s="414"/>
    </row>
    <row r="138" spans="18:18" x14ac:dyDescent="0.25">
      <c r="R138" s="414"/>
    </row>
    <row r="139" spans="18:18" x14ac:dyDescent="0.25">
      <c r="R139" s="414"/>
    </row>
    <row r="140" spans="18:18" x14ac:dyDescent="0.25">
      <c r="R140" s="414"/>
    </row>
    <row r="141" spans="18:18" x14ac:dyDescent="0.25">
      <c r="R141" s="414"/>
    </row>
    <row r="142" spans="18:18" x14ac:dyDescent="0.25">
      <c r="R142" s="414"/>
    </row>
    <row r="143" spans="18:18" x14ac:dyDescent="0.25">
      <c r="R143" s="414"/>
    </row>
    <row r="144" spans="18:18" x14ac:dyDescent="0.25">
      <c r="R144" s="414"/>
    </row>
    <row r="145" spans="18:18" x14ac:dyDescent="0.25">
      <c r="R145" s="414"/>
    </row>
    <row r="146" spans="18:18" x14ac:dyDescent="0.25">
      <c r="R146" s="414"/>
    </row>
    <row r="147" spans="18:18" x14ac:dyDescent="0.25">
      <c r="R147" s="414"/>
    </row>
    <row r="148" spans="18:18" x14ac:dyDescent="0.25">
      <c r="R148" s="414"/>
    </row>
    <row r="149" spans="18:18" x14ac:dyDescent="0.25">
      <c r="R149" s="414"/>
    </row>
    <row r="150" spans="18:18" x14ac:dyDescent="0.25">
      <c r="R150" s="414"/>
    </row>
    <row r="151" spans="18:18" x14ac:dyDescent="0.25">
      <c r="R151" s="414"/>
    </row>
    <row r="152" spans="18:18" x14ac:dyDescent="0.25">
      <c r="R152" s="414"/>
    </row>
    <row r="153" spans="18:18" x14ac:dyDescent="0.25">
      <c r="R153" s="414"/>
    </row>
    <row r="154" spans="18:18" x14ac:dyDescent="0.25">
      <c r="R154" s="414"/>
    </row>
    <row r="155" spans="18:18" x14ac:dyDescent="0.25">
      <c r="R155" s="414"/>
    </row>
    <row r="156" spans="18:18" x14ac:dyDescent="0.25">
      <c r="R156" s="414"/>
    </row>
    <row r="157" spans="18:18" x14ac:dyDescent="0.25">
      <c r="R157" s="414"/>
    </row>
    <row r="158" spans="18:18" x14ac:dyDescent="0.25">
      <c r="R158" s="414"/>
    </row>
    <row r="159" spans="18:18" x14ac:dyDescent="0.25">
      <c r="R159" s="414"/>
    </row>
    <row r="160" spans="18:18" x14ac:dyDescent="0.25">
      <c r="R160" s="414"/>
    </row>
    <row r="161" spans="18:18" x14ac:dyDescent="0.25">
      <c r="R161" s="414"/>
    </row>
    <row r="162" spans="18:18" x14ac:dyDescent="0.25">
      <c r="R162" s="414"/>
    </row>
    <row r="163" spans="18:18" x14ac:dyDescent="0.25">
      <c r="R163" s="414"/>
    </row>
    <row r="164" spans="18:18" x14ac:dyDescent="0.25">
      <c r="R164" s="414"/>
    </row>
    <row r="165" spans="18:18" x14ac:dyDescent="0.25">
      <c r="R165" s="414"/>
    </row>
    <row r="166" spans="18:18" x14ac:dyDescent="0.25">
      <c r="R166" s="414"/>
    </row>
    <row r="167" spans="18:18" x14ac:dyDescent="0.25">
      <c r="R167" s="414"/>
    </row>
    <row r="168" spans="18:18" x14ac:dyDescent="0.25">
      <c r="R168" s="414"/>
    </row>
    <row r="169" spans="18:18" x14ac:dyDescent="0.25">
      <c r="R169" s="414"/>
    </row>
    <row r="170" spans="18:18" x14ac:dyDescent="0.25">
      <c r="R170" s="414"/>
    </row>
    <row r="171" spans="18:18" x14ac:dyDescent="0.25">
      <c r="R171" s="414"/>
    </row>
    <row r="172" spans="18:18" x14ac:dyDescent="0.25">
      <c r="R172" s="414"/>
    </row>
    <row r="173" spans="18:18" x14ac:dyDescent="0.25">
      <c r="R173" s="414"/>
    </row>
    <row r="174" spans="18:18" x14ac:dyDescent="0.25">
      <c r="R174" s="414"/>
    </row>
    <row r="175" spans="18:18" x14ac:dyDescent="0.25">
      <c r="R175" s="414"/>
    </row>
    <row r="176" spans="18:18" x14ac:dyDescent="0.25">
      <c r="R176" s="414"/>
    </row>
    <row r="177" spans="18:18" x14ac:dyDescent="0.25">
      <c r="R177" s="414"/>
    </row>
    <row r="178" spans="18:18" x14ac:dyDescent="0.25">
      <c r="R178" s="414"/>
    </row>
    <row r="179" spans="18:18" x14ac:dyDescent="0.25">
      <c r="R179" s="414"/>
    </row>
    <row r="180" spans="18:18" x14ac:dyDescent="0.25">
      <c r="R180" s="414"/>
    </row>
    <row r="181" spans="18:18" x14ac:dyDescent="0.25">
      <c r="R181" s="414"/>
    </row>
    <row r="182" spans="18:18" x14ac:dyDescent="0.25">
      <c r="R182" s="414"/>
    </row>
    <row r="183" spans="18:18" x14ac:dyDescent="0.25">
      <c r="R183" s="414"/>
    </row>
    <row r="184" spans="18:18" x14ac:dyDescent="0.25">
      <c r="R184" s="414"/>
    </row>
  </sheetData>
  <mergeCells count="2">
    <mergeCell ref="B3:O3"/>
    <mergeCell ref="C47:P47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Gas Rev &amp; Collection Plan </vt:lpstr>
      <vt:lpstr>OP19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Ngwobia, Enam U SPDC-UPO/G/GC</dc:creator>
  <cp:lastModifiedBy>Ngwobia, Enam U SPDC-UPO/G/GC</cp:lastModifiedBy>
  <dcterms:created xsi:type="dcterms:W3CDTF">2020-02-03T08:29:47Z</dcterms:created>
  <dcterms:modified xsi:type="dcterms:W3CDTF">2020-02-21T12:59:54Z</dcterms:modified>
</cp:coreProperties>
</file>