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nyo.Mark\Desktop\Desktop\work\cadence\2024\2024\"/>
    </mc:Choice>
  </mc:AlternateContent>
  <xr:revisionPtr revIDLastSave="0" documentId="8_{AF66EAAD-731D-46F4-8BC7-19B99CE6B9C0}" xr6:coauthVersionLast="47" xr6:coauthVersionMax="47" xr10:uidLastSave="{00000000-0000-0000-0000-000000000000}"/>
  <bookViews>
    <workbookView xWindow="-110" yWindow="-110" windowWidth="19420" windowHeight="10300" firstSheet="13" activeTab="19" xr2:uid="{F6F778EC-8B1F-4122-830C-184793823D39}"/>
  </bookViews>
  <sheets>
    <sheet name="APRIL 23" sheetId="4" r:id="rId1"/>
    <sheet name="MAY 23" sheetId="5" r:id="rId2"/>
    <sheet name="JUNE 23" sheetId="6" r:id="rId3"/>
    <sheet name="Q_2 TOTAL" sheetId="8" r:id="rId4"/>
    <sheet name="JULY 23" sheetId="9" r:id="rId5"/>
    <sheet name="AUGUST 23" sheetId="10" r:id="rId6"/>
    <sheet name="SEPT 23" sheetId="11" r:id="rId7"/>
    <sheet name="Q 3 TOTAL" sheetId="12" r:id="rId8"/>
    <sheet name="OCT 23" sheetId="13" r:id="rId9"/>
    <sheet name="NOV 23" sheetId="14" r:id="rId10"/>
    <sheet name="DEC_23" sheetId="18" r:id="rId11"/>
    <sheet name="Q 4 TOTAL" sheetId="16" r:id="rId12"/>
    <sheet name="JAN 24" sheetId="19" r:id="rId13"/>
    <sheet name="FEB 24" sheetId="20" r:id="rId14"/>
    <sheet name="MAR 24" sheetId="21" r:id="rId15"/>
    <sheet name="APRIL 24" sheetId="23" r:id="rId16"/>
    <sheet name="MAY 24" sheetId="26" r:id="rId17"/>
    <sheet name="JUNE 24" sheetId="24" r:id="rId18"/>
    <sheet name="Q1 2024 TOTAL" sheetId="22" r:id="rId19"/>
    <sheet name="Q2 2024 TOTAL" sheetId="28"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4" l="1"/>
  <c r="D7" i="24"/>
  <c r="E6" i="24"/>
  <c r="D6" i="24"/>
  <c r="F6" i="24"/>
  <c r="C7" i="28" l="1"/>
  <c r="E4" i="24"/>
  <c r="D4" i="24"/>
  <c r="D4" i="23"/>
  <c r="F5" i="24"/>
  <c r="E5" i="24"/>
  <c r="D5" i="24"/>
  <c r="F4" i="24"/>
  <c r="F7" i="24" s="1"/>
  <c r="F8" i="26"/>
  <c r="E8" i="26"/>
  <c r="D8" i="26"/>
  <c r="E7" i="26"/>
  <c r="D7" i="26"/>
  <c r="F6" i="26"/>
  <c r="E6" i="26"/>
  <c r="D6" i="26"/>
  <c r="F5" i="26"/>
  <c r="E5" i="26"/>
  <c r="D5" i="26"/>
  <c r="F4" i="26"/>
  <c r="E4" i="26"/>
  <c r="D4" i="26"/>
  <c r="D6" i="23"/>
  <c r="D7" i="23" s="1"/>
  <c r="F5" i="23"/>
  <c r="D5" i="23"/>
  <c r="F4" i="23"/>
  <c r="F6" i="23" s="1"/>
  <c r="E4" i="23"/>
  <c r="E6" i="23" s="1"/>
  <c r="E8" i="23" s="1"/>
  <c r="D6" i="21"/>
  <c r="E6" i="21"/>
  <c r="E5" i="20"/>
  <c r="D5" i="20"/>
  <c r="D7" i="19"/>
  <c r="E7" i="19"/>
  <c r="E4" i="19"/>
  <c r="D4" i="19"/>
  <c r="D8" i="24" l="1"/>
  <c r="F9" i="26"/>
  <c r="E9" i="26"/>
  <c r="D9" i="26"/>
  <c r="D10" i="26" s="1"/>
  <c r="E11" i="26" s="1"/>
  <c r="E9" i="24"/>
  <c r="C8" i="22"/>
  <c r="F6" i="21"/>
  <c r="E7" i="21"/>
  <c r="F5" i="21"/>
  <c r="D5" i="21"/>
  <c r="F4" i="21"/>
  <c r="F7" i="21" s="1"/>
  <c r="D4" i="21"/>
  <c r="E7" i="20"/>
  <c r="F6" i="20"/>
  <c r="F7" i="20" s="1"/>
  <c r="D6" i="20"/>
  <c r="F5" i="20"/>
  <c r="F4" i="20"/>
  <c r="D4" i="20"/>
  <c r="D7" i="20"/>
  <c r="D8" i="20" s="1"/>
  <c r="F7" i="19"/>
  <c r="F6" i="19"/>
  <c r="D6" i="19"/>
  <c r="D5" i="19"/>
  <c r="D8" i="19" s="1"/>
  <c r="D9" i="19" s="1"/>
  <c r="F4" i="19"/>
  <c r="F8" i="19" s="1"/>
  <c r="D7" i="21" l="1"/>
  <c r="D8" i="21" s="1"/>
  <c r="E9" i="21" s="1"/>
  <c r="E9" i="20"/>
  <c r="E8" i="19"/>
  <c r="E10" i="19" s="1"/>
  <c r="F7" i="18" l="1"/>
  <c r="D7" i="18"/>
  <c r="F6" i="18"/>
  <c r="D6" i="18"/>
  <c r="D5" i="18"/>
  <c r="F4" i="18"/>
  <c r="F8" i="18" s="1"/>
  <c r="E4" i="18"/>
  <c r="E8" i="18" s="1"/>
  <c r="D4" i="18"/>
  <c r="D8" i="18" s="1"/>
  <c r="D9" i="18" s="1"/>
  <c r="D8" i="16"/>
  <c r="F8" i="14"/>
  <c r="E8" i="14"/>
  <c r="D8" i="14"/>
  <c r="F7" i="14"/>
  <c r="D7" i="14"/>
  <c r="F6" i="14"/>
  <c r="E6" i="14"/>
  <c r="D6" i="14"/>
  <c r="F5" i="14"/>
  <c r="E5" i="14"/>
  <c r="D5" i="14"/>
  <c r="F4" i="14"/>
  <c r="E4" i="14"/>
  <c r="E9" i="14" s="1"/>
  <c r="D4" i="14"/>
  <c r="F9" i="13"/>
  <c r="E9" i="13"/>
  <c r="D9" i="13"/>
  <c r="F8" i="13"/>
  <c r="E8" i="13"/>
  <c r="D8" i="13"/>
  <c r="F7" i="13"/>
  <c r="D7" i="13"/>
  <c r="F6" i="13"/>
  <c r="E6" i="13"/>
  <c r="D6" i="13"/>
  <c r="F5" i="13"/>
  <c r="E5" i="13"/>
  <c r="D5" i="13"/>
  <c r="F4" i="13"/>
  <c r="E4" i="13"/>
  <c r="D4" i="13"/>
  <c r="E8" i="12"/>
  <c r="F8" i="11"/>
  <c r="E8" i="11"/>
  <c r="D8" i="11"/>
  <c r="E7" i="11"/>
  <c r="D7" i="11"/>
  <c r="F6" i="11"/>
  <c r="F9" i="11" s="1"/>
  <c r="E6" i="11"/>
  <c r="D6" i="11"/>
  <c r="F5" i="11"/>
  <c r="E5" i="11"/>
  <c r="D5" i="11"/>
  <c r="F4" i="11"/>
  <c r="E4" i="11"/>
  <c r="E9" i="11" s="1"/>
  <c r="D4" i="11"/>
  <c r="D9" i="11" s="1"/>
  <c r="D10" i="11" s="1"/>
  <c r="F13" i="10"/>
  <c r="D13" i="10"/>
  <c r="F12" i="10"/>
  <c r="D12" i="10"/>
  <c r="F11" i="10"/>
  <c r="E11" i="10"/>
  <c r="D11" i="10"/>
  <c r="F10" i="10"/>
  <c r="E10" i="10"/>
  <c r="D10" i="10"/>
  <c r="F9" i="10"/>
  <c r="D9" i="10"/>
  <c r="F8" i="10"/>
  <c r="E8" i="10"/>
  <c r="D8" i="10"/>
  <c r="F7" i="10"/>
  <c r="E7" i="10"/>
  <c r="D7" i="10"/>
  <c r="F6" i="10"/>
  <c r="E6" i="10"/>
  <c r="D6" i="10"/>
  <c r="F5" i="10"/>
  <c r="E5" i="10"/>
  <c r="D5" i="10"/>
  <c r="F4" i="10"/>
  <c r="F14" i="10" s="1"/>
  <c r="E4" i="10"/>
  <c r="E14" i="10" s="1"/>
  <c r="D4" i="10"/>
  <c r="F5" i="9"/>
  <c r="E5" i="9"/>
  <c r="D5" i="9"/>
  <c r="F4" i="9"/>
  <c r="F6" i="9" s="1"/>
  <c r="E4" i="9"/>
  <c r="E6" i="9" s="1"/>
  <c r="D4" i="9"/>
  <c r="D8" i="8"/>
  <c r="E6" i="5"/>
  <c r="E5" i="6"/>
  <c r="D5" i="6"/>
  <c r="F5" i="6"/>
  <c r="F4" i="6"/>
  <c r="E4" i="6"/>
  <c r="D4" i="6"/>
  <c r="D6" i="6" s="1"/>
  <c r="D7" i="6" s="1"/>
  <c r="F6" i="6"/>
  <c r="F8" i="5"/>
  <c r="E8" i="5"/>
  <c r="D8" i="5"/>
  <c r="F7" i="5"/>
  <c r="E7" i="5"/>
  <c r="E9" i="5" s="1"/>
  <c r="D7" i="5"/>
  <c r="F6" i="5"/>
  <c r="D6" i="5"/>
  <c r="F5" i="5"/>
  <c r="E5" i="5"/>
  <c r="D5" i="5"/>
  <c r="F4" i="5"/>
  <c r="E4" i="5"/>
  <c r="D4" i="5"/>
  <c r="F12" i="4"/>
  <c r="E12" i="4"/>
  <c r="D12" i="4"/>
  <c r="F11" i="4"/>
  <c r="E11" i="4"/>
  <c r="D11" i="4"/>
  <c r="F10" i="4"/>
  <c r="E10" i="4"/>
  <c r="D10" i="4"/>
  <c r="F9" i="4"/>
  <c r="E9" i="4"/>
  <c r="D9" i="4"/>
  <c r="E8" i="4"/>
  <c r="D8" i="4"/>
  <c r="F7" i="4"/>
  <c r="E7" i="4"/>
  <c r="D7" i="4"/>
  <c r="F6" i="4"/>
  <c r="E6" i="4"/>
  <c r="D6" i="4"/>
  <c r="D5" i="4"/>
  <c r="F4" i="4"/>
  <c r="E4" i="4"/>
  <c r="D4" i="4"/>
  <c r="E10" i="18" l="1"/>
  <c r="D9" i="14"/>
  <c r="D10" i="14" s="1"/>
  <c r="F9" i="14"/>
  <c r="D10" i="13"/>
  <c r="D11" i="13" s="1"/>
  <c r="E10" i="13"/>
  <c r="F10" i="13"/>
  <c r="E11" i="14"/>
  <c r="E12" i="13"/>
  <c r="D14" i="10"/>
  <c r="D15" i="10" s="1"/>
  <c r="E16" i="10" s="1"/>
  <c r="D6" i="9"/>
  <c r="D7" i="9" s="1"/>
  <c r="E8" i="9" s="1"/>
  <c r="E11" i="11"/>
  <c r="D13" i="4"/>
  <c r="D14" i="4" s="1"/>
  <c r="E15" i="4" s="1"/>
  <c r="E13" i="4"/>
  <c r="F13" i="4"/>
  <c r="F9" i="5"/>
  <c r="D9" i="5"/>
  <c r="D10" i="5" s="1"/>
  <c r="E11" i="5" s="1"/>
  <c r="E6" i="6"/>
  <c r="E8" i="6"/>
</calcChain>
</file>

<file path=xl/sharedStrings.xml><?xml version="1.0" encoding="utf-8"?>
<sst xmlns="http://schemas.openxmlformats.org/spreadsheetml/2006/main" count="335" uniqueCount="195">
  <si>
    <t>Week</t>
  </si>
  <si>
    <t>Logistics Service Request description</t>
  </si>
  <si>
    <t>Amount Saved through Integrated Scheduling Decisions</t>
  </si>
  <si>
    <t>Amount of Hours Risk Exposure reduced through Integrated Scheduling Decisions</t>
  </si>
  <si>
    <t>MMR NO</t>
  </si>
  <si>
    <t>N</t>
  </si>
  <si>
    <t>$</t>
  </si>
  <si>
    <t>Remark</t>
  </si>
  <si>
    <t>MARINE EQUIPMENT TO MOVE PROJECT MATERIALS, CRANE AND SELF LOADER FROM OGUNU TO TUNU. PLEASE CHARGE</t>
  </si>
  <si>
    <t>Avoidance of Cost and Risk exposure for APRIL 2023</t>
  </si>
  <si>
    <t>Barge mobilized for Tunu Tam was used to demobilize crane that supported project work at Tunu. Saved cost of hiring separate tug at (N70327.98, $654.08) Ramp at (N32572.94, $302.94) for 5 days, 5,000 Liters of AGO for Tug and 7,000 liters of AGO for MPV at $1.82</t>
  </si>
  <si>
    <t>CRANE FOR SHUT DOWN</t>
  </si>
  <si>
    <t>Through ILS decision, Crane mobilized for project work was moved over to Ogbotobo for shut down while waiting. Saved 5 crane days at N217,140 per day</t>
  </si>
  <si>
    <t>PROVIDE MARINE EQUIPMENT (TUG AND BARGE) TO MOVE SCAFFOLDING MATERIALS FROM TUNU TO BENISEDE</t>
  </si>
  <si>
    <t>Through ILS decision, barge mobilized for shut down was used to deliver project materials to Benisede. Saved cost of hiring separate tug at (N70327.98, $654.08) Ramp at (N32572.94, $302.94) for 2 days, 5,000 Liters of AGO for Tug and 7,000 liters of AGO for MPV at $1.82</t>
  </si>
  <si>
    <t>PROVIDE MATERIAL HANDLING EQUIPMENT TO MOVE DURABASS MATS FROM TUNU TO OGBOTOBO</t>
  </si>
  <si>
    <t>Through ILS decision, barge mobilized for shut down was used to deliver project materials to Ogbotobo. Saved cost of hiring separate tug at (N70327.98, $654.08) Ramp at (N32572.94, $302.94) for 2 days, 5,000 Liters of AGO for Tug and 7,000 liters of AGO for MPV at $1.82 per litre</t>
  </si>
  <si>
    <t>PROVIDE PMS FUEL TANKER OF 30,000 LITRES CAPACITY for TUNU FOR A PERIOD OF 2-MONTHSESCORT USED FOR PROJECT</t>
  </si>
  <si>
    <t>Through ILS decision, escort mobilized to move Tunu PMS combo to Tunu was used to drop off project houseboat Esjay 6 at Benisede. Saved cost of MPV at N304,373.33 per day for 3 days and cost of 7,000 liters of GAO at  $1.82 per litre</t>
  </si>
  <si>
    <t xml:space="preserve">BARGE TO MOBILISE FOT DYNAMIC METERING EQUIPMENT 20FT CARAVAN FROM OGUNU IA JETTY TO FORCADOS TERMINAL . INCLUDE REQUEST FOR BARGE TO DEMOBILISE FOT DYNAMIC METERING EQUIPMENT </t>
  </si>
  <si>
    <t>Through ILS decision, caravan for dynamic metering was mobilized to FOT using Princess Tamar and demoibilized using Erin bay. Saved cost of  hiring separate tug at (N70327.98, $654.08) Ramp at (N32572.94, $302.94) for 4 days, 3,800 Liters of AGO for Tug and 5,000 liters of AGO for MPV at $1.82</t>
  </si>
  <si>
    <t>Mail request</t>
  </si>
  <si>
    <t>PRINCESS TAMAR FOR LOADING hose changeout activity on FSPM-1 from Ogunnu to HDE at forcados</t>
  </si>
  <si>
    <t>Materials urgently needed for hose changeout activity on FSPM-1 was loaded on Pricess Tamar for delivery to Forcados. Saved cost of  hiring separate tug at (N70327.98, $654.08) Ramp at (N32572.94, $302.94) for 1 day, 3,800 Liters of AGO for Tug and 5,000 liters of AGO for MPV at $1.82</t>
  </si>
  <si>
    <t>Valves, Rotor, Engine, and Gear boxes and others materials to be loaded -</t>
  </si>
  <si>
    <t>ERT</t>
  </si>
  <si>
    <t>Deliver ERT materials to Escravos incident site</t>
  </si>
  <si>
    <t>Tunu PMS Combo awaiting bunkering was used to deliver ERT materials to Escravos. Saved cost of hiring separate tug at (N70327.98, $654.08) Ramp at (N32572.94, $302.94) for 3 days,</t>
  </si>
  <si>
    <t>ComUnits transfer to Tunu from PH IA Warehouse to Ogunu then move to Tunu</t>
  </si>
  <si>
    <t>This urgent materials for Wells reopening at Tunu were delivered with CWI barge. Saved cost of hiring separate tug at (N70327.98, $654.08) Ramp at (N32572.94, $302.94) for 3 days, 5,000 Liters of AGO for Tug and 7,000 liters of AGO for MPV at $1.82</t>
  </si>
  <si>
    <t>REQUEST FOR 1 BARGE, 1 TUG &amp; 1 CRANE; MOBILISATION TO ESCRAVOS FLOW STATION</t>
  </si>
  <si>
    <t>Materials for water treatment plan at Escravos were loaded on ERT barges. Saved cost of  hiring separate tug at (N70327.98, $654.08) Ramp at (N32572.94, $302.94) for 2 days, 3,800 Liters of AGO for Tug and 5,000 liters of AGO for MPV at $1.82</t>
  </si>
  <si>
    <t>2824_</t>
  </si>
  <si>
    <t>EQUIPMENT TO MOVE FYIP MATERIALS 2ND LEG TO NORTH BANK</t>
  </si>
  <si>
    <t>Asset materials were loaded on project convoy to North bank. Saved cost of  hiring separate tug at (N70327.98, $654.08) Ramp at (N32572.94, $302.94) for 2 days, 3,800 Liters of AGO for Tug and 5,000 liters of AGO for MPV at $1.82</t>
  </si>
  <si>
    <t>To convey Vehicle(Bus) for Forcados Airstrip Runway Friction test</t>
  </si>
  <si>
    <t>Aviation bus was delivered to FOT using PMS combo . Saved cost of  hiring separate tug at (N70327.98, $654.08) Ramp at (N32572.94, $302.94) for 2 days, 3,800 Liters of AGO for Tug and 5,000 liters of AGO for MPV at $1.82</t>
  </si>
  <si>
    <t>tipper truck to load drums of lubt oil and chemicals from warehouse to the jetty, to be loaded on the barge for onward movement to TUNU.</t>
  </si>
  <si>
    <t>80 drums of chemicals for Tunu Asset operations were loaded on project PMS combo. Saved cost of hiring separate tug at (N70327.98, $654.08) Ramp at (N32572.94, $302.94) for 3 days, 5,000 Liters of AGO for Tug and 7,000 liters of AGO for MPV at $1.82</t>
  </si>
  <si>
    <t>Mail</t>
  </si>
  <si>
    <t>Request to support FOT hose stringing job</t>
  </si>
  <si>
    <t>FOT tug and ramp barg were deployed for urgent hose stringing job at the terminal. Saved cost of hiring separate tug at (N70327.98, $654.08) Ramp at (N32572.94, $302.94) for 3 days</t>
  </si>
  <si>
    <t>3229_philo.akpovwovwo</t>
  </si>
  <si>
    <t>To load drums of chemicals, boxes of filters and a box contain scaffolding equipment  from the warehouse to the barge</t>
  </si>
  <si>
    <t>Asset materials were loaded on project PMS Combo to Tunu. Saved cost of  hiring separate tug at (N70327.98, $654.08) Ramp at (N32572.94, $302.94) for 3 days, 5,000 Liters of AGO for Tug and 7,000 liters of AGO for MPV at $1.82</t>
  </si>
  <si>
    <t>Barge mobilized to recover solar engine was used to deliver these materials to Otumara . Saved cost of hiring separate tug at (N70327.98, $654.08) Ramp at (N32572.94, $302.94) for 5 days, 3,800 Liters of AGO for Tug and 5,000 liters of AGO for MPV at $1.82</t>
  </si>
  <si>
    <t>Avoidance of Cost and Risk exposure for MAY 2023</t>
  </si>
  <si>
    <t>Avoidance of Cost and Risk exposure for JUNE 2023</t>
  </si>
  <si>
    <t>APRIL</t>
  </si>
  <si>
    <t>MAY</t>
  </si>
  <si>
    <t>JUNE</t>
  </si>
  <si>
    <t>COST $</t>
  </si>
  <si>
    <t>MONTH</t>
  </si>
  <si>
    <t>TOTAL</t>
  </si>
  <si>
    <t>Avoidance of Cost and Risk exposure for JULY 2023</t>
  </si>
  <si>
    <t>100pcs gas turbine inlet filters and 12 pcs Com units (6 single &amp; 6 dual) yesterday, 12/07/23</t>
  </si>
  <si>
    <t>Asset materials were loaded on CWI convoy to Tunu . Saved cost of  hiring separate tug at (N70327.98, $654.08) Ramp at (N32572.94, $302.94) for 3 days, 5,500 Liters of AGO for Tug and 7,000 liters of AGO for MPV at $1.82</t>
  </si>
  <si>
    <t>Delivery of Env barge from Warri to Escravos with ERT convoy</t>
  </si>
  <si>
    <t>Environmental barge that supported desanding was delivered to Otumara with ERT convoy. Saved cost of escort daily at Asset N462, 453.33 and 5,000 liters of AGO for MPV at $1.82</t>
  </si>
  <si>
    <t xml:space="preserve">Self loader that brought materials to Warri was used to deliver this item to Port harcourt. Saved cost of mobilizing separate self loader at N50,007  for two days and cost of  security escort at N62,200 per day( Lead &amp; chase) for 2 days </t>
  </si>
  <si>
    <t>Avoidance of Cost and Risk exposure for AUGUST 2023</t>
  </si>
  <si>
    <t>Demob shut down barge with OGMP barge</t>
  </si>
  <si>
    <t>Convoy that deivered OGMP materials to North bank was used to demobilize south bank shut down barge from FOT to Ogunu. Saved 5,000 liters of AGO for MPV at $1.82 and N462,453 daily escort rate</t>
  </si>
  <si>
    <t>move water well materials from ogunu to FOT with OGMP barge</t>
  </si>
  <si>
    <t>Convoy that deivered OGMP materials to North bank was used to deliver borehole materials to FOT, Saved cost of tugboat at (N70327.98, $654.08), Ramp at (N32572.94, $302.94) for 2 days, 3,800 Liters of AGO for Tug and 5,000 liters of AGO for MPV at $1.82 and N462,453 daily escort rate</t>
  </si>
  <si>
    <t>Moved water well materials with shut down barge to FOT</t>
  </si>
  <si>
    <t>South bank Shut down convoy was used to move part of water borehole materials to FOT.  Saved cost of tugboat at (N70327.98, $654.08), Ramp at (N32572.94, $302.94) for 2 days, 3,800 Liters of AGO for Tug and 5,000 liters of AGO for MPV at $1.82 and N462,453 daily escort rate</t>
  </si>
  <si>
    <t>REQUEST FOR 100-TON CRANE TO SUPPORT FOT AUTO SAMPLER PROJECT: FLUSHING AND SPADING OF EXPORT LINE</t>
  </si>
  <si>
    <t>Crane planned for installation of this critical project material was delivered to FOT with shut down barge. Saved cost of mobilizing separate  tugboat at (N70327.98, $654.08), Ramp at (N32572.94, $302.94) for 2 days, 3,800 Liters of AGO for Tug and 5,000 liters of AGO for MPV at $1.82 and N462,453 daily escort rate</t>
  </si>
  <si>
    <t>Moved drums of chemical to North bank with OGMP barge</t>
  </si>
  <si>
    <t>Convoy that deivered OGMP materials to North bank was used to deliver chemical drums and backload waste from North bank. Saved cost of tugboat at (N70327.98, $654.08), Ramp at (N32572.94, $302.94) for 2 days, 3,800 Liters of AGO for Tug and 5,000 liters of AGO for MPV at $1.82 and N462,453 daily escort rate</t>
  </si>
  <si>
    <t>CONVEYING SEA EAGLE/Ex-EA  FGC (COMPRESSOR) BUNDLE FROM IA WAREHOUSE OGUNU TO SIEMENS YARD TRANSAMADI, PHC FOR REPAIRS.</t>
  </si>
  <si>
    <t xml:space="preserve">2 flatbeds that delivered pipes to Ogunu with escort for CWI were used to backload these compressor bundles. Saved cost of mobilizing  separate flatbeds at N70,500 per truck  for two days and cost of  security escort at N62,200 per day( Lead &amp; chase) for 2 days </t>
  </si>
  <si>
    <t>PROVIDE PMS FUEL TANKER OF 30,000 LITRES CAPACITY for TUNU FOR A PERIOD OF 2-MONTHS</t>
  </si>
  <si>
    <t>Milk run escort that delivered materials to Tunu was used to backload Tunu PMS combo to Ogunu. Saved 7,000 liters of AGO for MPV at $1.82 and N462,453 daily escort rate for 3 days</t>
  </si>
  <si>
    <t>PROVIDE MARINE EQUIPMENT TO MOVE  CHILLER BUNDLE FROM OGUNU TO TUNU</t>
  </si>
  <si>
    <t>Tunu milk run convoy was used to deliver this critical project material to Tunu. Saved cost of tugboat at (N70327.98, $654.08) for 3 days, 5,500 Liters of AGO for Tug and 7,000 liters of AGO for MPV at $1.82 and N462,453 daily escort rate</t>
  </si>
  <si>
    <t>Request to move one Flange from Warri workshop to Portharcourt production workshop</t>
  </si>
  <si>
    <t>Movement of 7 EA electric motors from IA Ogunu workshop to PH IA workshop for repair and return</t>
  </si>
  <si>
    <t>PROVIDE MARINE EQUIPMENT TO MOVE  CRANE and FLATBED TRUCK WITH 10nos. 6''  STAINELESS STEEL LINE PIPES SCH-80 FROM OGUNU WAREHOUSE TO OGBOTOBO</t>
  </si>
  <si>
    <t>A well engineering barge waiting for material was used to deliver pipes to Ogbotobo. Saved cost of  hiring separate tug at (N70327.98, $654.08) Ramp at (N32572.94, $302.94) for  days</t>
  </si>
  <si>
    <t>Kindly provide Tug and barge for OGMP 2.0 - Use of manlifts in sampling ports installation on gas engine exhausts in Tunu PU</t>
  </si>
  <si>
    <t>The convoy that delivered OGMP materials to Tunu Node was used to bring back Brass PMS combo to Ogunu. Saved cost of 7,000 liters of AGO for MPV at $1.82 and cost of MPV at N462,453 daily escort rate for 3 days</t>
  </si>
  <si>
    <t>Kindly provide  the following equipment ( Equipment to Move Diesel set from Lamesco yard to Escravos NGC station</t>
  </si>
  <si>
    <t>ERT barge was used to deliver diesel set and forklift to Escravos. Saved cost of  hiring separate tug at (N70327.98, $654.08) Ramp at (N32572.94, $302.94) for  5 days</t>
  </si>
  <si>
    <t>Kindly provide suitable equipment in the month of September 2023,  to move materials from warehouse, load on a barge.</t>
  </si>
  <si>
    <t>Drums of chemicals for Tunu node stations were loaded on OGMP convoy barge. Saved cost of  hiring separate tug at (N70327.98, $654.08) Ramp at (N32572.94, $302.94) for  3 days. , 5,500 Liters of AGO for Tug and 7,000 liters of AGO for MPV at $1.1</t>
  </si>
  <si>
    <t>Demobilization of Seatruck crew boat from Ogbotobo to ogunu</t>
  </si>
  <si>
    <t>Seatruck crew boat was demobilized from ogbotobo to ogunu with returning OGMP convoy from Tunu. Saved cost of 7,000 liters of AGO for MPV at $1.1 and cost of MPV at N462,453 daily escort rate for 2 days</t>
  </si>
  <si>
    <t>MAIL</t>
  </si>
  <si>
    <t>JULY</t>
  </si>
  <si>
    <t>AUGUST</t>
  </si>
  <si>
    <t>SEPTEMBER</t>
  </si>
  <si>
    <t>Avoidance of Cost and Risk exposure for OCTOBER 2023</t>
  </si>
  <si>
    <t xml:space="preserve">FOT PMS delivered to Forcados using Wells escort </t>
  </si>
  <si>
    <t>Forcados PMS barge was delivered to FOT with well engineering escort . Saved cost of escort daily at Asset N462, 453.33 for 2 days and 5,000 liters of AGO for MPV at $1.82</t>
  </si>
  <si>
    <t>Delivered two pick ups for well engineering to North bank with FOT PMS barge</t>
  </si>
  <si>
    <t>Forcados PMS barge was used to deliver pick up vans for well engineering to North bank. Saved cost of  tugboat at (N70327.98, $654.08), Ramp at (N32572.94, $302.94) for 2 days, 3,800 Liters of AGO for Tug.</t>
  </si>
  <si>
    <t>Kindly provide a suitable equipment to move  relief valve from production to OTUMARA via marine vessel</t>
  </si>
  <si>
    <t xml:space="preserve">Tugboat for Pipeline PMS combo standing by for refill was used to deliver these urgent valves to otumara. Saved cost of tugboat at (N70327.98, $654.08) for 2 days, </t>
  </si>
  <si>
    <t>Two pcs of GT-840 ENECLOSURE VENT FAN MOTOR to be moved from production workshop I.A.Ogunu to BLOCK E5, production work I.A. PH for repair</t>
  </si>
  <si>
    <t>REQUEST TO MOVE DFTP MATERIAL AT OGUNU TO NORTH BANK AND SOUTH BANK. LOAD THE MATRIALS, MOVE THEM TO NORTH BANK AND SOUTH BANK</t>
  </si>
  <si>
    <t>Convoy planned to backoad pipes from Ogbotobo was was used to deliver project materials to North bank. Saved cost of tugboat at (N70327.98, $654.08), Ramp at (N32572.94, $302.94) for 2 days, 3,800 Liters of AGO for Tug and 5,000 liters of AGO for MPV at $1.82 and N462,453 daily escort rate</t>
  </si>
  <si>
    <t>Kindly provide suitable equipment  to load item on the barge to NORTHBANK</t>
  </si>
  <si>
    <t>Convoy planned to backoad pipes from Ogbotobo was was used to deliver chemicals to North bank. Saved cost of tugboat at (N70327.98, $654.08), Ramp at (N32572.94, $302.94) for 2 days, 3,800 Liters of AGO for Tug and 5,000 liters of AGO for MPV at $1.82 and N462,453 daily escort rate</t>
  </si>
  <si>
    <t>Avoidance of Cost and Risk exposure for NOVEMBER 2023</t>
  </si>
  <si>
    <t>Equipment , personnel and vessels to move an Emergency Gen Set from OPUKUSHI to Warri</t>
  </si>
  <si>
    <t>Barge mobilized for compressor job at Opukushi was used to backload EDG engine. Saved cost of mobilizing fresh tugboat at (N70327.98, $654.08), Ramp at (N32572.94, $302.94) , Oilfield truck at N56,811 and 50 tons crane at N219,960 for 3 days, 5,000 Liters of AGO for Tug and 7,500 liters of AGO for MPV at $1.82 and N462,453 daily escort rate</t>
  </si>
  <si>
    <t>REQUEST FOR BARGE SPACE ON OGMP MATERIAL BARGE</t>
  </si>
  <si>
    <t>REQUEST FOR LOADING FYIP MATERIALS ON TRUCK AND BARGE FOR ONWARD MOVE TO NORTH BANK</t>
  </si>
  <si>
    <t>MOVEMENT OF TWO SJ ABED CONTAINERS FOR SEA EAGLE</t>
  </si>
  <si>
    <t xml:space="preserve">Flatbed that delivered pipes to Ogunu with escort for CWI was used to backload these containers Saved cost of mobilizing  separate flatbeds at N70,500 per truck  for two days and cost of  security escort at N62,200 per day( Lead &amp; chase) for 2 days </t>
  </si>
  <si>
    <t>Porduction material sent to FOT via Rozphil boat</t>
  </si>
  <si>
    <t>Rozphil crew boat was used to deliver this urgent material. Saved cost of Tugboat at  (N70327.98, $654.08) 3,800 Liters of AGO for Tug and 3,500 liters of AGO for MPV at $1.82 and N462,453 daily escort rate</t>
  </si>
  <si>
    <t>Convoy mobilized for desanding activity at North bank was used to deliver these materials to FOT . Saved cost of mobilizing fresh tugboat at (N70327.98, $654.08), Ramp at (N32572.94, $302.94) for 1 day, 3,500 Liters of AGO for Tug and 3,800 liters of AGO for MPV at $1.82 and N462,453 daily escort rate</t>
  </si>
  <si>
    <t>Convoy mobilized for desanding activity at North bank was used to deliver project materials to North bank. Saved cost of mobilizing fresh tugboat at (N70327.98, $654.08), Ramp at (N32572.94, $302.94) for 2 days, 3,800 Liters of AGO for Tug and 4,000 liters of AGO for MPV at $1.82 and N462,453 daily escort rate</t>
  </si>
  <si>
    <t>OCTOBER</t>
  </si>
  <si>
    <t>NOVEMBER</t>
  </si>
  <si>
    <t>DECEMBER</t>
  </si>
  <si>
    <t>Avoidance of Cost and Risk exposure for DECEMBER 2023</t>
  </si>
  <si>
    <t>4012_damilola.ajayi</t>
  </si>
  <si>
    <t>Convoy movement to Tunu Node (Tunu, Opukushi, Benisede and Ogbotobo) to deliver Chemicals</t>
  </si>
  <si>
    <t>Barge mobilized for delivery of OGMP scallfoding materials from Yokri to Tunu was used to dleiver these materials. Saved cost of mobilizing fresh tugboat at (N70327.98, $654.08), Ramp at (N32572.94, $302.94) for 5 days, 5,000 Liters of AGO for Tug and 7,500 liters of AGO for MPV at $1.82 and N462,453 daily escort rate</t>
  </si>
  <si>
    <t>4039_philo.akpovwovwo</t>
  </si>
  <si>
    <t>flatbed trailer to load scaffolding materials at Yokri  for onward movement to TUNU.</t>
  </si>
  <si>
    <t xml:space="preserve">SPDC Self loader was picked up along Tunu route to deliver these items. Saved cost of hiring fresh call off self loader at N50,007 for 5 days and avoided FTO issues. </t>
  </si>
  <si>
    <t>4040_olakunle.obaseki</t>
  </si>
  <si>
    <t>Movement of Compressor Bundle (In a cocoon) from Ogunu, Warri to Siemens yard, Trans Amadi Port Harcourt in order for it to undergo an inspection at Siemens Workshop</t>
  </si>
  <si>
    <t>4032_olakunle.obaseki</t>
  </si>
  <si>
    <t>Backload of Sea Eagle AG Compressor Dry Gas Seals &amp; Barrier Seals from Ogunu Warri to Siemens Yard, Trans Amadi, Port Harcourt in order for them to be refurbished.</t>
  </si>
  <si>
    <t>Avoidance of Cost and Risk exposure for JANUARY 2024</t>
  </si>
  <si>
    <t>4088_philo.akpovwovwo</t>
  </si>
  <si>
    <t>Milk run convoy to Otumara backloaded waste from FOT - 2days</t>
  </si>
  <si>
    <t>4087_philo.akpovwovwo</t>
  </si>
  <si>
    <t>Crane and Flatbed from FOT used to close out task at Escravos - 4 days</t>
  </si>
  <si>
    <t>Crane and flatbed at FOT was picked up to support activity at Otumara. Saved cost of mobilizing third party crane at N235,000 and flatbed at N70,500 per day for 4 days</t>
  </si>
  <si>
    <t xml:space="preserve">Self loader truck that brought materials from port harcourt was used to backload materials. Saved cost of fesh mobilization of self loader at N50,007 and escort at N62,000 per day for 2 days </t>
  </si>
  <si>
    <t>3970_chy.onuigbo-nweze</t>
  </si>
  <si>
    <t>TRUCKS REQUIRED TO MOVE 9NOS. OFFSHORE BASKETS FROM WARRI TO PHC</t>
  </si>
  <si>
    <t xml:space="preserve">Flatbed truck that brought materials from port harcourt was used to backload materials. Saved cost of fesh mobilization of self loader at N70,500 and escort at N62,000 per day for 2 days </t>
  </si>
  <si>
    <t>4182_adline.iyaye</t>
  </si>
  <si>
    <t>Sewage truck from IA Ogunu to Northbank and to  drums of chemicals and Lub oil from IA Ogunu to Northbank /Yokri</t>
  </si>
  <si>
    <t>Avoidance of Cost and Risk exposure for FEBRUARY 2024</t>
  </si>
  <si>
    <t>4271_nnaemeka.ndigwe</t>
  </si>
  <si>
    <t>BALL VALVE 2X150 FROM WARRI TO PORT HARCOURT</t>
  </si>
  <si>
    <t>4281_h.sibete</t>
  </si>
  <si>
    <t>This is to request the Delivery of 40 Alluminium Cable Conductors Drums from IA OGUNU in Warri to Escravous</t>
  </si>
  <si>
    <t>4203_f.james</t>
  </si>
  <si>
    <t>100pcs of GOOGLE, SAF, UVEXSFY, 9193.376,PC CLEAR with MM 1002355455  to Bonga via PHC + other East asset customers materials.</t>
  </si>
  <si>
    <t xml:space="preserve">Flatbed truck that brought materials from port harcourt was used to backload materials. Saved cost of fesh mobilization of flatbed at N70,500 and escort at N62,000 per day for 2 days </t>
  </si>
  <si>
    <t>Avoidance of Cost and Risk exposure for MARCH 2024</t>
  </si>
  <si>
    <t>4374_o.nwokoma</t>
  </si>
  <si>
    <t>Self loader to convey 1pc of Opukushi D3412 Peek Engine - Leroy Somer Alternator from Shell IA Ogunu Warri to Shell IA PHC Workshop.</t>
  </si>
  <si>
    <t>4394_nnaemeka.ndigwe</t>
  </si>
  <si>
    <t>Transport of Cartons of Ear Plugs to Bonga</t>
  </si>
  <si>
    <t>4440_deimy.oneil</t>
  </si>
  <si>
    <t>KINDLY PROVIDE TUG AND RAMP BARGE FOR MILK RUN TO TUNU NODE</t>
  </si>
  <si>
    <t>JANUARY</t>
  </si>
  <si>
    <t>FEBRUARY</t>
  </si>
  <si>
    <t>MARCH</t>
  </si>
  <si>
    <t xml:space="preserve">Otumara milk run barge was used to backload wate from FOT. Saved cost of fresh mobilization of tugboat at (N70327.98, $654.08), Ramp at (N32572.94, $302.94) for 2 days, 3,800 Liters of AGO for Tug and 2,500 litres AGO for MPV, pilottage cost of $62,151.05 and berthing charge $215 + N28,670 </t>
  </si>
  <si>
    <t xml:space="preserve">Tunu milk run barge was used to drop off sewage trcuk at North bank and picked it back while returning . Saved cost of fresh mobilization of tugboat at (N70327.98, $654.08), Ramp at (N32572.94, $302.94) for 2 days, 3,800 Liters of AGO for Tug and 2,500 litres AGO for MPV,  pilottage cost of $62,151.05 and berthing charge $215 + N28,670 </t>
  </si>
  <si>
    <t xml:space="preserve">Convoy that delivered aluminium cable for project team to Escravos was used to mobilize crane to Otumara for transformer installation. Saved cost of fresh mobilization of tugboat at (N70327.98, $654.08), Ramp barge at (N32572.94, $302.94) for 3 days, 3,800 Liters of AGO for Tug and 2,500 litres AGO for MPV,  pilottage cost of $62,151.05 and berthing charge $215 + N28,670 </t>
  </si>
  <si>
    <t xml:space="preserve">Tunu milk run barge was used to backload sewage truck that was urgently needed at Forcados from Tunu. Convoy also backloaded faulty water tanker that needed expert intervention to Ogunu from South bank. Saved cost of fresh mobilization of tugboat at (N70327.98, $654.08), Ramp at (N32572.94, $302.94) for 2 days, 5,000 Liters of AGO for Tug and 7,500 litres AGO for MPV, pilottage cost of $62,151.05 and berthing charge $215 + N28,670 </t>
  </si>
  <si>
    <t>Avoidance of Cost and Risk exposure for APRIL 2024</t>
  </si>
  <si>
    <t>4210_dorothy.akpofure</t>
  </si>
  <si>
    <t>SHUTDOWN MAINTENANCE ACTIVITY - Request for crane, ramp barge and oil field truck for Shutdown Maintenance Activities at Tunu  Node</t>
  </si>
  <si>
    <t xml:space="preserve">Crane and Oilfield truck mobilized for TAM was used used for pipeline shut down. Saved cost of fresh mobilization of tugboat at (N70327.98, $654.08), Ramp at (N32572.94, $302.94) for 5 days, 5,000 Liters of AGO for Tug and 7,500 litres AGO for MPV, pilottage cost of $62,151.05 and berthing charge $215 + N28,670 </t>
  </si>
  <si>
    <t>4498_f.james</t>
  </si>
  <si>
    <t>move 55 drums of turbo oil, 160pcs of absorbent pad, 33pcs of gaskets and other materials from I. A Ogunu warehouse to OHC warehouse</t>
  </si>
  <si>
    <t>Avoidance of Cost and Risk exposure for MAY 2024</t>
  </si>
  <si>
    <t>4625_philo.akpovwovwo</t>
  </si>
  <si>
    <t>Request for Tug / Ramp barge and crane for OTUMARA TAM activity</t>
  </si>
  <si>
    <t xml:space="preserve">Otumara STOG crane barge while waiting for movement to field was use to close out Otumara TAM request. Saved cost of fresh mobilization of tugboat at (N70327.98, $654.08), Ramp barge at (N32572.94, $302.94) for 7 days, 3,800 Liters of AGO for Tug and 2,500 litres AGO for MPV and N219, 960 for crane. Also saved pilottage cost of $62,151.05 and berthing charge $215 + N28,670 </t>
  </si>
  <si>
    <t>4656_philo.akpovwovwo</t>
  </si>
  <si>
    <t>Kindly provide a suitable equipment to move scaffold materials from Benised to Northbank</t>
  </si>
  <si>
    <t xml:space="preserve">Tunu TAM barge during demobilization was used to move scaffold from Benisede to North bank. Saved cost of fresh mobilization of tugboat at (N70327.98, $654.08), Ramp at (N32572.94, $302.94) for 4 days, 5,000 Liters of AGO for Tug and 5,000 litres AGO for MPV. Also saved pilottage cost of $62,151.05 and berthing charge $215 + N28,670 </t>
  </si>
  <si>
    <t>4706_philo.akpovwovwo</t>
  </si>
  <si>
    <t>Move Tunu AGC-1 LP compressor bundle from Ogunu to Tunu  and BC-2 spares from Ogunu to Ogbotobo</t>
  </si>
  <si>
    <t>Barge mobilized for TAM at North bank was used to deliver urgent ERT materials and items for AGC-2 repair work to TUNU. Saved cost of fresh mobilization of tugboat at (N70327.98, $654.08), Ramp at (N32572.94, $302.94) for 7 days</t>
  </si>
  <si>
    <t>4624_philo.akpovwovwo</t>
  </si>
  <si>
    <t>Request for a Tug and environment barge for OTUMARA TAM activity</t>
  </si>
  <si>
    <t>Pipeline security provide cover for environmental barge that suppoted Otumara TAM from Otumara to FOT . Saved cost of security escort at N462453.33 per day and cost of 3,000 Litres of fuel</t>
  </si>
  <si>
    <t>4759_okechukwu.onwukwe</t>
  </si>
  <si>
    <t xml:space="preserve">PROVIDE EQUIPMENT FOR REARRANGEMENT OF TWO YEARS SPARE TO THE ASSET TEAM AT THE WAREHOUSE AT CPF/HANDLING Project convoy deployed to N-bank/FOT was used to backload water drilling rig and coaster bus </t>
  </si>
  <si>
    <t>Barge mobilized for TAM at North bank was used to deliver forklift for project team. Saved cost of fresh mobilization of tugboat at (N70327.98, $654.08), Ramp at (N32572.94, $302.94) for 2 days</t>
  </si>
  <si>
    <t>Avoidance of Cost and Risk exposure for JUNE 2024</t>
  </si>
  <si>
    <t>4677_philo.akpovwovwo</t>
  </si>
  <si>
    <t>4828_j.akpabio</t>
  </si>
  <si>
    <t>Escort that delivered Clem 10 houseboat moved Otumara Combo</t>
  </si>
  <si>
    <t>Project security provided cover for PMS barge dispatched to Otumara . Saved cost of security escort at N462453.33 per day and cost of 3,000 Litres of fuel</t>
  </si>
  <si>
    <t>Barge deployed to demobilize crane that supported pipeline activity at Escravos was used to demobilize vacuum truck that supported Asset work</t>
  </si>
  <si>
    <t xml:space="preserve">Delivery of 30,000 Litres of AGO to Escravos </t>
  </si>
  <si>
    <t>Pipeline barge mobilized to demobilize crane at Escravos was used to backload Vacuum truck that supported Asset activity. Saved cost of fresh mobilization of tugboat at (N70327.98, $654.08), Ramp barge at (N32572.94, $302.94) for 2 days, 5,000 Liters of AGO for Tug and 7,500 litres AGO for MPV, pilottage cost of $62,151.05 and berthing charge $215 + N28,670.</t>
  </si>
  <si>
    <t>Mobilization of AGO tanker and marine vessel avoided through optimization. Saved cost of tanker at N55,550,  tugboat at (N70327.98, $654.08), Ramp barge at (N32572.94, $302.94) for 3 days, 3,800 Liters of AGO for Tug and 2,500 litres AGO for MPV, pilottage cost of $62,151.05 and berthing charge $215 + N28,670.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</si>
</sst>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_);_(* \(#,##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5" fontId="1" fillId="0" borderId="0" applyFont="0" applyFill="0" applyBorder="0" applyAlignment="0" applyProtection="0"/>
  </cellStyleXfs>
  <cellXfs count="41">
    <xf numFmtId="0" fontId="0" fillId="0" borderId="0" xfId="0"/>
    <xf numFmtId="0" fontId="4" fillId="2" borderId="0" xfId="0" applyFont="1" applyFill="1"/>
    <xf numFmtId="0" fontId="4" fillId="2" borderId="4" xfId="0" applyFont="1" applyFill="1" applyBorder="1" applyAlignment="1">
      <alignment horizontal="center"/>
    </xf>
    <xf numFmtId="0" fontId="4" fillId="2" borderId="5" xfId="0" applyFont="1" applyFill="1" applyBorder="1"/>
    <xf numFmtId="0" fontId="3" fillId="2" borderId="4" xfId="0" applyFont="1" applyFill="1" applyBorder="1" applyAlignment="1">
      <alignment horizontal="center"/>
    </xf>
    <xf numFmtId="0" fontId="3" fillId="2" borderId="5" xfId="0" applyFont="1" applyFill="1" applyBorder="1" applyAlignment="1">
      <alignment horizontal="center"/>
    </xf>
    <xf numFmtId="0" fontId="4" fillId="2" borderId="5" xfId="0" applyFont="1" applyFill="1" applyBorder="1" applyAlignment="1">
      <alignment horizontal="center"/>
    </xf>
    <xf numFmtId="0" fontId="4" fillId="2" borderId="5" xfId="0" applyFont="1" applyFill="1" applyBorder="1" applyAlignment="1">
      <alignment horizontal="center" wrapText="1"/>
    </xf>
    <xf numFmtId="165" fontId="4" fillId="2" borderId="5" xfId="1" applyFont="1" applyFill="1" applyBorder="1" applyAlignment="1"/>
    <xf numFmtId="165" fontId="4" fillId="2" borderId="5" xfId="1" applyFont="1" applyFill="1" applyBorder="1"/>
    <xf numFmtId="0" fontId="4" fillId="2" borderId="5" xfId="0" applyFont="1" applyFill="1" applyBorder="1" applyAlignment="1">
      <alignment wrapText="1"/>
    </xf>
    <xf numFmtId="164" fontId="4" fillId="2" borderId="5" xfId="1" applyNumberFormat="1" applyFont="1" applyFill="1" applyBorder="1"/>
    <xf numFmtId="165" fontId="4" fillId="2" borderId="5" xfId="0" applyNumberFormat="1" applyFont="1" applyFill="1" applyBorder="1"/>
    <xf numFmtId="0" fontId="4" fillId="2" borderId="0" xfId="0" applyFont="1" applyFill="1" applyAlignment="1">
      <alignment horizontal="center"/>
    </xf>
    <xf numFmtId="165" fontId="3" fillId="2" borderId="5" xfId="0" applyNumberFormat="1" applyFont="1" applyFill="1" applyBorder="1"/>
    <xf numFmtId="0" fontId="5" fillId="2" borderId="6" xfId="0" applyFont="1" applyFill="1" applyBorder="1" applyAlignment="1">
      <alignment horizontal="center"/>
    </xf>
    <xf numFmtId="0" fontId="2" fillId="0" borderId="7" xfId="0" applyFont="1" applyBorder="1"/>
    <xf numFmtId="0" fontId="2" fillId="0" borderId="8" xfId="0" applyFont="1" applyBorder="1"/>
    <xf numFmtId="0" fontId="0" fillId="0" borderId="4" xfId="0" applyBorder="1"/>
    <xf numFmtId="4" fontId="0" fillId="0" borderId="9" xfId="0" applyNumberFormat="1" applyBorder="1"/>
    <xf numFmtId="0" fontId="2" fillId="0" borderId="10" xfId="0" applyFont="1" applyBorder="1"/>
    <xf numFmtId="4" fontId="2" fillId="0" borderId="11" xfId="0" applyNumberFormat="1" applyFont="1" applyBorder="1"/>
    <xf numFmtId="0" fontId="3" fillId="2" borderId="5" xfId="0" applyFont="1" applyFill="1" applyBorder="1" applyAlignment="1">
      <alignment horizontal="center"/>
    </xf>
    <xf numFmtId="0" fontId="4" fillId="2" borderId="5" xfId="0" applyFont="1" applyFill="1" applyBorder="1" applyAlignment="1">
      <alignment horizontal="left" vertical="center" wrapText="1"/>
    </xf>
    <xf numFmtId="0" fontId="4" fillId="2" borderId="5" xfId="0" applyFont="1" applyFill="1" applyBorder="1" applyAlignment="1">
      <alignment horizontal="left" wrapText="1"/>
    </xf>
    <xf numFmtId="0" fontId="4" fillId="3" borderId="5" xfId="0" applyFont="1" applyFill="1" applyBorder="1" applyAlignment="1">
      <alignment horizontal="center" wrapText="1"/>
    </xf>
    <xf numFmtId="0" fontId="3" fillId="2" borderId="5" xfId="0" applyFont="1" applyFill="1" applyBorder="1" applyAlignment="1">
      <alignment horizontal="center"/>
    </xf>
    <xf numFmtId="0" fontId="3" fillId="2" borderId="5" xfId="0" applyFont="1" applyFill="1" applyBorder="1" applyAlignment="1">
      <alignment horizontal="center"/>
    </xf>
    <xf numFmtId="4" fontId="0" fillId="4" borderId="9" xfId="0" applyNumberFormat="1" applyFill="1" applyBorder="1"/>
    <xf numFmtId="0" fontId="3" fillId="2" borderId="5" xfId="0" applyFont="1" applyFill="1" applyBorder="1" applyAlignment="1">
      <alignment horizontal="center"/>
    </xf>
    <xf numFmtId="0" fontId="5" fillId="2" borderId="6" xfId="0" applyFont="1" applyFill="1" applyBorder="1" applyAlignment="1">
      <alignment horizontal="center" wrapText="1"/>
    </xf>
    <xf numFmtId="4" fontId="0" fillId="2" borderId="9" xfId="0" applyNumberFormat="1" applyFont="1" applyFill="1" applyBorder="1" applyAlignment="1">
      <alignment horizontal="center"/>
    </xf>
    <xf numFmtId="165" fontId="4" fillId="2" borderId="9" xfId="0" applyNumberFormat="1" applyFont="1" applyFill="1" applyBorder="1" applyAlignment="1">
      <alignment horizontal="center"/>
    </xf>
    <xf numFmtId="0" fontId="2" fillId="0" borderId="8" xfId="0" applyFont="1" applyBorder="1" applyAlignment="1">
      <alignment horizontal="center"/>
    </xf>
    <xf numFmtId="4" fontId="2" fillId="0" borderId="11" xfId="0" applyNumberFormat="1" applyFont="1" applyBorder="1" applyAlignment="1">
      <alignment horizontal="center"/>
    </xf>
    <xf numFmtId="164" fontId="4" fillId="2" borderId="5" xfId="1" applyNumberFormat="1" applyFont="1" applyFill="1" applyBorder="1" applyAlignment="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5" xfId="0" applyFont="1" applyFill="1" applyBorder="1" applyAlignment="1">
      <alignment horizontal="center"/>
    </xf>
    <xf numFmtId="0" fontId="3" fillId="2" borderId="5" xfId="0" applyFont="1" applyFill="1" applyBorder="1" applyAlignment="1">
      <alignment horizontal="center" wrapText="1"/>
    </xf>
  </cellXfs>
  <cellStyles count="2">
    <cellStyle name="Comma 2 2" xfId="1" xr:uid="{935FD563-82EC-4BC4-976F-FF2FEAEEF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C7824-C99E-4F6C-9A62-3EB849D1D48C}">
  <dimension ref="A1:G15"/>
  <sheetViews>
    <sheetView workbookViewId="0">
      <selection activeCell="E15" sqref="E15"/>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9</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43.5" x14ac:dyDescent="0.35">
      <c r="A4" s="15">
        <v>2725</v>
      </c>
      <c r="B4" s="6">
        <v>16</v>
      </c>
      <c r="C4" s="7" t="s">
        <v>8</v>
      </c>
      <c r="D4" s="8">
        <f>5*(70327.98+32572.94)</f>
        <v>514504.6</v>
      </c>
      <c r="E4" s="8">
        <f>5*(654.08+302.94)+(1.82*12000)</f>
        <v>26625.1</v>
      </c>
      <c r="F4" s="3">
        <f>14*5*12</f>
        <v>840</v>
      </c>
      <c r="G4" s="7" t="s">
        <v>10</v>
      </c>
    </row>
    <row r="5" spans="1:7" ht="29" x14ac:dyDescent="0.35">
      <c r="A5" s="15">
        <v>2607</v>
      </c>
      <c r="B5" s="6">
        <v>16</v>
      </c>
      <c r="C5" s="7" t="s">
        <v>11</v>
      </c>
      <c r="D5" s="8">
        <f>5*217140</f>
        <v>1085700</v>
      </c>
      <c r="E5" s="8"/>
      <c r="F5" s="3"/>
      <c r="G5" s="7" t="s">
        <v>12</v>
      </c>
    </row>
    <row r="6" spans="1:7" ht="43.5" x14ac:dyDescent="0.35">
      <c r="A6" s="15">
        <v>2879</v>
      </c>
      <c r="B6" s="6">
        <v>16</v>
      </c>
      <c r="C6" s="7" t="s">
        <v>13</v>
      </c>
      <c r="D6" s="8">
        <f>2*(70327.98+32572.94)</f>
        <v>205801.84</v>
      </c>
      <c r="E6" s="8">
        <f>2*(654.08+302.94)</f>
        <v>1914.04</v>
      </c>
      <c r="F6" s="3">
        <f>14*2*12</f>
        <v>336</v>
      </c>
      <c r="G6" s="7" t="s">
        <v>14</v>
      </c>
    </row>
    <row r="7" spans="1:7" ht="43.5" x14ac:dyDescent="0.35">
      <c r="A7" s="15">
        <v>2881</v>
      </c>
      <c r="B7" s="6">
        <v>16</v>
      </c>
      <c r="C7" s="7" t="s">
        <v>15</v>
      </c>
      <c r="D7" s="8">
        <f>2*(70327.98+32572.94)</f>
        <v>205801.84</v>
      </c>
      <c r="E7" s="8">
        <f>2*(654.08+302.94)</f>
        <v>1914.04</v>
      </c>
      <c r="F7" s="3">
        <f>14*2*12</f>
        <v>336</v>
      </c>
      <c r="G7" s="7" t="s">
        <v>16</v>
      </c>
    </row>
    <row r="8" spans="1:7" ht="43.5" x14ac:dyDescent="0.35">
      <c r="A8" s="15">
        <v>2926</v>
      </c>
      <c r="B8" s="6">
        <v>17</v>
      </c>
      <c r="C8" s="7" t="s">
        <v>17</v>
      </c>
      <c r="D8" s="8">
        <f>304373.33*3</f>
        <v>913119.99</v>
      </c>
      <c r="E8" s="8">
        <f>7000*1.82</f>
        <v>12740</v>
      </c>
      <c r="F8" s="3"/>
      <c r="G8" s="7" t="s">
        <v>18</v>
      </c>
    </row>
    <row r="9" spans="1:7" ht="72.5" x14ac:dyDescent="0.35">
      <c r="A9" s="15">
        <v>2670</v>
      </c>
      <c r="B9" s="6">
        <v>15</v>
      </c>
      <c r="C9" s="7" t="s">
        <v>19</v>
      </c>
      <c r="D9" s="8">
        <f>4*(70327.98+32572.94)</f>
        <v>411603.68</v>
      </c>
      <c r="E9" s="8">
        <f>4*(654.08+302.94)+(1.82*12000)</f>
        <v>25668.080000000002</v>
      </c>
      <c r="F9" s="3">
        <f>14*4*12</f>
        <v>672</v>
      </c>
      <c r="G9" s="7" t="s">
        <v>20</v>
      </c>
    </row>
    <row r="10" spans="1:7" ht="58" x14ac:dyDescent="0.35">
      <c r="A10" s="15" t="s">
        <v>21</v>
      </c>
      <c r="B10" s="6">
        <v>16</v>
      </c>
      <c r="C10" s="7" t="s">
        <v>22</v>
      </c>
      <c r="D10" s="8">
        <f>1*(70327.98+32572.94)</f>
        <v>102900.92</v>
      </c>
      <c r="E10" s="8">
        <f>1*(654.08+302.94)+(1.82*12000)</f>
        <v>22797.02</v>
      </c>
      <c r="F10" s="3">
        <f>14*4*12</f>
        <v>672</v>
      </c>
      <c r="G10" s="7" t="s">
        <v>23</v>
      </c>
    </row>
    <row r="11" spans="1:7" ht="43.5" x14ac:dyDescent="0.35">
      <c r="A11" s="15">
        <v>2897</v>
      </c>
      <c r="B11" s="6">
        <v>16</v>
      </c>
      <c r="C11" s="7" t="s">
        <v>24</v>
      </c>
      <c r="D11" s="8">
        <f>2*(70327.98+32572.94)</f>
        <v>205801.84</v>
      </c>
      <c r="E11" s="8">
        <f>2*(654.08+302.94)</f>
        <v>1914.04</v>
      </c>
      <c r="F11" s="3">
        <f>14*2*12</f>
        <v>336</v>
      </c>
      <c r="G11" s="7" t="s">
        <v>45</v>
      </c>
    </row>
    <row r="12" spans="1:7" ht="29" x14ac:dyDescent="0.35">
      <c r="A12" s="15" t="s">
        <v>25</v>
      </c>
      <c r="B12" s="6">
        <v>16</v>
      </c>
      <c r="C12" s="7" t="s">
        <v>26</v>
      </c>
      <c r="D12" s="8">
        <f>4*(70327.98+32572.94)</f>
        <v>411603.68</v>
      </c>
      <c r="E12" s="8">
        <f>4*(654.08+302.94)</f>
        <v>3828.08</v>
      </c>
      <c r="F12" s="3">
        <f>14*2*12</f>
        <v>336</v>
      </c>
      <c r="G12" s="7" t="s">
        <v>27</v>
      </c>
    </row>
    <row r="13" spans="1:7" ht="31.5" customHeight="1" x14ac:dyDescent="0.35">
      <c r="A13" s="6"/>
      <c r="B13" s="6"/>
      <c r="C13" s="10"/>
      <c r="D13" s="9">
        <f>SUM(D4:D12)</f>
        <v>4056838.3900000006</v>
      </c>
      <c r="E13" s="9">
        <f>SUM(E4:E12)</f>
        <v>97400.400000000009</v>
      </c>
      <c r="F13" s="11">
        <f>SUM(F4:F12)</f>
        <v>3528</v>
      </c>
      <c r="G13" s="10"/>
    </row>
    <row r="14" spans="1:7" x14ac:dyDescent="0.35">
      <c r="A14" s="3"/>
      <c r="B14" s="6"/>
      <c r="C14" s="3"/>
      <c r="D14" s="12">
        <f>D13/500</f>
        <v>8113.6767800000016</v>
      </c>
      <c r="E14" s="12"/>
      <c r="F14" s="3"/>
      <c r="G14" s="3"/>
    </row>
    <row r="15" spans="1:7" x14ac:dyDescent="0.35">
      <c r="D15" s="12"/>
      <c r="E15" s="14">
        <f>E13+D14</f>
        <v>105514.07678</v>
      </c>
    </row>
  </sheetData>
  <mergeCells count="5">
    <mergeCell ref="A1:G1"/>
    <mergeCell ref="B2:B3"/>
    <mergeCell ref="C2:C3"/>
    <mergeCell ref="D2:E2"/>
    <mergeCell ref="F2: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B81E3-4EEC-457A-8E38-046DFE416943}">
  <dimension ref="A1:G15"/>
  <sheetViews>
    <sheetView topLeftCell="A6" workbookViewId="0">
      <selection activeCell="B8" sqref="B8"/>
    </sheetView>
  </sheetViews>
  <sheetFormatPr defaultRowHeight="14.5" x14ac:dyDescent="0.35"/>
  <cols>
    <col min="3" max="3" width="23.81640625" customWidth="1"/>
    <col min="4" max="4" width="12.90625" customWidth="1"/>
    <col min="5" max="5" width="14.54296875" customWidth="1"/>
    <col min="7" max="7" width="55.90625" customWidth="1"/>
  </cols>
  <sheetData>
    <row r="1" spans="1:7" ht="15" thickBot="1" x14ac:dyDescent="0.4">
      <c r="A1" s="36" t="s">
        <v>105</v>
      </c>
      <c r="B1" s="37"/>
      <c r="C1" s="37"/>
      <c r="D1" s="37"/>
      <c r="E1" s="37"/>
      <c r="F1" s="37"/>
      <c r="G1" s="38"/>
    </row>
    <row r="2" spans="1:7" x14ac:dyDescent="0.35">
      <c r="A2" s="2"/>
      <c r="B2" s="39" t="s">
        <v>0</v>
      </c>
      <c r="C2" s="40" t="s">
        <v>1</v>
      </c>
      <c r="D2" s="40" t="s">
        <v>2</v>
      </c>
      <c r="E2" s="40"/>
      <c r="F2" s="40" t="s">
        <v>3</v>
      </c>
      <c r="G2" s="3"/>
    </row>
    <row r="3" spans="1:7" x14ac:dyDescent="0.35">
      <c r="A3" s="4" t="s">
        <v>4</v>
      </c>
      <c r="B3" s="39"/>
      <c r="C3" s="40"/>
      <c r="D3" s="22" t="s">
        <v>5</v>
      </c>
      <c r="E3" s="22" t="s">
        <v>6</v>
      </c>
      <c r="F3" s="40"/>
      <c r="G3" s="22" t="s">
        <v>7</v>
      </c>
    </row>
    <row r="4" spans="1:7" ht="79.5" customHeight="1" x14ac:dyDescent="0.35">
      <c r="A4" s="15">
        <v>3797</v>
      </c>
      <c r="B4" s="6">
        <v>46</v>
      </c>
      <c r="C4" s="7" t="s">
        <v>106</v>
      </c>
      <c r="D4" s="8">
        <f>3*(70327.98+32572.94+56811+219960+462453)</f>
        <v>2526374.7599999998</v>
      </c>
      <c r="E4" s="8">
        <f>3*(654.08+302.94)+1.82*(12500)</f>
        <v>25621.06</v>
      </c>
      <c r="F4" s="3">
        <f>3*12*10</f>
        <v>360</v>
      </c>
      <c r="G4" s="7" t="s">
        <v>107</v>
      </c>
    </row>
    <row r="5" spans="1:7" ht="79.5" customHeight="1" x14ac:dyDescent="0.35">
      <c r="A5" s="15">
        <v>3842</v>
      </c>
      <c r="B5" s="6">
        <v>46</v>
      </c>
      <c r="C5" s="7" t="s">
        <v>108</v>
      </c>
      <c r="D5" s="8">
        <f>1*(70327.98+32572.94+462453)</f>
        <v>565353.92000000004</v>
      </c>
      <c r="E5" s="8">
        <f>1*(654.08+302.94)+1.82*(7300)</f>
        <v>14243.02</v>
      </c>
      <c r="F5" s="3">
        <f>1*12*10</f>
        <v>120</v>
      </c>
      <c r="G5" s="7" t="s">
        <v>114</v>
      </c>
    </row>
    <row r="6" spans="1:7" ht="79.5" customHeight="1" x14ac:dyDescent="0.35">
      <c r="A6" s="15">
        <v>3860</v>
      </c>
      <c r="B6" s="6">
        <v>46</v>
      </c>
      <c r="C6" s="7" t="s">
        <v>109</v>
      </c>
      <c r="D6" s="8">
        <f>2*(70327.98+32572.94+462453)</f>
        <v>1130707.8400000001</v>
      </c>
      <c r="E6" s="8">
        <f>2*(654.08+302.94)+1.82*(7800)</f>
        <v>16110.04</v>
      </c>
      <c r="F6" s="3">
        <f>2*12*10</f>
        <v>240</v>
      </c>
      <c r="G6" s="7" t="s">
        <v>115</v>
      </c>
    </row>
    <row r="7" spans="1:7" ht="79.5" customHeight="1" x14ac:dyDescent="0.35">
      <c r="A7" s="15">
        <v>3761</v>
      </c>
      <c r="B7" s="6">
        <v>46</v>
      </c>
      <c r="C7" s="10" t="s">
        <v>110</v>
      </c>
      <c r="D7" s="9">
        <f>2*(70500+62200)</f>
        <v>265400</v>
      </c>
      <c r="E7" s="9"/>
      <c r="F7" s="3">
        <f>6*2*8</f>
        <v>96</v>
      </c>
      <c r="G7" s="23" t="s">
        <v>111</v>
      </c>
    </row>
    <row r="8" spans="1:7" ht="79.5" customHeight="1" x14ac:dyDescent="0.35">
      <c r="A8" s="15" t="s">
        <v>89</v>
      </c>
      <c r="B8" s="6">
        <v>47</v>
      </c>
      <c r="C8" s="10" t="s">
        <v>112</v>
      </c>
      <c r="D8" s="8">
        <f>1*(70327.98+32572.94+462453)</f>
        <v>565353.92000000004</v>
      </c>
      <c r="E8" s="8">
        <f>1*(654.08+302.94)+1.82*(7300)</f>
        <v>14243.02</v>
      </c>
      <c r="F8" s="3">
        <f>1*12*10</f>
        <v>120</v>
      </c>
      <c r="G8" s="23" t="s">
        <v>113</v>
      </c>
    </row>
    <row r="9" spans="1:7" x14ac:dyDescent="0.35">
      <c r="A9" s="6"/>
      <c r="B9" s="6"/>
      <c r="C9" s="10"/>
      <c r="D9" s="9">
        <f>SUM(D4:D8)</f>
        <v>5053190.4399999995</v>
      </c>
      <c r="E9" s="9">
        <f>SUM(E4:E8)</f>
        <v>70217.14</v>
      </c>
      <c r="F9" s="11">
        <f>SUM(F4:F7)</f>
        <v>816</v>
      </c>
      <c r="G9" s="10"/>
    </row>
    <row r="10" spans="1:7" x14ac:dyDescent="0.35">
      <c r="A10" s="3"/>
      <c r="B10" s="6"/>
      <c r="C10" s="3"/>
      <c r="D10" s="12">
        <f>D9/500</f>
        <v>10106.380879999999</v>
      </c>
      <c r="E10" s="12"/>
      <c r="F10" s="3"/>
      <c r="G10" s="3"/>
    </row>
    <row r="11" spans="1:7" x14ac:dyDescent="0.35">
      <c r="A11" s="1"/>
      <c r="B11" s="13"/>
      <c r="C11" s="1"/>
      <c r="D11" s="12"/>
      <c r="E11" s="14">
        <f>E9+D10</f>
        <v>80323.520879999996</v>
      </c>
      <c r="F11" s="1"/>
      <c r="G11" s="1"/>
    </row>
    <row r="12" spans="1:7" x14ac:dyDescent="0.35">
      <c r="A12" s="1"/>
      <c r="B12" s="13"/>
      <c r="C12" s="1"/>
      <c r="D12" s="1"/>
      <c r="E12" s="1"/>
      <c r="F12" s="1"/>
      <c r="G12" s="1"/>
    </row>
    <row r="13" spans="1:7" x14ac:dyDescent="0.35">
      <c r="A13" s="1"/>
      <c r="B13" s="13"/>
      <c r="C13" s="1"/>
      <c r="D13" s="1"/>
      <c r="E13" s="1"/>
      <c r="F13" s="1"/>
      <c r="G13" s="1"/>
    </row>
    <row r="14" spans="1:7" x14ac:dyDescent="0.35">
      <c r="A14" s="1"/>
      <c r="B14" s="13"/>
      <c r="C14" s="1"/>
      <c r="D14" s="1"/>
      <c r="E14" s="1"/>
      <c r="F14" s="1"/>
      <c r="G14" s="1"/>
    </row>
    <row r="15" spans="1:7" x14ac:dyDescent="0.35">
      <c r="A15" s="1"/>
      <c r="B15" s="13"/>
      <c r="C15" s="1"/>
      <c r="D15" s="1"/>
      <c r="E15" s="1"/>
      <c r="F15" s="1"/>
      <c r="G15" s="1"/>
    </row>
  </sheetData>
  <mergeCells count="5">
    <mergeCell ref="A1:G1"/>
    <mergeCell ref="B2:B3"/>
    <mergeCell ref="C2:C3"/>
    <mergeCell ref="D2:E2"/>
    <mergeCell ref="F2: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C126-619B-4EFC-BEBC-B6FE03A706C4}">
  <dimension ref="A1:G10"/>
  <sheetViews>
    <sheetView topLeftCell="A5" workbookViewId="0">
      <selection activeCell="E10" sqref="E10"/>
    </sheetView>
  </sheetViews>
  <sheetFormatPr defaultRowHeight="14.5" x14ac:dyDescent="0.35"/>
  <cols>
    <col min="1" max="1" width="21.81640625" customWidth="1"/>
    <col min="2" max="2" width="7.453125" customWidth="1"/>
    <col min="3" max="3" width="27.08984375" customWidth="1"/>
    <col min="4" max="4" width="15.54296875" customWidth="1"/>
    <col min="5" max="5" width="14.26953125" customWidth="1"/>
    <col min="6" max="6" width="12" customWidth="1"/>
    <col min="7" max="7" width="57.36328125" customWidth="1"/>
  </cols>
  <sheetData>
    <row r="1" spans="1:7" ht="15" thickBot="1" x14ac:dyDescent="0.4">
      <c r="A1" s="36" t="s">
        <v>119</v>
      </c>
      <c r="B1" s="37"/>
      <c r="C1" s="37"/>
      <c r="D1" s="37"/>
      <c r="E1" s="37"/>
      <c r="F1" s="37"/>
      <c r="G1" s="38"/>
    </row>
    <row r="2" spans="1:7" x14ac:dyDescent="0.35">
      <c r="A2" s="2"/>
      <c r="B2" s="39" t="s">
        <v>0</v>
      </c>
      <c r="C2" s="40" t="s">
        <v>1</v>
      </c>
      <c r="D2" s="40" t="s">
        <v>2</v>
      </c>
      <c r="E2" s="40"/>
      <c r="F2" s="40" t="s">
        <v>3</v>
      </c>
      <c r="G2" s="3"/>
    </row>
    <row r="3" spans="1:7" x14ac:dyDescent="0.35">
      <c r="A3" s="4" t="s">
        <v>4</v>
      </c>
      <c r="B3" s="39"/>
      <c r="C3" s="40"/>
      <c r="D3" s="26" t="s">
        <v>5</v>
      </c>
      <c r="E3" s="26" t="s">
        <v>6</v>
      </c>
      <c r="F3" s="40"/>
      <c r="G3" s="26" t="s">
        <v>7</v>
      </c>
    </row>
    <row r="4" spans="1:7" ht="88" customHeight="1" x14ac:dyDescent="0.35">
      <c r="A4" s="15" t="s">
        <v>120</v>
      </c>
      <c r="B4" s="6">
        <v>51</v>
      </c>
      <c r="C4" s="7" t="s">
        <v>121</v>
      </c>
      <c r="D4" s="8">
        <f>4*(70327.98+32572.94+462453)</f>
        <v>2261415.6800000002</v>
      </c>
      <c r="E4" s="8">
        <f>4*(654.08+302.94)+1.82*(12500)</f>
        <v>26578.080000000002</v>
      </c>
      <c r="F4" s="3">
        <f>4*12*10</f>
        <v>480</v>
      </c>
      <c r="G4" s="7" t="s">
        <v>122</v>
      </c>
    </row>
    <row r="5" spans="1:7" ht="56" customHeight="1" x14ac:dyDescent="0.35">
      <c r="A5" s="15" t="s">
        <v>123</v>
      </c>
      <c r="B5" s="6">
        <v>51</v>
      </c>
      <c r="C5" s="7" t="s">
        <v>124</v>
      </c>
      <c r="D5" s="9">
        <f>5*(50007)</f>
        <v>250035</v>
      </c>
      <c r="E5" s="8"/>
      <c r="F5" s="3"/>
      <c r="G5" s="7" t="s">
        <v>125</v>
      </c>
    </row>
    <row r="6" spans="1:7" ht="88" customHeight="1" x14ac:dyDescent="0.35">
      <c r="A6" s="15" t="s">
        <v>126</v>
      </c>
      <c r="B6" s="6">
        <v>51</v>
      </c>
      <c r="C6" s="7" t="s">
        <v>127</v>
      </c>
      <c r="D6" s="9">
        <f>2*(70500+62200)</f>
        <v>265400</v>
      </c>
      <c r="E6" s="8"/>
      <c r="F6" s="3">
        <f>2*8*2</f>
        <v>32</v>
      </c>
      <c r="G6" s="7" t="s">
        <v>111</v>
      </c>
    </row>
    <row r="7" spans="1:7" ht="88" customHeight="1" x14ac:dyDescent="0.35">
      <c r="A7" s="15" t="s">
        <v>128</v>
      </c>
      <c r="B7" s="6">
        <v>50</v>
      </c>
      <c r="C7" s="10" t="s">
        <v>129</v>
      </c>
      <c r="D7" s="9">
        <f>2*(50007)+2*(62200)</f>
        <v>224414</v>
      </c>
      <c r="E7" s="9"/>
      <c r="F7" s="3">
        <f>2*8*2</f>
        <v>32</v>
      </c>
      <c r="G7" s="23" t="s">
        <v>59</v>
      </c>
    </row>
    <row r="8" spans="1:7" x14ac:dyDescent="0.35">
      <c r="A8" s="6"/>
      <c r="B8" s="6"/>
      <c r="C8" s="10"/>
      <c r="D8" s="9">
        <f>SUM(D4:D7)</f>
        <v>3001264.68</v>
      </c>
      <c r="E8" s="9">
        <f>SUM(E4:E7)</f>
        <v>26578.080000000002</v>
      </c>
      <c r="F8" s="11">
        <f>SUM(F4:F7)</f>
        <v>544</v>
      </c>
      <c r="G8" s="10"/>
    </row>
    <row r="9" spans="1:7" x14ac:dyDescent="0.35">
      <c r="A9" s="3"/>
      <c r="B9" s="6"/>
      <c r="C9" s="3"/>
      <c r="D9" s="12">
        <f>D8/500</f>
        <v>6002.5293600000005</v>
      </c>
      <c r="E9" s="12"/>
      <c r="F9" s="3"/>
      <c r="G9" s="3"/>
    </row>
    <row r="10" spans="1:7" x14ac:dyDescent="0.35">
      <c r="A10" s="1"/>
      <c r="B10" s="13"/>
      <c r="C10" s="1"/>
      <c r="D10" s="12"/>
      <c r="E10" s="14">
        <f>E8+D9</f>
        <v>32580.609360000002</v>
      </c>
      <c r="F10" s="1"/>
      <c r="G10" s="1"/>
    </row>
  </sheetData>
  <mergeCells count="5">
    <mergeCell ref="A1:G1"/>
    <mergeCell ref="B2:B3"/>
    <mergeCell ref="C2:C3"/>
    <mergeCell ref="D2:E2"/>
    <mergeCell ref="F2: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730E9-832C-4DBB-A31E-0B27D858556A}">
  <dimension ref="C3:D8"/>
  <sheetViews>
    <sheetView workbookViewId="0">
      <selection activeCell="C4" sqref="C4:D8"/>
    </sheetView>
  </sheetViews>
  <sheetFormatPr defaultRowHeight="14.5" x14ac:dyDescent="0.35"/>
  <cols>
    <col min="3" max="3" width="14.26953125" customWidth="1"/>
    <col min="4" max="4" width="12.453125" customWidth="1"/>
  </cols>
  <sheetData>
    <row r="3" spans="3:4" ht="15" thickBot="1" x14ac:dyDescent="0.4"/>
    <row r="4" spans="3:4" x14ac:dyDescent="0.35">
      <c r="C4" s="16" t="s">
        <v>52</v>
      </c>
      <c r="D4" s="17" t="s">
        <v>51</v>
      </c>
    </row>
    <row r="5" spans="3:4" x14ac:dyDescent="0.35">
      <c r="C5" s="18" t="s">
        <v>116</v>
      </c>
      <c r="D5" s="19">
        <v>62612.67</v>
      </c>
    </row>
    <row r="6" spans="3:4" x14ac:dyDescent="0.35">
      <c r="C6" s="18" t="s">
        <v>117</v>
      </c>
      <c r="D6" s="19">
        <v>80323.520000000004</v>
      </c>
    </row>
    <row r="7" spans="3:4" x14ac:dyDescent="0.35">
      <c r="C7" s="18" t="s">
        <v>118</v>
      </c>
      <c r="D7" s="28">
        <v>32580.61</v>
      </c>
    </row>
    <row r="8" spans="3:4" ht="15" thickBot="1" x14ac:dyDescent="0.4">
      <c r="C8" s="20" t="s">
        <v>53</v>
      </c>
      <c r="D8" s="21">
        <f>SUM(D5:D7)</f>
        <v>175516.79999999999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514A-F946-47AE-8014-929F1E8995F0}">
  <dimension ref="A1:G10"/>
  <sheetViews>
    <sheetView zoomScale="72" zoomScaleNormal="72" workbookViewId="0">
      <selection activeCell="E4" sqref="E4"/>
    </sheetView>
  </sheetViews>
  <sheetFormatPr defaultColWidth="9.1796875" defaultRowHeight="14.5" x14ac:dyDescent="0.35"/>
  <cols>
    <col min="1" max="1" width="21.81640625" style="1" customWidth="1"/>
    <col min="2" max="2" width="6.81640625" style="13"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36" t="s">
        <v>130</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27" t="s">
        <v>5</v>
      </c>
      <c r="E3" s="27" t="s">
        <v>6</v>
      </c>
      <c r="F3" s="40"/>
      <c r="G3" s="27" t="s">
        <v>7</v>
      </c>
    </row>
    <row r="4" spans="1:7" ht="58" x14ac:dyDescent="0.35">
      <c r="A4" s="15" t="s">
        <v>131</v>
      </c>
      <c r="B4" s="6">
        <v>2</v>
      </c>
      <c r="C4" s="7" t="s">
        <v>132</v>
      </c>
      <c r="D4" s="8">
        <f>2*(70327.98+32572.94)+28670</f>
        <v>234471.84</v>
      </c>
      <c r="E4" s="8">
        <f>2*(654.08+302.94)+1.82*(6300)+(62151.05+215)</f>
        <v>75746.09</v>
      </c>
      <c r="F4" s="3">
        <f>10*2*12</f>
        <v>240</v>
      </c>
      <c r="G4" s="7" t="s">
        <v>160</v>
      </c>
    </row>
    <row r="5" spans="1:7" ht="29" x14ac:dyDescent="0.35">
      <c r="A5" s="15" t="s">
        <v>133</v>
      </c>
      <c r="B5" s="6">
        <v>2</v>
      </c>
      <c r="C5" s="7" t="s">
        <v>134</v>
      </c>
      <c r="D5" s="9">
        <f>4*(235000+70500)</f>
        <v>1222000</v>
      </c>
      <c r="E5" s="8"/>
      <c r="F5" s="3">
        <v>0</v>
      </c>
      <c r="G5" s="7" t="s">
        <v>135</v>
      </c>
    </row>
    <row r="6" spans="1:7" ht="29" x14ac:dyDescent="0.35">
      <c r="A6" s="30" t="s">
        <v>137</v>
      </c>
      <c r="B6" s="6">
        <v>2</v>
      </c>
      <c r="C6" s="10" t="s">
        <v>138</v>
      </c>
      <c r="D6" s="9">
        <f>2*(70500+62200)</f>
        <v>265400</v>
      </c>
      <c r="E6" s="9"/>
      <c r="F6" s="3">
        <f>4*2*12</f>
        <v>96</v>
      </c>
      <c r="G6" s="7" t="s">
        <v>139</v>
      </c>
    </row>
    <row r="7" spans="1:7" ht="58" x14ac:dyDescent="0.35">
      <c r="A7" s="15" t="s">
        <v>140</v>
      </c>
      <c r="B7" s="6">
        <v>5</v>
      </c>
      <c r="C7" s="10" t="s">
        <v>141</v>
      </c>
      <c r="D7" s="8">
        <f>2*(70327.98+32572.94)+28670</f>
        <v>234471.84</v>
      </c>
      <c r="E7" s="8">
        <f>2*(654.08+302.94)+1.82*(6300)+(62151.05+215)</f>
        <v>75746.09</v>
      </c>
      <c r="F7" s="3">
        <f>10*2*12</f>
        <v>240</v>
      </c>
      <c r="G7" s="7" t="s">
        <v>161</v>
      </c>
    </row>
    <row r="8" spans="1:7" ht="31.5" customHeight="1" x14ac:dyDescent="0.35">
      <c r="A8" s="6"/>
      <c r="B8" s="6"/>
      <c r="C8" s="10"/>
      <c r="D8" s="9">
        <f>SUM(D4:D7)</f>
        <v>1956343.6800000002</v>
      </c>
      <c r="E8" s="9">
        <f>SUM(E4:E7)</f>
        <v>151492.18</v>
      </c>
      <c r="F8" s="11">
        <f>SUM(F4:F7)</f>
        <v>576</v>
      </c>
      <c r="G8" s="10"/>
    </row>
    <row r="9" spans="1:7" x14ac:dyDescent="0.35">
      <c r="A9" s="3"/>
      <c r="B9" s="6"/>
      <c r="C9" s="3"/>
      <c r="D9" s="12">
        <f>D8/500</f>
        <v>3912.6873600000004</v>
      </c>
      <c r="E9" s="12"/>
      <c r="F9" s="3"/>
      <c r="G9" s="3"/>
    </row>
    <row r="10" spans="1:7" x14ac:dyDescent="0.35">
      <c r="D10" s="12"/>
      <c r="E10" s="14">
        <f>E8+D9</f>
        <v>155404.86736</v>
      </c>
    </row>
  </sheetData>
  <mergeCells count="5">
    <mergeCell ref="A1:G1"/>
    <mergeCell ref="B2:B3"/>
    <mergeCell ref="C2:C3"/>
    <mergeCell ref="D2:E2"/>
    <mergeCell ref="F2: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B87A-0260-4B85-97E2-7B5AE7219184}">
  <dimension ref="A1:G9"/>
  <sheetViews>
    <sheetView zoomScale="63" zoomScaleNormal="63" workbookViewId="0">
      <selection activeCell="G5" sqref="G5"/>
    </sheetView>
  </sheetViews>
  <sheetFormatPr defaultColWidth="9.1796875" defaultRowHeight="14.5" x14ac:dyDescent="0.35"/>
  <cols>
    <col min="1" max="1" width="21.81640625" style="1" customWidth="1"/>
    <col min="2" max="2" width="6.81640625" style="13"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36" t="s">
        <v>142</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27" t="s">
        <v>5</v>
      </c>
      <c r="E3" s="27" t="s">
        <v>6</v>
      </c>
      <c r="F3" s="40"/>
      <c r="G3" s="27" t="s">
        <v>7</v>
      </c>
    </row>
    <row r="4" spans="1:7" ht="29" x14ac:dyDescent="0.35">
      <c r="A4" s="15" t="s">
        <v>143</v>
      </c>
      <c r="B4" s="6">
        <v>7</v>
      </c>
      <c r="C4" s="7" t="s">
        <v>144</v>
      </c>
      <c r="D4" s="9">
        <f>2*(70500+62200)</f>
        <v>265400</v>
      </c>
      <c r="E4" s="9"/>
      <c r="F4" s="3">
        <f>4*2*12</f>
        <v>96</v>
      </c>
      <c r="G4" s="7" t="s">
        <v>139</v>
      </c>
    </row>
    <row r="5" spans="1:7" ht="72.5" x14ac:dyDescent="0.35">
      <c r="A5" s="15" t="s">
        <v>145</v>
      </c>
      <c r="B5" s="6">
        <v>9</v>
      </c>
      <c r="C5" s="7" t="s">
        <v>146</v>
      </c>
      <c r="D5" s="8">
        <f>3*(70327.98+32572.94)+28670</f>
        <v>337372.76</v>
      </c>
      <c r="E5" s="8">
        <f>3*(654.08+302.94)+1.82*(6300)+(62151.05+215)</f>
        <v>76703.11</v>
      </c>
      <c r="F5" s="3">
        <f>10*2*12</f>
        <v>240</v>
      </c>
      <c r="G5" s="7" t="s">
        <v>162</v>
      </c>
    </row>
    <row r="6" spans="1:7" ht="43.5" x14ac:dyDescent="0.35">
      <c r="A6" s="15" t="s">
        <v>147</v>
      </c>
      <c r="B6" s="6">
        <v>5</v>
      </c>
      <c r="C6" s="7" t="s">
        <v>148</v>
      </c>
      <c r="D6" s="9">
        <f>2*(70500+62200)</f>
        <v>265400</v>
      </c>
      <c r="E6" s="9"/>
      <c r="F6" s="3">
        <f>4*2*12</f>
        <v>96</v>
      </c>
      <c r="G6" s="7" t="s">
        <v>149</v>
      </c>
    </row>
    <row r="7" spans="1:7" ht="31.5" customHeight="1" x14ac:dyDescent="0.35">
      <c r="A7" s="6"/>
      <c r="B7" s="6"/>
      <c r="C7" s="10"/>
      <c r="D7" s="9">
        <f>SUM(D4:D6)</f>
        <v>868172.76</v>
      </c>
      <c r="E7" s="9">
        <f>SUM(E4:E6)</f>
        <v>76703.11</v>
      </c>
      <c r="F7" s="11">
        <f>SUM(F4:F6)</f>
        <v>432</v>
      </c>
      <c r="G7" s="10"/>
    </row>
    <row r="8" spans="1:7" x14ac:dyDescent="0.35">
      <c r="A8" s="3"/>
      <c r="B8" s="6"/>
      <c r="C8" s="3"/>
      <c r="D8" s="12">
        <f>D7/500</f>
        <v>1736.3455200000001</v>
      </c>
      <c r="E8" s="12"/>
      <c r="F8" s="3"/>
      <c r="G8" s="3"/>
    </row>
    <row r="9" spans="1:7" x14ac:dyDescent="0.35">
      <c r="D9" s="12"/>
      <c r="E9" s="14">
        <f>E7+D8</f>
        <v>78439.455520000003</v>
      </c>
    </row>
  </sheetData>
  <mergeCells count="5">
    <mergeCell ref="A1:G1"/>
    <mergeCell ref="B2:B3"/>
    <mergeCell ref="C2:C3"/>
    <mergeCell ref="D2:E2"/>
    <mergeCell ref="F2:F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4186B-A6A9-4E59-A6C3-95C5933FEAC0}">
  <dimension ref="A1:G9"/>
  <sheetViews>
    <sheetView zoomScale="68" zoomScaleNormal="68" workbookViewId="0">
      <selection activeCell="G6" sqref="G6"/>
    </sheetView>
  </sheetViews>
  <sheetFormatPr defaultColWidth="9.1796875" defaultRowHeight="14.5" x14ac:dyDescent="0.35"/>
  <cols>
    <col min="1" max="1" width="21.81640625" style="1" customWidth="1"/>
    <col min="2" max="2" width="6.81640625" style="13"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36" t="s">
        <v>150</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27" t="s">
        <v>5</v>
      </c>
      <c r="E3" s="27" t="s">
        <v>6</v>
      </c>
      <c r="F3" s="40"/>
      <c r="G3" s="27" t="s">
        <v>7</v>
      </c>
    </row>
    <row r="4" spans="1:7" ht="58" x14ac:dyDescent="0.35">
      <c r="A4" s="15" t="s">
        <v>151</v>
      </c>
      <c r="B4" s="6">
        <v>10</v>
      </c>
      <c r="C4" s="7" t="s">
        <v>152</v>
      </c>
      <c r="D4" s="9">
        <f>2*(50007)+2*(62200)</f>
        <v>224414</v>
      </c>
      <c r="E4" s="8"/>
      <c r="F4" s="3">
        <f>2*2*12</f>
        <v>48</v>
      </c>
      <c r="G4" s="7" t="s">
        <v>136</v>
      </c>
    </row>
    <row r="5" spans="1:7" ht="29" x14ac:dyDescent="0.35">
      <c r="A5" s="15" t="s">
        <v>153</v>
      </c>
      <c r="B5" s="6">
        <v>10</v>
      </c>
      <c r="C5" s="7" t="s">
        <v>154</v>
      </c>
      <c r="D5" s="9">
        <f>2*(70500)+2*(62200)</f>
        <v>265400</v>
      </c>
      <c r="E5" s="8"/>
      <c r="F5" s="3">
        <f>2*2*12</f>
        <v>48</v>
      </c>
      <c r="G5" s="7" t="s">
        <v>149</v>
      </c>
    </row>
    <row r="6" spans="1:7" ht="72.5" x14ac:dyDescent="0.35">
      <c r="A6" s="30" t="s">
        <v>155</v>
      </c>
      <c r="B6" s="6">
        <v>12</v>
      </c>
      <c r="C6" s="10" t="s">
        <v>156</v>
      </c>
      <c r="D6" s="8">
        <f>2*(70327.98+32572.94)+28670</f>
        <v>234471.84</v>
      </c>
      <c r="E6" s="8">
        <f>2*(654.08+302.94)+1.82*(12500)+(62151.05+215)</f>
        <v>87030.09</v>
      </c>
      <c r="F6" s="3">
        <f>10*2*12</f>
        <v>240</v>
      </c>
      <c r="G6" s="7" t="s">
        <v>163</v>
      </c>
    </row>
    <row r="7" spans="1:7" ht="31.5" customHeight="1" x14ac:dyDescent="0.35">
      <c r="A7" s="6"/>
      <c r="B7" s="6"/>
      <c r="C7" s="10"/>
      <c r="D7" s="9">
        <f>SUM(D4:D6)</f>
        <v>724285.84</v>
      </c>
      <c r="E7" s="9">
        <f>SUM(E4:E6)</f>
        <v>87030.09</v>
      </c>
      <c r="F7" s="11">
        <f>SUM(F4:F6)</f>
        <v>336</v>
      </c>
      <c r="G7" s="10"/>
    </row>
    <row r="8" spans="1:7" x14ac:dyDescent="0.35">
      <c r="A8" s="3"/>
      <c r="B8" s="6"/>
      <c r="C8" s="3"/>
      <c r="D8" s="12">
        <f>D7/500</f>
        <v>1448.57168</v>
      </c>
      <c r="E8" s="12"/>
      <c r="F8" s="3"/>
      <c r="G8" s="3"/>
    </row>
    <row r="9" spans="1:7" x14ac:dyDescent="0.35">
      <c r="D9" s="12"/>
      <c r="E9" s="14">
        <f>E7+D8</f>
        <v>88478.66167999999</v>
      </c>
    </row>
  </sheetData>
  <mergeCells count="5">
    <mergeCell ref="A1:G1"/>
    <mergeCell ref="B2:B3"/>
    <mergeCell ref="C2:C3"/>
    <mergeCell ref="D2:E2"/>
    <mergeCell ref="F2: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68E6-AF53-4CD8-BF5A-E9EF2D597819}">
  <dimension ref="A1:G8"/>
  <sheetViews>
    <sheetView zoomScale="65" zoomScaleNormal="65" workbookViewId="0">
      <selection activeCell="F6" sqref="F6"/>
    </sheetView>
  </sheetViews>
  <sheetFormatPr defaultColWidth="9.1796875" defaultRowHeight="14.5" x14ac:dyDescent="0.35"/>
  <cols>
    <col min="1" max="1" width="21.81640625" style="1" customWidth="1"/>
    <col min="2" max="2" width="6.81640625" style="13" customWidth="1"/>
    <col min="3" max="3" width="40.36328125" style="1" customWidth="1"/>
    <col min="4" max="4" width="13.1796875" style="1" customWidth="1"/>
    <col min="5" max="5" width="13.26953125" style="1" customWidth="1"/>
    <col min="6" max="6" width="15.7265625" style="13" customWidth="1"/>
    <col min="7" max="7" width="80.81640625" style="1" customWidth="1"/>
    <col min="8" max="16384" width="9.1796875" style="1"/>
  </cols>
  <sheetData>
    <row r="1" spans="1:7" ht="15" thickBot="1" x14ac:dyDescent="0.4">
      <c r="A1" s="36" t="s">
        <v>164</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29" t="s">
        <v>5</v>
      </c>
      <c r="E3" s="29" t="s">
        <v>6</v>
      </c>
      <c r="F3" s="40"/>
      <c r="G3" s="29" t="s">
        <v>7</v>
      </c>
    </row>
    <row r="4" spans="1:7" ht="58" x14ac:dyDescent="0.35">
      <c r="A4" s="15" t="s">
        <v>165</v>
      </c>
      <c r="B4" s="6">
        <v>14</v>
      </c>
      <c r="C4" s="7" t="s">
        <v>166</v>
      </c>
      <c r="D4" s="8">
        <f>5*(70327.98+32572.94)+28670</f>
        <v>543174.6</v>
      </c>
      <c r="E4" s="8">
        <f>5*(654.08+302.94)+1.82*(12500)+(62151.05+215)</f>
        <v>89901.15</v>
      </c>
      <c r="F4" s="6">
        <f>14*12*5</f>
        <v>840</v>
      </c>
      <c r="G4" s="24" t="s">
        <v>167</v>
      </c>
    </row>
    <row r="5" spans="1:7" ht="58" x14ac:dyDescent="0.35">
      <c r="A5" s="15" t="s">
        <v>168</v>
      </c>
      <c r="B5" s="6">
        <v>14</v>
      </c>
      <c r="C5" s="7" t="s">
        <v>169</v>
      </c>
      <c r="D5" s="9">
        <f>2*(70500)+2*(62200)</f>
        <v>265400</v>
      </c>
      <c r="E5" s="8"/>
      <c r="F5" s="6">
        <f>2*2*8</f>
        <v>32</v>
      </c>
      <c r="G5" s="7" t="s">
        <v>149</v>
      </c>
    </row>
    <row r="6" spans="1:7" ht="31.5" customHeight="1" x14ac:dyDescent="0.35">
      <c r="A6" s="6"/>
      <c r="B6" s="6"/>
      <c r="C6" s="10"/>
      <c r="D6" s="9">
        <f>SUM(D4:D5)</f>
        <v>808574.6</v>
      </c>
      <c r="E6" s="9">
        <f>SUM(E4:E5)</f>
        <v>89901.15</v>
      </c>
      <c r="F6" s="35">
        <f>SUM(F4:F5)</f>
        <v>872</v>
      </c>
      <c r="G6" s="10"/>
    </row>
    <row r="7" spans="1:7" x14ac:dyDescent="0.35">
      <c r="A7" s="3"/>
      <c r="B7" s="6"/>
      <c r="C7" s="3"/>
      <c r="D7" s="12">
        <f>D6/500</f>
        <v>1617.1492000000001</v>
      </c>
      <c r="E7" s="12"/>
      <c r="F7" s="6"/>
      <c r="G7" s="3"/>
    </row>
    <row r="8" spans="1:7" x14ac:dyDescent="0.35">
      <c r="D8" s="12"/>
      <c r="E8" s="14">
        <f>E6+D7</f>
        <v>91518.299199999994</v>
      </c>
    </row>
  </sheetData>
  <mergeCells count="5">
    <mergeCell ref="A1:G1"/>
    <mergeCell ref="B2:B3"/>
    <mergeCell ref="C2:C3"/>
    <mergeCell ref="D2:E2"/>
    <mergeCell ref="F2: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25E1-15A6-44B8-8F02-817936E1888B}">
  <dimension ref="A1:G11"/>
  <sheetViews>
    <sheetView zoomScale="54" zoomScaleNormal="54" workbookViewId="0">
      <selection activeCell="G5" sqref="G5"/>
    </sheetView>
  </sheetViews>
  <sheetFormatPr defaultColWidth="9.1796875" defaultRowHeight="14.5" x14ac:dyDescent="0.35"/>
  <cols>
    <col min="1" max="1" width="21.81640625" style="1" customWidth="1"/>
    <col min="2" max="2" width="6.81640625" style="13"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36" t="s">
        <v>170</v>
      </c>
      <c r="B1" s="37"/>
      <c r="C1" s="37"/>
      <c r="D1" s="37"/>
      <c r="E1" s="37"/>
      <c r="F1" s="37"/>
      <c r="G1" s="38"/>
    </row>
    <row r="2" spans="1:7" x14ac:dyDescent="0.35">
      <c r="A2" s="2"/>
      <c r="B2" s="39" t="s">
        <v>0</v>
      </c>
      <c r="C2" s="40" t="s">
        <v>1</v>
      </c>
      <c r="D2" s="40" t="s">
        <v>2</v>
      </c>
      <c r="E2" s="40"/>
      <c r="F2" s="40" t="s">
        <v>3</v>
      </c>
      <c r="G2" s="3"/>
    </row>
    <row r="3" spans="1:7" x14ac:dyDescent="0.35">
      <c r="A3" s="4" t="s">
        <v>4</v>
      </c>
      <c r="B3" s="39"/>
      <c r="C3" s="40"/>
      <c r="D3" s="29" t="s">
        <v>5</v>
      </c>
      <c r="E3" s="29" t="s">
        <v>6</v>
      </c>
      <c r="F3" s="40"/>
      <c r="G3" s="29" t="s">
        <v>7</v>
      </c>
    </row>
    <row r="4" spans="1:7" ht="72.5" x14ac:dyDescent="0.35">
      <c r="A4" s="15" t="s">
        <v>171</v>
      </c>
      <c r="B4" s="6">
        <v>20</v>
      </c>
      <c r="C4" s="7" t="s">
        <v>172</v>
      </c>
      <c r="D4" s="8">
        <f>9*(70327.98+32572.94+219960+28670)</f>
        <v>3163778.28</v>
      </c>
      <c r="E4" s="8">
        <f>9*(654.08+302.94)+1.82*(6300)+(62151.05+215)</f>
        <v>82445.23000000001</v>
      </c>
      <c r="F4" s="3">
        <f>14*12*9</f>
        <v>1512</v>
      </c>
      <c r="G4" s="7" t="s">
        <v>173</v>
      </c>
    </row>
    <row r="5" spans="1:7" ht="58" x14ac:dyDescent="0.35">
      <c r="A5" s="15" t="s">
        <v>174</v>
      </c>
      <c r="B5" s="6">
        <v>20</v>
      </c>
      <c r="C5" s="7" t="s">
        <v>175</v>
      </c>
      <c r="D5" s="8">
        <f>4*(70327.98+32572.94+219960+28670)</f>
        <v>1406123.68</v>
      </c>
      <c r="E5" s="8">
        <f>4*(654.08+302.94)+1.82*(10000)+(62151.05+215)</f>
        <v>84394.13</v>
      </c>
      <c r="F5" s="3">
        <f>14*2*12</f>
        <v>336</v>
      </c>
      <c r="G5" s="7" t="s">
        <v>176</v>
      </c>
    </row>
    <row r="6" spans="1:7" ht="43.5" x14ac:dyDescent="0.35">
      <c r="A6" s="15" t="s">
        <v>177</v>
      </c>
      <c r="B6" s="6">
        <v>21</v>
      </c>
      <c r="C6" s="7" t="s">
        <v>178</v>
      </c>
      <c r="D6" s="8">
        <f>7*(70327.98+32572.94)</f>
        <v>720306.44</v>
      </c>
      <c r="E6" s="8">
        <f>7*(654.08+302.94)</f>
        <v>6699.1399999999994</v>
      </c>
      <c r="F6" s="3">
        <f>4*2*12</f>
        <v>96</v>
      </c>
      <c r="G6" s="7" t="s">
        <v>179</v>
      </c>
    </row>
    <row r="7" spans="1:7" ht="43.5" x14ac:dyDescent="0.35">
      <c r="A7" s="15" t="s">
        <v>180</v>
      </c>
      <c r="B7" s="6">
        <v>21</v>
      </c>
      <c r="C7" s="7" t="s">
        <v>181</v>
      </c>
      <c r="D7" s="8">
        <f>2*(462453.33)</f>
        <v>924906.66</v>
      </c>
      <c r="E7" s="8">
        <f>1.82*(3000)</f>
        <v>5460</v>
      </c>
      <c r="F7" s="3"/>
      <c r="G7" s="7" t="s">
        <v>182</v>
      </c>
    </row>
    <row r="8" spans="1:7" ht="72.5" x14ac:dyDescent="0.35">
      <c r="A8" s="15" t="s">
        <v>183</v>
      </c>
      <c r="B8" s="6">
        <v>20</v>
      </c>
      <c r="C8" s="7" t="s">
        <v>184</v>
      </c>
      <c r="D8" s="8">
        <f>2*(70327.98+32572.94)</f>
        <v>205801.84</v>
      </c>
      <c r="E8" s="8">
        <f>2*(654.08+302.94)</f>
        <v>1914.04</v>
      </c>
      <c r="F8" s="3">
        <f>14*2*12</f>
        <v>336</v>
      </c>
      <c r="G8" s="7" t="s">
        <v>185</v>
      </c>
    </row>
    <row r="9" spans="1:7" x14ac:dyDescent="0.35">
      <c r="A9" s="6"/>
      <c r="B9" s="6"/>
      <c r="C9" s="10"/>
      <c r="D9" s="9">
        <f>SUM(D4:D8)</f>
        <v>6420916.9000000004</v>
      </c>
      <c r="E9" s="9">
        <f>SUM(E4:E8)</f>
        <v>180912.54</v>
      </c>
      <c r="F9" s="11">
        <f>SUM(F4:F8)</f>
        <v>2280</v>
      </c>
      <c r="G9" s="10"/>
    </row>
    <row r="10" spans="1:7" x14ac:dyDescent="0.35">
      <c r="A10" s="3"/>
      <c r="B10" s="6"/>
      <c r="C10" s="3"/>
      <c r="D10" s="12">
        <f>D9/750</f>
        <v>8561.2225333333336</v>
      </c>
      <c r="E10" s="12"/>
      <c r="F10" s="3"/>
      <c r="G10" s="3"/>
    </row>
    <row r="11" spans="1:7" x14ac:dyDescent="0.35">
      <c r="D11" s="12"/>
      <c r="E11" s="14">
        <f>E9+D10</f>
        <v>189473.76253333333</v>
      </c>
    </row>
  </sheetData>
  <mergeCells count="5">
    <mergeCell ref="A1:G1"/>
    <mergeCell ref="B2:B3"/>
    <mergeCell ref="C2:C3"/>
    <mergeCell ref="D2:E2"/>
    <mergeCell ref="F2:F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35B7-E379-43AE-BDD3-09942058E145}">
  <dimension ref="A1:G9"/>
  <sheetViews>
    <sheetView zoomScale="65" zoomScaleNormal="65" workbookViewId="0">
      <selection activeCell="C7" sqref="C7"/>
    </sheetView>
  </sheetViews>
  <sheetFormatPr defaultColWidth="9.1796875" defaultRowHeight="14.5" x14ac:dyDescent="0.35"/>
  <cols>
    <col min="1" max="1" width="23.6328125" style="1" customWidth="1"/>
    <col min="2" max="2" width="6.81640625" style="13" customWidth="1"/>
    <col min="3" max="3" width="40.36328125" style="1" customWidth="1"/>
    <col min="4" max="4" width="16.08984375" style="1" customWidth="1"/>
    <col min="5" max="5" width="15.81640625" style="1" customWidth="1"/>
    <col min="6" max="6" width="16.54296875" style="1" customWidth="1"/>
    <col min="7" max="7" width="80.81640625" style="1" customWidth="1"/>
    <col min="8" max="16384" width="9.1796875" style="1"/>
  </cols>
  <sheetData>
    <row r="1" spans="1:7" ht="15" thickBot="1" x14ac:dyDescent="0.4">
      <c r="A1" s="36" t="s">
        <v>186</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29" t="s">
        <v>5</v>
      </c>
      <c r="E3" s="29" t="s">
        <v>6</v>
      </c>
      <c r="F3" s="40"/>
      <c r="G3" s="29" t="s">
        <v>7</v>
      </c>
    </row>
    <row r="4" spans="1:7" ht="58" x14ac:dyDescent="0.35">
      <c r="A4" s="30" t="s">
        <v>187</v>
      </c>
      <c r="B4" s="6">
        <v>23</v>
      </c>
      <c r="C4" s="10" t="s">
        <v>191</v>
      </c>
      <c r="D4" s="8">
        <f>2*(70327.98+32572.94)+28670</f>
        <v>234471.84</v>
      </c>
      <c r="E4" s="8">
        <f>2*(654.08+302.94)+1.82*(12500)+62151.05+215</f>
        <v>87030.09</v>
      </c>
      <c r="F4" s="3">
        <f>10*2*12</f>
        <v>240</v>
      </c>
      <c r="G4" s="7" t="s">
        <v>193</v>
      </c>
    </row>
    <row r="5" spans="1:7" ht="29" x14ac:dyDescent="0.35">
      <c r="A5" s="30" t="s">
        <v>188</v>
      </c>
      <c r="B5" s="6">
        <v>25</v>
      </c>
      <c r="C5" s="10" t="s">
        <v>189</v>
      </c>
      <c r="D5" s="8">
        <f>2*(462453.33)</f>
        <v>924906.66</v>
      </c>
      <c r="E5" s="8">
        <f>1.82*(3000)</f>
        <v>5460</v>
      </c>
      <c r="F5" s="3">
        <f>10*2*12</f>
        <v>240</v>
      </c>
      <c r="G5" s="7" t="s">
        <v>190</v>
      </c>
    </row>
    <row r="6" spans="1:7" ht="58" x14ac:dyDescent="0.35">
      <c r="A6" s="30" t="s">
        <v>39</v>
      </c>
      <c r="B6" s="6">
        <v>25</v>
      </c>
      <c r="C6" s="10" t="s">
        <v>192</v>
      </c>
      <c r="D6" s="8">
        <f>3*(70327.98+32572.94+55550)+28670</f>
        <v>504022.75999999995</v>
      </c>
      <c r="E6" s="8">
        <f>3*(654.08+302.94)+1.82*(6300)+62151.05+215</f>
        <v>76703.11</v>
      </c>
      <c r="F6" s="3">
        <f>10*2*12</f>
        <v>240</v>
      </c>
      <c r="G6" s="7" t="s">
        <v>194</v>
      </c>
    </row>
    <row r="7" spans="1:7" ht="31.5" customHeight="1" x14ac:dyDescent="0.35">
      <c r="A7" s="6"/>
      <c r="B7" s="6"/>
      <c r="C7" s="10"/>
      <c r="D7" s="9">
        <f>SUM(D4:D6)</f>
        <v>1663401.26</v>
      </c>
      <c r="E7" s="9">
        <f>SUM(E4:E6)</f>
        <v>169193.2</v>
      </c>
      <c r="F7" s="11">
        <f>SUM(F4:F5)</f>
        <v>480</v>
      </c>
      <c r="G7" s="7"/>
    </row>
    <row r="8" spans="1:7" x14ac:dyDescent="0.35">
      <c r="A8" s="3"/>
      <c r="B8" s="6"/>
      <c r="C8" s="3"/>
      <c r="D8" s="12">
        <f>D7/750</f>
        <v>2217.8683466666666</v>
      </c>
      <c r="E8" s="12"/>
      <c r="F8" s="3"/>
      <c r="G8" s="3"/>
    </row>
    <row r="9" spans="1:7" x14ac:dyDescent="0.35">
      <c r="D9" s="12"/>
      <c r="E9" s="14">
        <f>E7+D8</f>
        <v>171411.06834666667</v>
      </c>
    </row>
  </sheetData>
  <mergeCells count="5">
    <mergeCell ref="A1:G1"/>
    <mergeCell ref="B2:B3"/>
    <mergeCell ref="C2:C3"/>
    <mergeCell ref="D2:E2"/>
    <mergeCell ref="F2:F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F76D-45CD-4DD3-A4AC-F9BD43971B34}">
  <dimension ref="B3:C8"/>
  <sheetViews>
    <sheetView workbookViewId="0">
      <selection activeCell="D13" sqref="D13"/>
    </sheetView>
  </sheetViews>
  <sheetFormatPr defaultRowHeight="14.5" x14ac:dyDescent="0.35"/>
  <cols>
    <col min="2" max="2" width="10" customWidth="1"/>
    <col min="3" max="3" width="12.26953125" customWidth="1"/>
  </cols>
  <sheetData>
    <row r="3" spans="2:3" ht="15" thickBot="1" x14ac:dyDescent="0.4"/>
    <row r="4" spans="2:3" x14ac:dyDescent="0.35">
      <c r="B4" s="16" t="s">
        <v>52</v>
      </c>
      <c r="C4" s="17" t="s">
        <v>51</v>
      </c>
    </row>
    <row r="5" spans="2:3" x14ac:dyDescent="0.35">
      <c r="B5" s="18" t="s">
        <v>157</v>
      </c>
      <c r="C5" s="32">
        <v>155404.87</v>
      </c>
    </row>
    <row r="6" spans="2:3" x14ac:dyDescent="0.35">
      <c r="B6" s="18" t="s">
        <v>158</v>
      </c>
      <c r="C6" s="31">
        <v>78439.460000000006</v>
      </c>
    </row>
    <row r="7" spans="2:3" x14ac:dyDescent="0.35">
      <c r="B7" s="18" t="s">
        <v>159</v>
      </c>
      <c r="C7" s="31">
        <v>88478.66</v>
      </c>
    </row>
    <row r="8" spans="2:3" ht="15" thickBot="1" x14ac:dyDescent="0.4">
      <c r="B8" s="20" t="s">
        <v>53</v>
      </c>
      <c r="C8" s="21">
        <f>SUM(C5:C7)</f>
        <v>322322.99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D9AE-874A-48D8-88E2-0F88FA924024}">
  <dimension ref="A1:G11"/>
  <sheetViews>
    <sheetView topLeftCell="A5" workbookViewId="0">
      <selection activeCell="C4" sqref="C4"/>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46</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43.5" x14ac:dyDescent="0.35">
      <c r="A4" s="15">
        <v>3007</v>
      </c>
      <c r="B4" s="6">
        <v>20</v>
      </c>
      <c r="C4" s="7" t="s">
        <v>28</v>
      </c>
      <c r="D4" s="8">
        <f>3*(70327.98+32572.94)</f>
        <v>308702.76</v>
      </c>
      <c r="E4" s="8">
        <f>3*(654.08+302.94)+(1.82*12000)</f>
        <v>24711.06</v>
      </c>
      <c r="F4" s="3">
        <f>14*3*12</f>
        <v>504</v>
      </c>
      <c r="G4" s="7" t="s">
        <v>29</v>
      </c>
    </row>
    <row r="5" spans="1:7" ht="43.5" x14ac:dyDescent="0.35">
      <c r="A5" s="15">
        <v>2979</v>
      </c>
      <c r="B5" s="6">
        <v>19</v>
      </c>
      <c r="C5" s="7" t="s">
        <v>30</v>
      </c>
      <c r="D5" s="8">
        <f>2*(70327.98+32572.94)</f>
        <v>205801.84</v>
      </c>
      <c r="E5" s="8">
        <f>2*(654.08+302.94)+(1.82*12000)</f>
        <v>23754.04</v>
      </c>
      <c r="F5" s="3">
        <f>14*2*12</f>
        <v>336</v>
      </c>
      <c r="G5" s="7" t="s">
        <v>31</v>
      </c>
    </row>
    <row r="6" spans="1:7" ht="43.5" x14ac:dyDescent="0.35">
      <c r="A6" s="15" t="s">
        <v>32</v>
      </c>
      <c r="B6" s="6">
        <v>21</v>
      </c>
      <c r="C6" s="7" t="s">
        <v>33</v>
      </c>
      <c r="D6" s="8">
        <f>2*(70327.98+32572.94)</f>
        <v>205801.84</v>
      </c>
      <c r="E6" s="8">
        <f>2*(654.08+302.94)+(1.82*8800)</f>
        <v>17930.04</v>
      </c>
      <c r="F6" s="3">
        <f>14*2*12</f>
        <v>336</v>
      </c>
      <c r="G6" s="7" t="s">
        <v>34</v>
      </c>
    </row>
    <row r="7" spans="1:7" ht="43.5" x14ac:dyDescent="0.35">
      <c r="A7" s="15">
        <v>2966</v>
      </c>
      <c r="B7" s="6">
        <v>21</v>
      </c>
      <c r="C7" s="7" t="s">
        <v>35</v>
      </c>
      <c r="D7" s="8">
        <f>2*(70327.98+32572.94)</f>
        <v>205801.84</v>
      </c>
      <c r="E7" s="8">
        <f>2*(654.08+302.94)+(1.82*12000)</f>
        <v>23754.04</v>
      </c>
      <c r="F7" s="3">
        <f>14*2*12</f>
        <v>336</v>
      </c>
      <c r="G7" s="7" t="s">
        <v>36</v>
      </c>
    </row>
    <row r="8" spans="1:7" ht="58" x14ac:dyDescent="0.35">
      <c r="A8" s="15">
        <v>3073</v>
      </c>
      <c r="B8" s="6">
        <v>22</v>
      </c>
      <c r="C8" s="7" t="s">
        <v>37</v>
      </c>
      <c r="D8" s="8">
        <f>3*(70327.98+32572.94)</f>
        <v>308702.76</v>
      </c>
      <c r="E8" s="8">
        <f>3*(654.08+302.94)+(1.82*12000)</f>
        <v>24711.06</v>
      </c>
      <c r="F8" s="3">
        <f>14*3*12</f>
        <v>504</v>
      </c>
      <c r="G8" s="7" t="s">
        <v>38</v>
      </c>
    </row>
    <row r="9" spans="1:7" ht="31.5" customHeight="1" x14ac:dyDescent="0.35">
      <c r="A9" s="6"/>
      <c r="B9" s="6"/>
      <c r="C9" s="10"/>
      <c r="D9" s="9">
        <f>SUM(D4:D8)</f>
        <v>1234811.04</v>
      </c>
      <c r="E9" s="9">
        <f>SUM(E4:E8)</f>
        <v>114860.24000000002</v>
      </c>
      <c r="F9" s="11">
        <f>SUM(F4:F8)</f>
        <v>2016</v>
      </c>
      <c r="G9" s="10"/>
    </row>
    <row r="10" spans="1:7" x14ac:dyDescent="0.35">
      <c r="A10" s="3"/>
      <c r="B10" s="6"/>
      <c r="C10" s="3"/>
      <c r="D10" s="12">
        <f>D9/500</f>
        <v>2469.6220800000001</v>
      </c>
      <c r="E10" s="12"/>
      <c r="F10" s="3"/>
      <c r="G10" s="3"/>
    </row>
    <row r="11" spans="1:7" x14ac:dyDescent="0.35">
      <c r="D11" s="12"/>
      <c r="E11" s="14">
        <f>E9+D10</f>
        <v>117329.86208000002</v>
      </c>
    </row>
  </sheetData>
  <mergeCells count="5">
    <mergeCell ref="A1:G1"/>
    <mergeCell ref="B2:B3"/>
    <mergeCell ref="C2:C3"/>
    <mergeCell ref="D2:E2"/>
    <mergeCell ref="F2:F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6B62-15EC-4F73-8ED4-E82B7B0DCF24}">
  <dimension ref="B2:C7"/>
  <sheetViews>
    <sheetView tabSelected="1" workbookViewId="0">
      <selection activeCell="C13" sqref="C13"/>
    </sheetView>
  </sheetViews>
  <sheetFormatPr defaultRowHeight="14.5" x14ac:dyDescent="0.35"/>
  <cols>
    <col min="3" max="3" width="15.1796875" customWidth="1"/>
  </cols>
  <sheetData>
    <row r="2" spans="2:3" ht="15" thickBot="1" x14ac:dyDescent="0.4"/>
    <row r="3" spans="2:3" x14ac:dyDescent="0.35">
      <c r="B3" s="16" t="s">
        <v>52</v>
      </c>
      <c r="C3" s="33" t="s">
        <v>51</v>
      </c>
    </row>
    <row r="4" spans="2:3" x14ac:dyDescent="0.35">
      <c r="B4" s="18" t="s">
        <v>48</v>
      </c>
      <c r="C4" s="31">
        <v>91518.3</v>
      </c>
    </row>
    <row r="5" spans="2:3" x14ac:dyDescent="0.35">
      <c r="B5" s="18" t="s">
        <v>49</v>
      </c>
      <c r="C5" s="31">
        <v>189473.76</v>
      </c>
    </row>
    <row r="6" spans="2:3" x14ac:dyDescent="0.35">
      <c r="B6" s="18" t="s">
        <v>50</v>
      </c>
      <c r="C6" s="31">
        <v>171411.07</v>
      </c>
    </row>
    <row r="7" spans="2:3" ht="15" thickBot="1" x14ac:dyDescent="0.4">
      <c r="B7" s="20" t="s">
        <v>53</v>
      </c>
      <c r="C7" s="34">
        <f>SUM(C4:C6)</f>
        <v>452403.13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B425D-7086-4C6F-86ED-66F0B3EABE8C}">
  <dimension ref="A1:G8"/>
  <sheetViews>
    <sheetView workbookViewId="0">
      <selection sqref="A1:G1"/>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47</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29" x14ac:dyDescent="0.35">
      <c r="A4" s="15" t="s">
        <v>39</v>
      </c>
      <c r="B4" s="6">
        <v>26</v>
      </c>
      <c r="C4" s="7" t="s">
        <v>40</v>
      </c>
      <c r="D4" s="8">
        <f>3*(70327.98+32572.94)</f>
        <v>308702.76</v>
      </c>
      <c r="E4" s="8">
        <f>3*(654.08+302.94)</f>
        <v>2871.06</v>
      </c>
      <c r="F4" s="3">
        <f>14*3*12</f>
        <v>504</v>
      </c>
      <c r="G4" s="7" t="s">
        <v>41</v>
      </c>
    </row>
    <row r="5" spans="1:7" ht="43.5" x14ac:dyDescent="0.35">
      <c r="A5" s="15" t="s">
        <v>42</v>
      </c>
      <c r="B5" s="6">
        <v>26</v>
      </c>
      <c r="C5" s="7" t="s">
        <v>43</v>
      </c>
      <c r="D5" s="8">
        <f>3*(70327.98+32572.94)</f>
        <v>308702.76</v>
      </c>
      <c r="E5" s="8">
        <f>3*(654.08+302.94)+(1.82*12000)</f>
        <v>24711.06</v>
      </c>
      <c r="F5" s="3">
        <f>14*2*12</f>
        <v>336</v>
      </c>
      <c r="G5" s="7" t="s">
        <v>44</v>
      </c>
    </row>
    <row r="6" spans="1:7" ht="31.5" customHeight="1" x14ac:dyDescent="0.35">
      <c r="A6" s="6"/>
      <c r="B6" s="6"/>
      <c r="C6" s="10"/>
      <c r="D6" s="9">
        <f>SUM(D4:D5)</f>
        <v>617405.52</v>
      </c>
      <c r="E6" s="9">
        <f>SUM(E4:E5)</f>
        <v>27582.120000000003</v>
      </c>
      <c r="F6" s="11">
        <f>SUM(F4:F5)</f>
        <v>840</v>
      </c>
      <c r="G6" s="10"/>
    </row>
    <row r="7" spans="1:7" x14ac:dyDescent="0.35">
      <c r="A7" s="3"/>
      <c r="B7" s="6"/>
      <c r="C7" s="3"/>
      <c r="D7" s="12">
        <f>D6/500</f>
        <v>1234.81104</v>
      </c>
      <c r="E7" s="12"/>
      <c r="F7" s="3"/>
      <c r="G7" s="3"/>
    </row>
    <row r="8" spans="1:7" x14ac:dyDescent="0.35">
      <c r="D8" s="12"/>
      <c r="E8" s="14">
        <f>E6+D7</f>
        <v>28816.931040000003</v>
      </c>
    </row>
  </sheetData>
  <mergeCells count="5">
    <mergeCell ref="A1:G1"/>
    <mergeCell ref="B2:B3"/>
    <mergeCell ref="C2:C3"/>
    <mergeCell ref="D2:E2"/>
    <mergeCell ref="F2: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009-0330-4B59-A563-AF7036C72943}">
  <dimension ref="C3:D8"/>
  <sheetViews>
    <sheetView workbookViewId="0">
      <selection activeCell="F16" sqref="F16"/>
    </sheetView>
  </sheetViews>
  <sheetFormatPr defaultRowHeight="14.5" x14ac:dyDescent="0.35"/>
  <cols>
    <col min="4" max="4" width="10.453125" customWidth="1"/>
  </cols>
  <sheetData>
    <row r="3" spans="3:4" ht="15" thickBot="1" x14ac:dyDescent="0.4"/>
    <row r="4" spans="3:4" x14ac:dyDescent="0.35">
      <c r="C4" s="16" t="s">
        <v>52</v>
      </c>
      <c r="D4" s="17" t="s">
        <v>51</v>
      </c>
    </row>
    <row r="5" spans="3:4" x14ac:dyDescent="0.35">
      <c r="C5" s="18" t="s">
        <v>48</v>
      </c>
      <c r="D5" s="19">
        <v>105514.08</v>
      </c>
    </row>
    <row r="6" spans="3:4" x14ac:dyDescent="0.35">
      <c r="C6" s="18" t="s">
        <v>49</v>
      </c>
      <c r="D6" s="19">
        <v>117329.86</v>
      </c>
    </row>
    <row r="7" spans="3:4" x14ac:dyDescent="0.35">
      <c r="C7" s="18" t="s">
        <v>50</v>
      </c>
      <c r="D7" s="19">
        <v>28816.93</v>
      </c>
    </row>
    <row r="8" spans="3:4" ht="15" thickBot="1" x14ac:dyDescent="0.4">
      <c r="C8" s="20" t="s">
        <v>53</v>
      </c>
      <c r="D8" s="21">
        <f>SUM(D5:D7)</f>
        <v>251660.87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3BBB-8960-4A6B-9212-3537F13DD1FB}">
  <dimension ref="A1:G8"/>
  <sheetViews>
    <sheetView zoomScale="66" zoomScaleNormal="66" workbookViewId="0">
      <selection activeCell="E10" sqref="E10"/>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54</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43.5" x14ac:dyDescent="0.35">
      <c r="A4" s="15" t="s">
        <v>39</v>
      </c>
      <c r="B4" s="6">
        <v>28</v>
      </c>
      <c r="C4" s="7" t="s">
        <v>55</v>
      </c>
      <c r="D4" s="8">
        <f>3*(70327.98+32572.94+462453)</f>
        <v>1696061.7600000002</v>
      </c>
      <c r="E4" s="8">
        <f>3*(654.08+302.94)+1.82*(12500)</f>
        <v>25621.06</v>
      </c>
      <c r="F4" s="3">
        <f>14*3*12</f>
        <v>504</v>
      </c>
      <c r="G4" s="7" t="s">
        <v>56</v>
      </c>
    </row>
    <row r="5" spans="1:7" ht="29" x14ac:dyDescent="0.35">
      <c r="A5" s="15" t="s">
        <v>39</v>
      </c>
      <c r="B5" s="6">
        <v>29</v>
      </c>
      <c r="C5" s="7" t="s">
        <v>57</v>
      </c>
      <c r="D5" s="8">
        <f>2*(462453)</f>
        <v>924906</v>
      </c>
      <c r="E5" s="8">
        <f>(1.82*5000)</f>
        <v>9100</v>
      </c>
      <c r="F5" s="3">
        <f>10*2*12</f>
        <v>240</v>
      </c>
      <c r="G5" s="7" t="s">
        <v>58</v>
      </c>
    </row>
    <row r="6" spans="1:7" ht="31.5" customHeight="1" x14ac:dyDescent="0.35">
      <c r="A6" s="6"/>
      <c r="B6" s="6"/>
      <c r="C6" s="10"/>
      <c r="D6" s="9">
        <f>SUM(D4:D5)</f>
        <v>2620967.7600000002</v>
      </c>
      <c r="E6" s="9">
        <f>SUM(E4:E5)</f>
        <v>34721.06</v>
      </c>
      <c r="F6" s="11">
        <f>SUM(F4:F5)</f>
        <v>744</v>
      </c>
      <c r="G6" s="10"/>
    </row>
    <row r="7" spans="1:7" x14ac:dyDescent="0.35">
      <c r="A7" s="3"/>
      <c r="B7" s="6"/>
      <c r="C7" s="3"/>
      <c r="D7" s="12">
        <f>D6/500</f>
        <v>5241.9355200000009</v>
      </c>
      <c r="E7" s="12"/>
      <c r="F7" s="3"/>
      <c r="G7" s="3"/>
    </row>
    <row r="8" spans="1:7" x14ac:dyDescent="0.35">
      <c r="D8" s="12"/>
      <c r="E8" s="14">
        <f>E6+D7</f>
        <v>39962.995519999997</v>
      </c>
    </row>
  </sheetData>
  <mergeCells count="5">
    <mergeCell ref="A1:G1"/>
    <mergeCell ref="B2:B3"/>
    <mergeCell ref="C2:C3"/>
    <mergeCell ref="D2:E2"/>
    <mergeCell ref="F2: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A694-8076-4E6D-BB8C-4F851A3CD230}">
  <dimension ref="A1:G16"/>
  <sheetViews>
    <sheetView topLeftCell="A4" zoomScale="54" zoomScaleNormal="54" workbookViewId="0">
      <selection activeCell="G13" sqref="G13"/>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60</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43.5" x14ac:dyDescent="0.35">
      <c r="A4" s="15">
        <v>2964</v>
      </c>
      <c r="B4" s="6">
        <v>36</v>
      </c>
      <c r="C4" s="7" t="s">
        <v>61</v>
      </c>
      <c r="D4" s="8">
        <f>3*(462453)</f>
        <v>1387359</v>
      </c>
      <c r="E4" s="8">
        <f>1.82*(5000)</f>
        <v>9100</v>
      </c>
      <c r="F4" s="3">
        <f>10*3*12</f>
        <v>360</v>
      </c>
      <c r="G4" s="7" t="s">
        <v>62</v>
      </c>
    </row>
    <row r="5" spans="1:7" ht="58" x14ac:dyDescent="0.35">
      <c r="A5" s="15">
        <v>3401</v>
      </c>
      <c r="B5" s="6">
        <v>37</v>
      </c>
      <c r="C5" s="7" t="s">
        <v>63</v>
      </c>
      <c r="D5" s="8">
        <f>2*(70327.98+32572.94+462453)</f>
        <v>1130707.8400000001</v>
      </c>
      <c r="E5" s="8">
        <f>2*(654.08+302.94)+1.82*(8800)</f>
        <v>17930.04</v>
      </c>
      <c r="F5" s="3">
        <f>14*2*12</f>
        <v>336</v>
      </c>
      <c r="G5" s="7" t="s">
        <v>64</v>
      </c>
    </row>
    <row r="6" spans="1:7" ht="43.5" x14ac:dyDescent="0.35">
      <c r="A6" s="15">
        <v>3401</v>
      </c>
      <c r="B6" s="6">
        <v>36</v>
      </c>
      <c r="C6" s="7" t="s">
        <v>65</v>
      </c>
      <c r="D6" s="8">
        <f>2*(70327.98+32572.94+462453)</f>
        <v>1130707.8400000001</v>
      </c>
      <c r="E6" s="8">
        <f>2*(654.08+302.94)+1.82*(8800)</f>
        <v>17930.04</v>
      </c>
      <c r="F6" s="3">
        <f>14*2*12</f>
        <v>336</v>
      </c>
      <c r="G6" s="24" t="s">
        <v>66</v>
      </c>
    </row>
    <row r="7" spans="1:7" ht="58" x14ac:dyDescent="0.35">
      <c r="A7" s="15">
        <v>3267</v>
      </c>
      <c r="B7" s="6">
        <v>37</v>
      </c>
      <c r="C7" s="7" t="s">
        <v>67</v>
      </c>
      <c r="D7" s="8">
        <f>2*(70327.98+32572.94+462453)</f>
        <v>1130707.8400000001</v>
      </c>
      <c r="E7" s="8">
        <f>2*(654.08+302.94)+1.82*(8800)</f>
        <v>17930.04</v>
      </c>
      <c r="F7" s="3">
        <f>14*2*12</f>
        <v>336</v>
      </c>
      <c r="G7" s="24" t="s">
        <v>68</v>
      </c>
    </row>
    <row r="8" spans="1:7" ht="58" x14ac:dyDescent="0.35">
      <c r="A8" s="15">
        <v>3325</v>
      </c>
      <c r="B8" s="6">
        <v>37</v>
      </c>
      <c r="C8" s="7" t="s">
        <v>69</v>
      </c>
      <c r="D8" s="8">
        <f>3*(462453)</f>
        <v>1387359</v>
      </c>
      <c r="E8" s="8">
        <f>1.82*(8800)</f>
        <v>16016</v>
      </c>
      <c r="F8" s="3">
        <f>14*2*12</f>
        <v>336</v>
      </c>
      <c r="G8" s="7" t="s">
        <v>70</v>
      </c>
    </row>
    <row r="9" spans="1:7" ht="58" x14ac:dyDescent="0.35">
      <c r="A9" s="15">
        <v>3444</v>
      </c>
      <c r="B9" s="6">
        <v>39</v>
      </c>
      <c r="C9" s="10" t="s">
        <v>71</v>
      </c>
      <c r="D9" s="9">
        <f>2*(2*70500+2*62200)</f>
        <v>530800</v>
      </c>
      <c r="E9" s="9"/>
      <c r="F9" s="3">
        <f>14*2*8</f>
        <v>224</v>
      </c>
      <c r="G9" s="23" t="s">
        <v>72</v>
      </c>
    </row>
    <row r="10" spans="1:7" ht="43.5" x14ac:dyDescent="0.35">
      <c r="A10" s="15">
        <v>3275</v>
      </c>
      <c r="B10" s="6">
        <v>39</v>
      </c>
      <c r="C10" s="10" t="s">
        <v>73</v>
      </c>
      <c r="D10" s="8">
        <f>3*(462453)</f>
        <v>1387359</v>
      </c>
      <c r="E10" s="8">
        <f>1.82*(7000)</f>
        <v>12740</v>
      </c>
      <c r="F10" s="3">
        <f>10*3*12</f>
        <v>360</v>
      </c>
      <c r="G10" s="23" t="s">
        <v>74</v>
      </c>
    </row>
    <row r="11" spans="1:7" ht="43.5" x14ac:dyDescent="0.35">
      <c r="A11" s="15">
        <v>3439</v>
      </c>
      <c r="B11" s="6">
        <v>39</v>
      </c>
      <c r="C11" s="10" t="s">
        <v>75</v>
      </c>
      <c r="D11" s="8">
        <f>3*(70327.98+462453)</f>
        <v>1598342.94</v>
      </c>
      <c r="E11" s="8">
        <f>2*(654.08)+1.82*(12500)</f>
        <v>24058.16</v>
      </c>
      <c r="F11" s="3">
        <f>14*2*12</f>
        <v>336</v>
      </c>
      <c r="G11" s="23" t="s">
        <v>76</v>
      </c>
    </row>
    <row r="12" spans="1:7" ht="43.5" x14ac:dyDescent="0.35">
      <c r="A12" s="15">
        <v>3422</v>
      </c>
      <c r="B12" s="6">
        <v>38</v>
      </c>
      <c r="C12" s="10" t="s">
        <v>77</v>
      </c>
      <c r="D12" s="9">
        <f>2*(50007)+2*(62200)</f>
        <v>224414</v>
      </c>
      <c r="E12" s="9"/>
      <c r="F12" s="3">
        <f>6*2*8</f>
        <v>96</v>
      </c>
      <c r="G12" s="23" t="s">
        <v>59</v>
      </c>
    </row>
    <row r="13" spans="1:7" ht="43.5" x14ac:dyDescent="0.35">
      <c r="A13" s="6">
        <v>3481</v>
      </c>
      <c r="B13" s="6">
        <v>38</v>
      </c>
      <c r="C13" s="10" t="s">
        <v>78</v>
      </c>
      <c r="D13" s="9">
        <f>2*(50007)+2*(62200)</f>
        <v>224414</v>
      </c>
      <c r="E13" s="9"/>
      <c r="F13" s="3">
        <f>6*2*8</f>
        <v>96</v>
      </c>
      <c r="G13" s="23" t="s">
        <v>59</v>
      </c>
    </row>
    <row r="14" spans="1:7" ht="31.5" customHeight="1" x14ac:dyDescent="0.35">
      <c r="A14" s="6"/>
      <c r="B14" s="6"/>
      <c r="C14" s="10"/>
      <c r="D14" s="9">
        <f>SUM(D4:D13)</f>
        <v>10132171.459999999</v>
      </c>
      <c r="E14" s="9">
        <f>SUM(E4:E13)</f>
        <v>115704.28</v>
      </c>
      <c r="F14" s="11">
        <f>SUM(F4:F13)</f>
        <v>2816</v>
      </c>
      <c r="G14" s="10"/>
    </row>
    <row r="15" spans="1:7" x14ac:dyDescent="0.35">
      <c r="A15" s="3"/>
      <c r="B15" s="6"/>
      <c r="C15" s="3"/>
      <c r="D15" s="12">
        <f>D14/500</f>
        <v>20264.342919999999</v>
      </c>
      <c r="E15" s="12"/>
      <c r="F15" s="3"/>
      <c r="G15" s="3"/>
    </row>
    <row r="16" spans="1:7" x14ac:dyDescent="0.35">
      <c r="D16" s="12"/>
      <c r="E16" s="14">
        <f>E14+D15</f>
        <v>135968.62291999999</v>
      </c>
    </row>
  </sheetData>
  <mergeCells count="5">
    <mergeCell ref="A1:G1"/>
    <mergeCell ref="B2:B3"/>
    <mergeCell ref="C2:C3"/>
    <mergeCell ref="D2:E2"/>
    <mergeCell ref="F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589EF-25B2-4B77-9B98-D2CE81C73660}">
  <dimension ref="A1:G11"/>
  <sheetViews>
    <sheetView zoomScale="63" zoomScaleNormal="63" workbookViewId="0">
      <selection activeCell="F4" sqref="F4"/>
    </sheetView>
  </sheetViews>
  <sheetFormatPr defaultColWidth="9.1796875" defaultRowHeight="14.5" x14ac:dyDescent="0.35"/>
  <cols>
    <col min="1" max="1" width="23.453125" style="1" customWidth="1"/>
    <col min="2" max="2" width="6.81640625" style="13" customWidth="1"/>
    <col min="3" max="3" width="42.1796875" style="1" customWidth="1"/>
    <col min="4" max="4" width="16.08984375" style="1" customWidth="1"/>
    <col min="5" max="5" width="12.6328125" style="1" customWidth="1"/>
    <col min="6" max="6" width="16.54296875" style="1" customWidth="1"/>
    <col min="7" max="7" width="82.08984375" style="1" customWidth="1"/>
    <col min="8" max="16384" width="9.1796875" style="1"/>
  </cols>
  <sheetData>
    <row r="1" spans="1:7" ht="15" thickBot="1" x14ac:dyDescent="0.4">
      <c r="A1" s="36" t="s">
        <v>47</v>
      </c>
      <c r="B1" s="37"/>
      <c r="C1" s="37"/>
      <c r="D1" s="37"/>
      <c r="E1" s="37"/>
      <c r="F1" s="37"/>
      <c r="G1" s="38"/>
    </row>
    <row r="2" spans="1:7" ht="32.25" customHeight="1" x14ac:dyDescent="0.35">
      <c r="A2" s="2"/>
      <c r="B2" s="39" t="s">
        <v>0</v>
      </c>
      <c r="C2" s="40" t="s">
        <v>1</v>
      </c>
      <c r="D2" s="40" t="s">
        <v>2</v>
      </c>
      <c r="E2" s="40"/>
      <c r="F2" s="40" t="s">
        <v>3</v>
      </c>
      <c r="G2" s="3"/>
    </row>
    <row r="3" spans="1:7" ht="29.25" customHeight="1" x14ac:dyDescent="0.35">
      <c r="A3" s="4" t="s">
        <v>4</v>
      </c>
      <c r="B3" s="39"/>
      <c r="C3" s="40"/>
      <c r="D3" s="5" t="s">
        <v>5</v>
      </c>
      <c r="E3" s="5" t="s">
        <v>6</v>
      </c>
      <c r="F3" s="40"/>
      <c r="G3" s="5" t="s">
        <v>7</v>
      </c>
    </row>
    <row r="4" spans="1:7" ht="58" x14ac:dyDescent="0.35">
      <c r="A4" s="15">
        <v>3501</v>
      </c>
      <c r="B4" s="6">
        <v>40</v>
      </c>
      <c r="C4" s="25" t="s">
        <v>79</v>
      </c>
      <c r="D4" s="8">
        <f>5*(70327.98+32572.94)</f>
        <v>514504.6</v>
      </c>
      <c r="E4" s="8">
        <f>5*(654.08+302.94)</f>
        <v>4785.1000000000004</v>
      </c>
      <c r="F4" s="3">
        <f>4*5*12</f>
        <v>240</v>
      </c>
      <c r="G4" s="7" t="s">
        <v>80</v>
      </c>
    </row>
    <row r="5" spans="1:7" ht="43.5" x14ac:dyDescent="0.35">
      <c r="A5" s="15">
        <v>3074</v>
      </c>
      <c r="B5" s="6">
        <v>40</v>
      </c>
      <c r="C5" s="25" t="s">
        <v>81</v>
      </c>
      <c r="D5" s="9">
        <f>3*(462453)</f>
        <v>1387359</v>
      </c>
      <c r="E5" s="8">
        <f>1.1*(7000)</f>
        <v>7700.0000000000009</v>
      </c>
      <c r="F5" s="3">
        <f>10*3*12</f>
        <v>360</v>
      </c>
      <c r="G5" s="7" t="s">
        <v>82</v>
      </c>
    </row>
    <row r="6" spans="1:7" ht="43.5" x14ac:dyDescent="0.35">
      <c r="A6" s="15">
        <v>3590</v>
      </c>
      <c r="B6" s="6">
        <v>42</v>
      </c>
      <c r="C6" s="25" t="s">
        <v>83</v>
      </c>
      <c r="D6" s="8">
        <f>3*(70327.98+32572.94)</f>
        <v>308702.76</v>
      </c>
      <c r="E6" s="8">
        <f>3*(654.08+302.94)</f>
        <v>2871.06</v>
      </c>
      <c r="F6" s="3">
        <f>4*5*12</f>
        <v>240</v>
      </c>
      <c r="G6" s="7" t="s">
        <v>84</v>
      </c>
    </row>
    <row r="7" spans="1:7" ht="43.5" x14ac:dyDescent="0.35">
      <c r="A7" s="15">
        <v>3490</v>
      </c>
      <c r="B7" s="6">
        <v>40</v>
      </c>
      <c r="C7" s="10" t="s">
        <v>85</v>
      </c>
      <c r="D7" s="8">
        <f>2*(70327.98+32572.94+462453)</f>
        <v>1130707.8400000001</v>
      </c>
      <c r="E7" s="8">
        <f>2*(654.08+302.94)+1.1*(12500)</f>
        <v>15664.04</v>
      </c>
      <c r="F7" s="3"/>
      <c r="G7" s="23" t="s">
        <v>86</v>
      </c>
    </row>
    <row r="8" spans="1:7" ht="43.5" x14ac:dyDescent="0.35">
      <c r="A8" s="15" t="s">
        <v>89</v>
      </c>
      <c r="B8" s="6">
        <v>40</v>
      </c>
      <c r="C8" s="10" t="s">
        <v>87</v>
      </c>
      <c r="D8" s="9">
        <f>2*(462453)</f>
        <v>924906</v>
      </c>
      <c r="E8" s="8">
        <f>1.1*(7000)</f>
        <v>7700.0000000000009</v>
      </c>
      <c r="F8" s="3">
        <f>10*3*12</f>
        <v>360</v>
      </c>
      <c r="G8" s="10" t="s">
        <v>88</v>
      </c>
    </row>
    <row r="9" spans="1:7" ht="31.5" customHeight="1" x14ac:dyDescent="0.35">
      <c r="A9" s="6"/>
      <c r="B9" s="6"/>
      <c r="C9" s="10"/>
      <c r="D9" s="9">
        <f>SUM(D4:D8)</f>
        <v>4266180.2</v>
      </c>
      <c r="E9" s="9">
        <f>SUM(E4:E8)</f>
        <v>38720.200000000004</v>
      </c>
      <c r="F9" s="11">
        <f>SUM(F4:F8)</f>
        <v>1200</v>
      </c>
      <c r="G9" s="10"/>
    </row>
    <row r="10" spans="1:7" x14ac:dyDescent="0.35">
      <c r="A10" s="3"/>
      <c r="B10" s="6"/>
      <c r="C10" s="3"/>
      <c r="D10" s="12">
        <f>D9/500</f>
        <v>8532.3603999999996</v>
      </c>
      <c r="E10" s="12"/>
      <c r="F10" s="3"/>
      <c r="G10" s="3"/>
    </row>
    <row r="11" spans="1:7" x14ac:dyDescent="0.35">
      <c r="D11" s="12"/>
      <c r="E11" s="14">
        <f>E9+D10</f>
        <v>47252.560400000002</v>
      </c>
    </row>
  </sheetData>
  <mergeCells count="5">
    <mergeCell ref="A1:G1"/>
    <mergeCell ref="B2:B3"/>
    <mergeCell ref="C2:C3"/>
    <mergeCell ref="D2:E2"/>
    <mergeCell ref="F2: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AD7A-881F-408B-9181-429D5646E190}">
  <dimension ref="D3:E8"/>
  <sheetViews>
    <sheetView workbookViewId="0">
      <selection activeCell="H13" sqref="H13"/>
    </sheetView>
  </sheetViews>
  <sheetFormatPr defaultRowHeight="14.5" x14ac:dyDescent="0.35"/>
  <cols>
    <col min="4" max="4" width="10.453125" customWidth="1"/>
    <col min="5" max="5" width="12.453125" customWidth="1"/>
  </cols>
  <sheetData>
    <row r="3" spans="4:5" ht="15" thickBot="1" x14ac:dyDescent="0.4"/>
    <row r="4" spans="4:5" x14ac:dyDescent="0.35">
      <c r="D4" s="16" t="s">
        <v>52</v>
      </c>
      <c r="E4" s="17" t="s">
        <v>51</v>
      </c>
    </row>
    <row r="5" spans="4:5" x14ac:dyDescent="0.35">
      <c r="D5" s="18" t="s">
        <v>90</v>
      </c>
      <c r="E5" s="19">
        <v>39963</v>
      </c>
    </row>
    <row r="6" spans="4:5" x14ac:dyDescent="0.35">
      <c r="D6" s="18" t="s">
        <v>91</v>
      </c>
      <c r="E6" s="19">
        <v>135968.62</v>
      </c>
    </row>
    <row r="7" spans="4:5" x14ac:dyDescent="0.35">
      <c r="D7" s="18" t="s">
        <v>92</v>
      </c>
      <c r="E7" s="19">
        <v>47252.56</v>
      </c>
    </row>
    <row r="8" spans="4:5" ht="15" thickBot="1" x14ac:dyDescent="0.4">
      <c r="D8" s="20" t="s">
        <v>53</v>
      </c>
      <c r="E8" s="21">
        <f>SUM(E5:E7)</f>
        <v>223184.18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8DF3-1A26-4C6D-AD70-C82B4135E5AA}">
  <dimension ref="A1:G22"/>
  <sheetViews>
    <sheetView topLeftCell="A7" workbookViewId="0">
      <selection activeCell="D11" sqref="D11"/>
    </sheetView>
  </sheetViews>
  <sheetFormatPr defaultRowHeight="14.5" x14ac:dyDescent="0.35"/>
  <cols>
    <col min="3" max="3" width="28.26953125" customWidth="1"/>
    <col min="4" max="4" width="12.90625" customWidth="1"/>
    <col min="5" max="5" width="11.1796875" customWidth="1"/>
    <col min="7" max="7" width="50.453125" customWidth="1"/>
  </cols>
  <sheetData>
    <row r="1" spans="1:7" ht="15" thickBot="1" x14ac:dyDescent="0.4">
      <c r="A1" s="36" t="s">
        <v>93</v>
      </c>
      <c r="B1" s="37"/>
      <c r="C1" s="37"/>
      <c r="D1" s="37"/>
      <c r="E1" s="37"/>
      <c r="F1" s="37"/>
      <c r="G1" s="38"/>
    </row>
    <row r="2" spans="1:7" x14ac:dyDescent="0.35">
      <c r="A2" s="2"/>
      <c r="B2" s="39" t="s">
        <v>0</v>
      </c>
      <c r="C2" s="40" t="s">
        <v>1</v>
      </c>
      <c r="D2" s="40" t="s">
        <v>2</v>
      </c>
      <c r="E2" s="40"/>
      <c r="F2" s="40" t="s">
        <v>3</v>
      </c>
      <c r="G2" s="3"/>
    </row>
    <row r="3" spans="1:7" x14ac:dyDescent="0.35">
      <c r="A3" s="4" t="s">
        <v>4</v>
      </c>
      <c r="B3" s="39"/>
      <c r="C3" s="40"/>
      <c r="D3" s="22" t="s">
        <v>5</v>
      </c>
      <c r="E3" s="22" t="s">
        <v>6</v>
      </c>
      <c r="F3" s="40"/>
      <c r="G3" s="22" t="s">
        <v>7</v>
      </c>
    </row>
    <row r="4" spans="1:7" ht="74.5" customHeight="1" x14ac:dyDescent="0.35">
      <c r="A4" s="15">
        <v>3432</v>
      </c>
      <c r="B4" s="6">
        <v>44</v>
      </c>
      <c r="C4" s="7" t="s">
        <v>94</v>
      </c>
      <c r="D4" s="8">
        <f>2*(462453)</f>
        <v>924906</v>
      </c>
      <c r="E4" s="8">
        <f>(1.82*5000)</f>
        <v>9100</v>
      </c>
      <c r="F4" s="3">
        <f>10*2*12</f>
        <v>240</v>
      </c>
      <c r="G4" s="7" t="s">
        <v>95</v>
      </c>
    </row>
    <row r="5" spans="1:7" ht="74.5" customHeight="1" x14ac:dyDescent="0.35">
      <c r="A5" s="15" t="s">
        <v>39</v>
      </c>
      <c r="B5" s="6">
        <v>44</v>
      </c>
      <c r="C5" s="7" t="s">
        <v>96</v>
      </c>
      <c r="D5" s="8">
        <f>2*(70327.98+32572.94)</f>
        <v>205801.84</v>
      </c>
      <c r="E5" s="8">
        <f>2*(654.08+302.94)+1.82*(3800)</f>
        <v>8830.0400000000009</v>
      </c>
      <c r="F5" s="3">
        <f>3*2*12</f>
        <v>72</v>
      </c>
      <c r="G5" s="7" t="s">
        <v>97</v>
      </c>
    </row>
    <row r="6" spans="1:7" ht="74.5" customHeight="1" x14ac:dyDescent="0.35">
      <c r="A6" s="15">
        <v>3778</v>
      </c>
      <c r="B6" s="6">
        <v>43</v>
      </c>
      <c r="C6" s="7" t="s">
        <v>98</v>
      </c>
      <c r="D6" s="8">
        <f>2*(70327.98)</f>
        <v>140655.96</v>
      </c>
      <c r="E6" s="8">
        <f>2*(654.08)</f>
        <v>1308.1600000000001</v>
      </c>
      <c r="F6" s="3">
        <f>4*2*12</f>
        <v>96</v>
      </c>
      <c r="G6" s="7" t="s">
        <v>99</v>
      </c>
    </row>
    <row r="7" spans="1:7" ht="74.5" customHeight="1" x14ac:dyDescent="0.35">
      <c r="A7" s="15">
        <v>3714</v>
      </c>
      <c r="B7" s="6">
        <v>44</v>
      </c>
      <c r="C7" s="10" t="s">
        <v>100</v>
      </c>
      <c r="D7" s="9">
        <f>2*(50007)+2*(62200)</f>
        <v>224414</v>
      </c>
      <c r="E7" s="9"/>
      <c r="F7" s="3">
        <f>6*2*8</f>
        <v>96</v>
      </c>
      <c r="G7" s="23" t="s">
        <v>59</v>
      </c>
    </row>
    <row r="8" spans="1:7" ht="96.5" customHeight="1" x14ac:dyDescent="0.35">
      <c r="A8" s="15">
        <v>3640</v>
      </c>
      <c r="B8" s="6">
        <v>44</v>
      </c>
      <c r="C8" s="10" t="s">
        <v>101</v>
      </c>
      <c r="D8" s="8">
        <f>2*(70327.98+32572.94+462453)</f>
        <v>1130707.8400000001</v>
      </c>
      <c r="E8" s="8">
        <f>2*(654.08+302.94)+1.82*(8800)</f>
        <v>17930.04</v>
      </c>
      <c r="F8" s="3">
        <f>14*2*12</f>
        <v>336</v>
      </c>
      <c r="G8" s="7" t="s">
        <v>102</v>
      </c>
    </row>
    <row r="9" spans="1:7" ht="74.5" customHeight="1" x14ac:dyDescent="0.35">
      <c r="A9" s="6">
        <v>3785</v>
      </c>
      <c r="B9" s="6">
        <v>44</v>
      </c>
      <c r="C9" s="10" t="s">
        <v>103</v>
      </c>
      <c r="D9" s="8">
        <f>2*(70327.98+32572.94+462453)</f>
        <v>1130707.8400000001</v>
      </c>
      <c r="E9" s="8">
        <f>2*(654.08+302.94)+1.82*(8800)</f>
        <v>17930.04</v>
      </c>
      <c r="F9" s="3">
        <f>14*2*12</f>
        <v>336</v>
      </c>
      <c r="G9" s="7" t="s">
        <v>104</v>
      </c>
    </row>
    <row r="10" spans="1:7" x14ac:dyDescent="0.35">
      <c r="A10" s="6"/>
      <c r="B10" s="6"/>
      <c r="C10" s="10"/>
      <c r="D10" s="9">
        <f>SUM(D4:D9)</f>
        <v>3757193.4800000004</v>
      </c>
      <c r="E10" s="9">
        <f>SUM(E4:E9)</f>
        <v>55098.280000000006</v>
      </c>
      <c r="F10" s="11">
        <f>SUM(F4:F9)</f>
        <v>1176</v>
      </c>
      <c r="G10" s="10"/>
    </row>
    <row r="11" spans="1:7" x14ac:dyDescent="0.35">
      <c r="A11" s="3"/>
      <c r="B11" s="6"/>
      <c r="C11" s="3"/>
      <c r="D11" s="12">
        <f>D10/500</f>
        <v>7514.3869600000007</v>
      </c>
      <c r="E11" s="12"/>
      <c r="F11" s="3"/>
      <c r="G11" s="3"/>
    </row>
    <row r="12" spans="1:7" x14ac:dyDescent="0.35">
      <c r="A12" s="1"/>
      <c r="B12" s="13"/>
      <c r="C12" s="1"/>
      <c r="D12" s="12"/>
      <c r="E12" s="14">
        <f>E10+D11</f>
        <v>62612.66696000001</v>
      </c>
      <c r="F12" s="1"/>
      <c r="G12" s="1"/>
    </row>
    <row r="13" spans="1:7" x14ac:dyDescent="0.35">
      <c r="A13" s="1"/>
      <c r="B13" s="13"/>
      <c r="C13" s="1"/>
      <c r="D13" s="1"/>
      <c r="E13" s="1"/>
      <c r="F13" s="1"/>
      <c r="G13" s="1"/>
    </row>
    <row r="14" spans="1:7" x14ac:dyDescent="0.35">
      <c r="A14" s="1"/>
      <c r="B14" s="13"/>
      <c r="C14" s="1"/>
      <c r="D14" s="1"/>
      <c r="E14" s="1"/>
      <c r="F14" s="1"/>
      <c r="G14" s="1"/>
    </row>
    <row r="15" spans="1:7" x14ac:dyDescent="0.35">
      <c r="A15" s="1"/>
      <c r="B15" s="13"/>
      <c r="C15" s="1"/>
      <c r="D15" s="1"/>
      <c r="E15" s="1"/>
      <c r="F15" s="1"/>
      <c r="G15" s="1"/>
    </row>
    <row r="16" spans="1:7" x14ac:dyDescent="0.35">
      <c r="A16" s="1"/>
      <c r="B16" s="13"/>
      <c r="C16" s="1"/>
      <c r="D16" s="1"/>
      <c r="E16" s="1"/>
      <c r="F16" s="1"/>
      <c r="G16" s="1"/>
    </row>
    <row r="17" spans="1:7" x14ac:dyDescent="0.35">
      <c r="A17" s="1"/>
      <c r="B17" s="13"/>
      <c r="C17" s="1"/>
      <c r="D17" s="1"/>
      <c r="E17" s="1"/>
      <c r="F17" s="1"/>
      <c r="G17" s="1"/>
    </row>
    <row r="18" spans="1:7" x14ac:dyDescent="0.35">
      <c r="A18" s="1"/>
      <c r="B18" s="13"/>
      <c r="C18" s="1"/>
      <c r="D18" s="1"/>
      <c r="E18" s="1"/>
      <c r="F18" s="1"/>
      <c r="G18" s="1"/>
    </row>
    <row r="19" spans="1:7" x14ac:dyDescent="0.35">
      <c r="A19" s="1"/>
      <c r="B19" s="13"/>
      <c r="C19" s="1"/>
      <c r="D19" s="1"/>
      <c r="E19" s="1"/>
      <c r="F19" s="1"/>
      <c r="G19" s="1"/>
    </row>
    <row r="20" spans="1:7" x14ac:dyDescent="0.35">
      <c r="A20" s="1"/>
      <c r="B20" s="13"/>
      <c r="C20" s="1"/>
      <c r="D20" s="1"/>
      <c r="E20" s="1"/>
      <c r="F20" s="1"/>
      <c r="G20" s="1"/>
    </row>
    <row r="21" spans="1:7" x14ac:dyDescent="0.35">
      <c r="A21" s="1"/>
      <c r="B21" s="13"/>
      <c r="C21" s="1"/>
      <c r="D21" s="1"/>
      <c r="E21" s="1"/>
      <c r="F21" s="1"/>
      <c r="G21" s="1"/>
    </row>
    <row r="22" spans="1:7" x14ac:dyDescent="0.35">
      <c r="A22" s="1"/>
      <c r="B22" s="13"/>
      <c r="C22" s="1"/>
      <c r="D22" s="1"/>
      <c r="E22" s="1"/>
      <c r="F22" s="1"/>
      <c r="G22" s="1"/>
    </row>
  </sheetData>
  <mergeCells count="5">
    <mergeCell ref="A1:G1"/>
    <mergeCell ref="B2:B3"/>
    <mergeCell ref="C2:C3"/>
    <mergeCell ref="D2:E2"/>
    <mergeCell ref="F2:F3"/>
  </mergeCells>
  <pageMargins left="0.7" right="0.7" top="0.75" bottom="0.75" header="0.3" footer="0.3"/>
</worksheet>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APRIL 23</vt:lpstr>
      <vt:lpstr>MAY 23</vt:lpstr>
      <vt:lpstr>JUNE 23</vt:lpstr>
      <vt:lpstr>Q_2 TOTAL</vt:lpstr>
      <vt:lpstr>JULY 23</vt:lpstr>
      <vt:lpstr>AUGUST 23</vt:lpstr>
      <vt:lpstr>SEPT 23</vt:lpstr>
      <vt:lpstr>Q 3 TOTAL</vt:lpstr>
      <vt:lpstr>OCT 23</vt:lpstr>
      <vt:lpstr>NOV 23</vt:lpstr>
      <vt:lpstr>DEC_23</vt:lpstr>
      <vt:lpstr>Q 4 TOTAL</vt:lpstr>
      <vt:lpstr>JAN 24</vt:lpstr>
      <vt:lpstr>FEB 24</vt:lpstr>
      <vt:lpstr>MAR 24</vt:lpstr>
      <vt:lpstr>APRIL 24</vt:lpstr>
      <vt:lpstr>MAY 24</vt:lpstr>
      <vt:lpstr>JUNE 24</vt:lpstr>
      <vt:lpstr>Q1 2024 TOTAL</vt:lpstr>
      <vt:lpstr>Q2 2024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Adetila, Samuel S SPDC-UPC/G/USLE</dc:creator>
  <cp:lastModifiedBy>Mark, Enyo SPDC-IUC/G/UWH</cp:lastModifiedBy>
  <dcterms:created xsi:type="dcterms:W3CDTF">2023-07-01T20:27:20Z</dcterms:created>
  <dcterms:modified xsi:type="dcterms:W3CDTF">2024-08-22T08:36:46Z</dcterms:modified>
</cp:coreProperties>
</file>