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Georgewill\Desktop\AMIS work\cadence\milk run\"/>
    </mc:Choice>
  </mc:AlternateContent>
  <xr:revisionPtr revIDLastSave="0" documentId="13_ncr:1_{4D426896-6956-4663-B088-96E2C09A3C1D}" xr6:coauthVersionLast="47" xr6:coauthVersionMax="47" xr10:uidLastSave="{00000000-0000-0000-0000-000000000000}"/>
  <bookViews>
    <workbookView xWindow="420" yWindow="408" windowWidth="19176" windowHeight="10200" activeTab="2" xr2:uid="{57FD772B-743D-4D73-BB58-7EA548EE7A59}"/>
  </bookViews>
  <sheets>
    <sheet name="JAN_23" sheetId="1" r:id="rId1"/>
    <sheet name="FEB_23" sheetId="2" r:id="rId2"/>
    <sheet name="MAR_2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3" l="1"/>
  <c r="D10" i="2"/>
  <c r="D10" i="3"/>
  <c r="D12" i="1"/>
  <c r="F6" i="3"/>
  <c r="E4" i="3"/>
  <c r="F4" i="3"/>
  <c r="D6" i="3"/>
  <c r="E6" i="3"/>
  <c r="D4" i="3"/>
  <c r="D8" i="3"/>
  <c r="F8" i="3"/>
  <c r="D7" i="3" l="1"/>
  <c r="F7" i="3"/>
  <c r="E5" i="3"/>
  <c r="D5" i="3"/>
  <c r="F5" i="3"/>
  <c r="E8" i="2" l="1"/>
  <c r="D8" i="2"/>
  <c r="F8" i="2"/>
  <c r="F4" i="2"/>
  <c r="F6" i="2"/>
  <c r="F7" i="2"/>
  <c r="E7" i="2"/>
  <c r="D7" i="2"/>
  <c r="E6" i="2"/>
  <c r="E4" i="2"/>
  <c r="E5" i="2"/>
  <c r="D5" i="2"/>
  <c r="F9" i="3" l="1"/>
  <c r="D9" i="3"/>
  <c r="E9" i="3"/>
  <c r="F9" i="2"/>
  <c r="E9" i="2"/>
  <c r="D9" i="2"/>
  <c r="D7" i="1"/>
  <c r="D6" i="1"/>
  <c r="D5" i="1"/>
  <c r="F10" i="1"/>
  <c r="D10" i="1"/>
  <c r="D9" i="1"/>
  <c r="D8" i="1"/>
  <c r="F8" i="1"/>
  <c r="F9" i="1"/>
  <c r="F6" i="1"/>
  <c r="E6" i="1"/>
  <c r="F5" i="1"/>
  <c r="E5" i="1"/>
  <c r="E4" i="1"/>
  <c r="D4" i="1"/>
  <c r="F4" i="1"/>
  <c r="E11" i="3" l="1"/>
  <c r="E11" i="2"/>
  <c r="F7" i="1"/>
  <c r="F11" i="1" s="1"/>
  <c r="E7" i="1"/>
  <c r="E11" i="1" s="1"/>
  <c r="D11" i="1"/>
  <c r="E13" i="1" l="1"/>
</calcChain>
</file>

<file path=xl/sharedStrings.xml><?xml version="1.0" encoding="utf-8"?>
<sst xmlns="http://schemas.openxmlformats.org/spreadsheetml/2006/main" count="81" uniqueCount="64">
  <si>
    <t>Week</t>
  </si>
  <si>
    <t>Logistics Service Request description</t>
  </si>
  <si>
    <t>Amount Saved through Integrated Scheduling Decisions</t>
  </si>
  <si>
    <t>Amount of Hours Risk Exposure reduced through Integrated Scheduling Decisions</t>
  </si>
  <si>
    <t>MMR NO</t>
  </si>
  <si>
    <t>N</t>
  </si>
  <si>
    <t>$</t>
  </si>
  <si>
    <t>Remark</t>
  </si>
  <si>
    <t xml:space="preserve">Flatbed that brought materials to Warri was used to deliver this item to Port harcourt. Saved cost of mobilizing  separate flatbed at N70,500  for two days and cost of  security escort at N62,200 per day( Lead &amp; chase) for 2 days </t>
  </si>
  <si>
    <t>Request for fuel barge and tug boat for AGO delivery to Opukushi, Benisede, Ogbotobo and Tunu. 70k liters each.</t>
  </si>
  <si>
    <t>2445_damilola.ajayi</t>
  </si>
  <si>
    <t>LOAD TUNU MATERIALS FROM PRODUCTION STORE ONTO EBIS III BARGE/ MV FAVOUR-5. MATERIALS</t>
  </si>
  <si>
    <t>2522_oyindamola.lawal</t>
  </si>
  <si>
    <t xml:space="preserve">MOVE ALTERNATOR 72RE 23069045    FROM IA OGUNU WORKSHOP FOR LOADING ONTO AVAILABLE BARGE TO FOT. </t>
  </si>
  <si>
    <t>2489_oyindamola.lawal</t>
  </si>
  <si>
    <t>MATERIAL MOVEMENT OF DRONE ITEMS FROM IA OGUNU WARRI TO IA PORT HARCOURT</t>
  </si>
  <si>
    <t>2462_irene.i.bello</t>
  </si>
  <si>
    <t>To move 40drums of Foam compound from Warri warehouse to PHC warehouse</t>
  </si>
  <si>
    <t>2464_f.james</t>
  </si>
  <si>
    <t>This alternator and other materials needed urgently in FOT were delivered with Joetek Nurse, a project's vessel transiting throguh FOT. Saved cost of mobilization  of tug at (N70327.98, $654.08) Ramp at (N32572.94, $302.94) for 2 days, 3,800Liters of AGO for Tug and 5,600 liters of AGO for MPV</t>
  </si>
  <si>
    <t>Fuel barge being used at Ogunu was used to deliver this urgent request to Tunu node. Saved cost of hiring tugboat at  (N70327.98, $654.08) and fuel barge at (N37,015.29, $344.25) for 5 days.</t>
  </si>
  <si>
    <t>REQUEST FOR PHC LAND LOGISTICS TO MOVE TUNU MATERIALS PO 4510480955; FROM PHC IA WAREHOUSE TO OGUNU IA WARRI WITH NEXT PHC-WAR ROAD</t>
  </si>
  <si>
    <t>2492_oyindamola.lawal</t>
  </si>
  <si>
    <t>By ILS decision, these materials needed to unlock production at Tunu were loaded on barge moving materials to BR301 Rig. Saved cost of mobilizing tug at (N70327.98, $654.08) Ramp at (N32572.94, $302.94) for 3 days, 5,000Liters of AGO for Tug and 7,800 liters of AGO for MPV</t>
  </si>
  <si>
    <t xml:space="preserve">Baby mack that brought materials to Warri was used to deliver this item to Port harcourt. Saved cost of mobilizing  separate flatbed at N50,105  for two days and cost of  security escort at N62,200 per day( Lead &amp; chase) for 2 days </t>
  </si>
  <si>
    <t>Gaskets for Bonga Deluge Skids (S-6150A)</t>
  </si>
  <si>
    <t xml:space="preserve">Baby mack that brought materials to Warri was used to deliver critical Bonga materials to Port harcourt. Saved cost of mobilizing  separatebaby mack at N50,105  for two days and cost of  security escort at N62,200 per day( Lead &amp; chase) for 2 days </t>
  </si>
  <si>
    <t>Avoidance of Cost and Risk exposure for JANUARY 2023</t>
  </si>
  <si>
    <t>MMR  for 1 no house boat from Seibou to Ogunu</t>
  </si>
  <si>
    <t>2566_j.akpabio</t>
  </si>
  <si>
    <t>2543_oyindamola.lawal</t>
  </si>
  <si>
    <t>VESSELS TO MOVE WELLS MATERIALS TO ESCRAVOS WELL-5 INCIDENT SITE</t>
  </si>
  <si>
    <t>FOT  PMS barge waiting for re-fill  was used to move materials to Escravos incident site. Saved cost of mobilization  of tug at (N70327.98, $654.08) Ramp at (N32572.94, $302.94) for 6 days.</t>
  </si>
  <si>
    <t>2447_kesiena.modjota</t>
  </si>
  <si>
    <t>Logistics request for a tug boat and ramp barge to move Solar tools to Otumara</t>
  </si>
  <si>
    <t>The barge that conveyed these materials was used to drop off gen sets for Escravos station. Saved cost of mobilization  of tug at (N70327.98, $654.08) Ramp at (N32572.94, $302.94) for 1 day, 3,800Liters of AGO for Tug and 5,600 liters of AGO for MPV at $1.82</t>
  </si>
  <si>
    <t>PROVISION OF FUEL TRUCK TO DELIVER 40,000 LITRES OF AGO TO OPUKUSHI AND OGBOTOBO (20,000L TO EACH LOCATION)</t>
  </si>
  <si>
    <t>2554_deimy.oneil</t>
  </si>
  <si>
    <t>Escort deployed to demob God first houseboat from Seibou used to demob landing craft(Johanesco ) from Ogbotobo to Ogunu. Saved cost of 7,800 Liters of AGO that should have been given to a separate JTF MPV.</t>
  </si>
  <si>
    <t>Tunu  PMS barge waiting for re-fill  was used to supply AGO to Opukushi and Ogbotobo. Saved cost of mobilization  of tug at (N70327.98, $654.08) Ramp at (N32572.94, $302.94) for 3 days.</t>
  </si>
  <si>
    <t>_2498_oyindamola.lawal</t>
  </si>
  <si>
    <t>MACK TRUCK TO SUPPORT MOVEMENT OF AIR RECEIVER VESSEL FROM SAGHARA TO OTUMARA</t>
  </si>
  <si>
    <t>Trough ILS decision, barge deployed for solar engine installation was used to deliver this request. Saved cost of mobilization  of tug at (N70327.98, $654.08) Ramp at (N32572.94, $302.94) for 1 day</t>
  </si>
  <si>
    <t>Twenty drums of mysella oil from the warehouse to I.A Jetty and to be loaded on the barge for on ward  movement to TUNU</t>
  </si>
  <si>
    <t>2747_philo.akpovwovwo</t>
  </si>
  <si>
    <t>PROVIDE MARINE EQUIPMENT TO CONVEY FYIP MATERIALS TO SOUTH BANK/ SOUTH BANK</t>
  </si>
  <si>
    <t>1958_okechukwu.onwukwe</t>
  </si>
  <si>
    <t>MARINE EQUIPMENT TO MOVE PROJECT MATERIALS, CRANE AND SELF LOADER FROM OGUNU TO TUNU. PLEASE CHARGE</t>
  </si>
  <si>
    <t>2725_okechukwu.onwukwe</t>
  </si>
  <si>
    <t xml:space="preserve"> logistic support to move Chemicals and Lube oil from Warri Warehouse to Soku Gas Plant.</t>
  </si>
  <si>
    <t>2717_taofeek.adeleke</t>
  </si>
  <si>
    <t xml:space="preserve">Flatbed &amp; baby mack that brought materials to Warri was used to deliver this item to Port harcourt. Saved cost of mobilizing  separate flatbed at N70,500  for two days and cost of  security escort at N62,200 per day( Lead &amp; chase) for 2 days </t>
  </si>
  <si>
    <t>HELIUM GAS (1000837714I) &amp; REFRIGERANT GAS CALLOUT FOR BONGA</t>
  </si>
  <si>
    <t>2715_nnaemeka.ndigwe</t>
  </si>
  <si>
    <t xml:space="preserve">Self loader that brought materials to Warri was used to deliver this item to Port harcourt. Saved cost of mobilizing separate self loader at N50,007  for two days and cost of  security escort at N62,200 per day( Lead &amp; chase) for 2 days </t>
  </si>
  <si>
    <t>Barge used to deliver crane to project site at Tunu was used to deliver these drums for Asset. Saved cost of mobilization  of tug at (N70327.98, $654.08) Ramp at (N32572.94, $302.94) for 2 days.</t>
  </si>
  <si>
    <t>Through ILS decision, Tugboat attached to a waiting PMS combo and ramp barge from rig were used to deliver crane to project site. Saved cost of mobilization  of tug at (N70327.98, $654.08) Ramp at (N32572.94, $302.94) for 6 days</t>
  </si>
  <si>
    <t>Convoy was used to deliver Asset materials to North bank and Item for HDE -FSPM2 to Forcados. Saved cost of mobilization  of tug at (N70327.98, $654.08) Ramp at (N32572.94, $302.94) for 2 days, 3,800Liters of AGO for Tug and 5,600 liters of AGO for MPV at $1.82</t>
  </si>
  <si>
    <t>These materials were deliverd with the use of TUNU PMS combo (barge &amp; tugboat) while the tanker was at the depot . Saved cost of mobilization  of tug at (N70327.98, $654.08) Ramp at (N32572.94, $302.94) for 2 days, 3,800Liters of AGO for Tug and 5,600 liters of AGO for MPV</t>
  </si>
  <si>
    <t>Avoidance of Cost and Risk exposure for FEBRUARY 2023</t>
  </si>
  <si>
    <t>Avoidance of Cost and Risk exposure for MARCH 2023</t>
  </si>
  <si>
    <t>Exchange Rate/$:</t>
  </si>
  <si>
    <t>Exchange rate/$</t>
  </si>
  <si>
    <t>FYLE (minus Pilotage)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</si>
</sst>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9" x14ac:knownFonts="1">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0"/>
      <color theme="1"/>
      <name val="Calibri"/>
      <family val="2"/>
    </font>
    <font>
      <sz val="10"/>
      <color theme="1"/>
      <name val="Calibri"/>
      <family val="2"/>
    </font>
    <font>
      <sz val="10"/>
      <name val="Calibri"/>
      <family val="2"/>
    </font>
    <font>
      <b/>
      <sz val="9"/>
      <color theme="1"/>
      <name val="Calibri"/>
      <family val="2"/>
    </font>
    <font>
      <sz val="8"/>
      <color theme="1"/>
      <name val="Calibri"/>
      <family val="2"/>
    </font>
  </fonts>
  <fills count="3">
    <fill>
      <patternFill patternType="none"/>
    </fill>
    <fill>
      <patternFill patternType="gray125"/>
    </fill>
    <fill>
      <patternFill patternType="solid">
        <fgColor theme="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50">
    <xf numFmtId="0" fontId="0" fillId="0" borderId="0" xfId="0"/>
    <xf numFmtId="0" fontId="3" fillId="2" borderId="0" xfId="0" applyFont="1" applyFill="1"/>
    <xf numFmtId="0" fontId="3" fillId="2" borderId="4" xfId="0" applyFont="1" applyFill="1" applyBorder="1" applyAlignment="1">
      <alignment horizontal="center"/>
    </xf>
    <xf numFmtId="0" fontId="3" fillId="2" borderId="5" xfId="0" applyFont="1" applyFill="1" applyBorder="1"/>
    <xf numFmtId="0" fontId="2" fillId="2" borderId="4" xfId="0" applyFont="1" applyFill="1" applyBorder="1" applyAlignment="1">
      <alignment horizontal="center"/>
    </xf>
    <xf numFmtId="0" fontId="2" fillId="2" borderId="5" xfId="0" applyFont="1" applyFill="1" applyBorder="1" applyAlignment="1">
      <alignment horizontal="center"/>
    </xf>
    <xf numFmtId="0" fontId="3" fillId="2" borderId="5" xfId="0" applyFont="1" applyFill="1" applyBorder="1" applyAlignment="1">
      <alignment horizontal="center"/>
    </xf>
    <xf numFmtId="43" fontId="3" fillId="2" borderId="5" xfId="1" applyFont="1" applyFill="1" applyBorder="1"/>
    <xf numFmtId="0" fontId="3" fillId="2" borderId="5" xfId="0" applyFont="1" applyFill="1" applyBorder="1" applyAlignment="1">
      <alignment horizontal="left" vertical="center" wrapText="1"/>
    </xf>
    <xf numFmtId="0" fontId="3" fillId="2" borderId="5" xfId="0" applyFont="1" applyFill="1" applyBorder="1" applyAlignment="1">
      <alignment wrapText="1"/>
    </xf>
    <xf numFmtId="43" fontId="3" fillId="2" borderId="5" xfId="0" applyNumberFormat="1" applyFont="1" applyFill="1" applyBorder="1"/>
    <xf numFmtId="0" fontId="3" fillId="2" borderId="0" xfId="0" applyFont="1" applyFill="1" applyAlignment="1">
      <alignment horizontal="center"/>
    </xf>
    <xf numFmtId="43" fontId="2" fillId="2" borderId="5" xfId="0" applyNumberFormat="1" applyFont="1" applyFill="1" applyBorder="1"/>
    <xf numFmtId="0" fontId="2" fillId="2" borderId="5" xfId="0" applyFont="1" applyFill="1" applyBorder="1" applyAlignment="1">
      <alignment horizontal="center"/>
    </xf>
    <xf numFmtId="3" fontId="3" fillId="2" borderId="0" xfId="0" applyNumberFormat="1" applyFont="1" applyFill="1"/>
    <xf numFmtId="0" fontId="5" fillId="2" borderId="4" xfId="0" applyFont="1" applyFill="1" applyBorder="1" applyAlignment="1">
      <alignment horizontal="center"/>
    </xf>
    <xf numFmtId="0" fontId="5" fillId="2" borderId="5" xfId="0" applyFont="1" applyFill="1" applyBorder="1"/>
    <xf numFmtId="0" fontId="4" fillId="2" borderId="4" xfId="0" applyFont="1" applyFill="1" applyBorder="1" applyAlignment="1">
      <alignment horizontal="center"/>
    </xf>
    <xf numFmtId="0" fontId="4" fillId="2" borderId="5" xfId="0" applyFont="1" applyFill="1" applyBorder="1" applyAlignment="1">
      <alignment horizontal="center"/>
    </xf>
    <xf numFmtId="0" fontId="5" fillId="2" borderId="5" xfId="0" applyFont="1" applyFill="1" applyBorder="1" applyAlignment="1">
      <alignment horizontal="center"/>
    </xf>
    <xf numFmtId="43" fontId="5" fillId="2" borderId="5" xfId="1" applyFont="1" applyFill="1" applyBorder="1" applyAlignment="1"/>
    <xf numFmtId="43" fontId="5" fillId="2" borderId="5" xfId="1" applyFont="1" applyFill="1" applyBorder="1"/>
    <xf numFmtId="0" fontId="5" fillId="2" borderId="5" xfId="0" applyFont="1" applyFill="1" applyBorder="1" applyAlignment="1">
      <alignment wrapText="1"/>
    </xf>
    <xf numFmtId="43" fontId="5" fillId="2" borderId="5" xfId="0" applyNumberFormat="1" applyFont="1" applyFill="1" applyBorder="1"/>
    <xf numFmtId="0" fontId="6" fillId="2" borderId="6" xfId="0" applyFont="1" applyFill="1" applyBorder="1" applyAlignment="1">
      <alignment horizontal="center" wrapText="1"/>
    </xf>
    <xf numFmtId="0" fontId="5" fillId="2" borderId="5" xfId="0" applyFont="1" applyFill="1" applyBorder="1" applyAlignment="1">
      <alignment horizontal="left" wrapText="1"/>
    </xf>
    <xf numFmtId="0" fontId="5" fillId="2" borderId="5" xfId="0" applyFont="1" applyFill="1" applyBorder="1" applyAlignment="1">
      <alignment horizontal="left"/>
    </xf>
    <xf numFmtId="0" fontId="3" fillId="2" borderId="0" xfId="0" applyFont="1" applyFill="1" applyAlignment="1">
      <alignment horizontal="left"/>
    </xf>
    <xf numFmtId="41" fontId="5" fillId="2" borderId="5" xfId="1" applyNumberFormat="1" applyFont="1" applyFill="1" applyBorder="1" applyAlignment="1">
      <alignment horizontal="center"/>
    </xf>
    <xf numFmtId="0" fontId="8" fillId="2" borderId="5" xfId="0" applyFont="1" applyFill="1" applyBorder="1" applyAlignment="1">
      <alignment horizontal="left" wrapText="1"/>
    </xf>
    <xf numFmtId="0" fontId="8" fillId="2" borderId="5" xfId="0" applyFont="1" applyFill="1" applyBorder="1" applyAlignment="1">
      <alignment horizontal="left" vertical="center" wrapText="1"/>
    </xf>
    <xf numFmtId="0" fontId="3" fillId="2" borderId="6" xfId="0" applyFont="1" applyFill="1" applyBorder="1" applyAlignment="1">
      <alignment horizontal="left"/>
    </xf>
    <xf numFmtId="0" fontId="3" fillId="2" borderId="5" xfId="0" applyFont="1" applyFill="1" applyBorder="1" applyAlignment="1">
      <alignment horizontal="left"/>
    </xf>
    <xf numFmtId="0" fontId="3" fillId="2" borderId="5" xfId="0" applyFont="1" applyFill="1" applyBorder="1" applyAlignment="1">
      <alignment horizontal="left" wrapText="1"/>
    </xf>
    <xf numFmtId="43" fontId="3" fillId="2" borderId="5" xfId="1" applyFont="1" applyFill="1" applyBorder="1" applyAlignment="1">
      <alignment horizontal="left"/>
    </xf>
    <xf numFmtId="41" fontId="3" fillId="2" borderId="5" xfId="1" applyNumberFormat="1" applyFont="1" applyFill="1" applyBorder="1" applyAlignment="1">
      <alignment horizontal="center"/>
    </xf>
    <xf numFmtId="0" fontId="2" fillId="2" borderId="0" xfId="0" applyFont="1" applyFill="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5" xfId="0" applyFont="1" applyFill="1" applyBorder="1" applyAlignment="1">
      <alignment horizontal="center"/>
    </xf>
    <xf numFmtId="0" fontId="2" fillId="2" borderId="5" xfId="0" applyFont="1" applyFill="1" applyBorder="1" applyAlignment="1">
      <alignment horizont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5" xfId="0" applyFont="1" applyFill="1" applyBorder="1" applyAlignment="1">
      <alignment horizontal="center"/>
    </xf>
    <xf numFmtId="0" fontId="4" fillId="2" borderId="5" xfId="0" applyFont="1" applyFill="1" applyBorder="1" applyAlignment="1">
      <alignment horizontal="left" wrapText="1"/>
    </xf>
    <xf numFmtId="0" fontId="4" fillId="2" borderId="5" xfId="0" applyFont="1" applyFill="1" applyBorder="1" applyAlignment="1">
      <alignment horizontal="center" wrapText="1"/>
    </xf>
    <xf numFmtId="0" fontId="7" fillId="2" borderId="5" xfId="0" applyFont="1" applyFill="1" applyBorder="1" applyAlignment="1">
      <alignment horizontal="center" wrapText="1"/>
    </xf>
    <xf numFmtId="43" fontId="3" fillId="2" borderId="0" xfId="0" applyNumberFormat="1" applyFont="1" applyFill="1"/>
  </cellXfs>
  <cellStyles count="2">
    <cellStyle name="Comma 2 2" xfId="1" xr:uid="{EE1BAD70-C694-4E00-8D19-C944F1857D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4E36-8D13-4CE9-87AA-DB05C4681EE2}">
  <dimension ref="A1:G15"/>
  <sheetViews>
    <sheetView topLeftCell="A10" zoomScale="98" zoomScaleNormal="98" workbookViewId="0">
      <selection activeCell="G16" sqref="G16"/>
    </sheetView>
  </sheetViews>
  <sheetFormatPr defaultColWidth="9.08984375" defaultRowHeight="14.5" x14ac:dyDescent="0.35"/>
  <cols>
    <col min="1" max="1" width="22.08984375" style="1" customWidth="1"/>
    <col min="2" max="2" width="6.90625" style="11" customWidth="1"/>
    <col min="3" max="3" width="42.08984375" style="1" customWidth="1"/>
    <col min="4" max="4" width="16.08984375" style="1" customWidth="1"/>
    <col min="5" max="5" width="12.54296875" style="1" customWidth="1"/>
    <col min="6" max="6" width="16.54296875" style="11" customWidth="1"/>
    <col min="7" max="7" width="82.08984375" style="1" customWidth="1"/>
    <col min="8" max="16384" width="9.08984375" style="1"/>
  </cols>
  <sheetData>
    <row r="1" spans="1:7" ht="21.9" customHeight="1" thickBot="1" x14ac:dyDescent="0.4">
      <c r="A1" s="37" t="s">
        <v>27</v>
      </c>
      <c r="B1" s="38"/>
      <c r="C1" s="38"/>
      <c r="D1" s="38"/>
      <c r="E1" s="38"/>
      <c r="F1" s="38"/>
      <c r="G1" s="39"/>
    </row>
    <row r="2" spans="1:7" ht="32.25" customHeight="1" x14ac:dyDescent="0.35">
      <c r="A2" s="2"/>
      <c r="B2" s="40" t="s">
        <v>0</v>
      </c>
      <c r="C2" s="41" t="s">
        <v>1</v>
      </c>
      <c r="D2" s="41" t="s">
        <v>2</v>
      </c>
      <c r="E2" s="41"/>
      <c r="F2" s="41" t="s">
        <v>3</v>
      </c>
      <c r="G2" s="3"/>
    </row>
    <row r="3" spans="1:7" ht="29.25" customHeight="1" x14ac:dyDescent="0.35">
      <c r="A3" s="4" t="s">
        <v>4</v>
      </c>
      <c r="B3" s="40"/>
      <c r="C3" s="41"/>
      <c r="D3" s="5" t="s">
        <v>5</v>
      </c>
      <c r="E3" s="5" t="s">
        <v>6</v>
      </c>
      <c r="F3" s="41"/>
      <c r="G3" s="5" t="s">
        <v>7</v>
      </c>
    </row>
    <row r="4" spans="1:7" ht="43.5" x14ac:dyDescent="0.35">
      <c r="A4" s="31" t="s">
        <v>10</v>
      </c>
      <c r="B4" s="6">
        <v>4</v>
      </c>
      <c r="C4" s="33" t="s">
        <v>9</v>
      </c>
      <c r="D4" s="34">
        <f>5*(70327.98+37015.08)</f>
        <v>536715.30000000005</v>
      </c>
      <c r="E4" s="34">
        <f>5*(654.08+344.25)</f>
        <v>4991.6500000000005</v>
      </c>
      <c r="F4" s="6">
        <f>4*5*12</f>
        <v>240</v>
      </c>
      <c r="G4" s="33" t="s">
        <v>20</v>
      </c>
    </row>
    <row r="5" spans="1:7" ht="43.5" x14ac:dyDescent="0.35">
      <c r="A5" s="31" t="s">
        <v>12</v>
      </c>
      <c r="B5" s="6">
        <v>4</v>
      </c>
      <c r="C5" s="33" t="s">
        <v>11</v>
      </c>
      <c r="D5" s="34">
        <f>2*(70327.98+32572.94)+700*(9400)</f>
        <v>6785801.8399999999</v>
      </c>
      <c r="E5" s="34">
        <f>2*(654.08+302.94)</f>
        <v>1914.04</v>
      </c>
      <c r="F5" s="6">
        <f>14*2*12</f>
        <v>336</v>
      </c>
      <c r="G5" s="33" t="s">
        <v>58</v>
      </c>
    </row>
    <row r="6" spans="1:7" ht="59.4" customHeight="1" x14ac:dyDescent="0.35">
      <c r="A6" s="31" t="s">
        <v>22</v>
      </c>
      <c r="B6" s="6">
        <v>5</v>
      </c>
      <c r="C6" s="33" t="s">
        <v>21</v>
      </c>
      <c r="D6" s="34">
        <f>3*(70327.98+32572.94)+700*(12800)</f>
        <v>9268702.7599999998</v>
      </c>
      <c r="E6" s="34">
        <f>3*(654.08+302.94)</f>
        <v>2871.06</v>
      </c>
      <c r="F6" s="6">
        <f>14*3*12</f>
        <v>504</v>
      </c>
      <c r="G6" s="33" t="s">
        <v>23</v>
      </c>
    </row>
    <row r="7" spans="1:7" ht="60" customHeight="1" x14ac:dyDescent="0.35">
      <c r="A7" s="31" t="s">
        <v>14</v>
      </c>
      <c r="B7" s="6">
        <v>4</v>
      </c>
      <c r="C7" s="33" t="s">
        <v>13</v>
      </c>
      <c r="D7" s="34">
        <f>2*(70327.98+32572.94)+700*(9400)</f>
        <v>6785801.8399999999</v>
      </c>
      <c r="E7" s="34">
        <f>2*(654.08+302.94)</f>
        <v>1914.04</v>
      </c>
      <c r="F7" s="6">
        <f>14*2*12</f>
        <v>336</v>
      </c>
      <c r="G7" s="33" t="s">
        <v>19</v>
      </c>
    </row>
    <row r="8" spans="1:7" ht="46.5" customHeight="1" x14ac:dyDescent="0.35">
      <c r="A8" s="31" t="s">
        <v>16</v>
      </c>
      <c r="B8" s="6">
        <v>3</v>
      </c>
      <c r="C8" s="33" t="s">
        <v>15</v>
      </c>
      <c r="D8" s="34">
        <f>2*(50105)+(2*62200)</f>
        <v>224610</v>
      </c>
      <c r="E8" s="34"/>
      <c r="F8" s="6">
        <f>8*2*8</f>
        <v>128</v>
      </c>
      <c r="G8" s="8" t="s">
        <v>24</v>
      </c>
    </row>
    <row r="9" spans="1:7" ht="43.5" x14ac:dyDescent="0.35">
      <c r="A9" s="31" t="s">
        <v>18</v>
      </c>
      <c r="B9" s="6">
        <v>2</v>
      </c>
      <c r="C9" s="33" t="s">
        <v>17</v>
      </c>
      <c r="D9" s="34">
        <f>2*(70500)+2*(62200)</f>
        <v>265400</v>
      </c>
      <c r="E9" s="34"/>
      <c r="F9" s="6">
        <f>8*2*8</f>
        <v>128</v>
      </c>
      <c r="G9" s="8" t="s">
        <v>8</v>
      </c>
    </row>
    <row r="10" spans="1:7" ht="43.5" x14ac:dyDescent="0.35">
      <c r="A10" s="31">
        <v>2518</v>
      </c>
      <c r="B10" s="6">
        <v>4</v>
      </c>
      <c r="C10" s="33" t="s">
        <v>25</v>
      </c>
      <c r="D10" s="34">
        <f>2*(50105)+(2*62200)</f>
        <v>224610</v>
      </c>
      <c r="E10" s="34"/>
      <c r="F10" s="6">
        <f>8*2*8</f>
        <v>128</v>
      </c>
      <c r="G10" s="8" t="s">
        <v>26</v>
      </c>
    </row>
    <row r="11" spans="1:7" ht="31.5" customHeight="1" x14ac:dyDescent="0.35">
      <c r="A11" s="6"/>
      <c r="B11" s="6"/>
      <c r="C11" s="9"/>
      <c r="D11" s="7">
        <f>SUM(D4:D10)</f>
        <v>24091641.739999998</v>
      </c>
      <c r="E11" s="7">
        <f>SUM(E4:E10)</f>
        <v>11690.79</v>
      </c>
      <c r="F11" s="35">
        <f>SUM(F4:F10)</f>
        <v>1800</v>
      </c>
      <c r="G11" s="9"/>
    </row>
    <row r="12" spans="1:7" x14ac:dyDescent="0.35">
      <c r="A12" s="3"/>
      <c r="B12" s="6"/>
      <c r="C12" s="3"/>
      <c r="D12" s="10">
        <f>D11/415.87</f>
        <v>57930.703681438907</v>
      </c>
      <c r="E12" s="10"/>
      <c r="F12" s="6"/>
      <c r="G12" s="3"/>
    </row>
    <row r="13" spans="1:7" x14ac:dyDescent="0.35">
      <c r="D13" s="10"/>
      <c r="E13" s="12">
        <f>E11+D12</f>
        <v>69621.493681438908</v>
      </c>
    </row>
    <row r="15" spans="1:7" x14ac:dyDescent="0.35">
      <c r="F15" s="11" t="s">
        <v>61</v>
      </c>
      <c r="G15" s="36">
        <v>460.47</v>
      </c>
    </row>
  </sheetData>
  <mergeCells count="5">
    <mergeCell ref="A1:G1"/>
    <mergeCell ref="B2:B3"/>
    <mergeCell ref="C2:C3"/>
    <mergeCell ref="D2:E2"/>
    <mergeCell ref="F2:F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7FA39-4E65-46B6-BF17-15844134EEE8}">
  <dimension ref="A1:G15"/>
  <sheetViews>
    <sheetView topLeftCell="A7" zoomScale="98" zoomScaleNormal="98" workbookViewId="0">
      <selection activeCell="G22" sqref="G22"/>
    </sheetView>
  </sheetViews>
  <sheetFormatPr defaultColWidth="9.08984375" defaultRowHeight="14.5" x14ac:dyDescent="0.35"/>
  <cols>
    <col min="1" max="1" width="22.08984375" style="1" customWidth="1"/>
    <col min="2" max="2" width="6.90625" style="11" customWidth="1"/>
    <col min="3" max="3" width="42.08984375" style="1" customWidth="1"/>
    <col min="4" max="4" width="16.08984375" style="1" customWidth="1"/>
    <col min="5" max="5" width="15.453125" style="1" customWidth="1"/>
    <col min="6" max="6" width="16.54296875" style="11" customWidth="1"/>
    <col min="7" max="7" width="82.08984375" style="1" customWidth="1"/>
    <col min="8" max="16384" width="9.08984375" style="1"/>
  </cols>
  <sheetData>
    <row r="1" spans="1:7" ht="21.9" customHeight="1" thickBot="1" x14ac:dyDescent="0.4">
      <c r="A1" s="37" t="s">
        <v>59</v>
      </c>
      <c r="B1" s="38"/>
      <c r="C1" s="38"/>
      <c r="D1" s="38"/>
      <c r="E1" s="38"/>
      <c r="F1" s="38"/>
      <c r="G1" s="39"/>
    </row>
    <row r="2" spans="1:7" ht="32.25" customHeight="1" x14ac:dyDescent="0.35">
      <c r="A2" s="2"/>
      <c r="B2" s="40" t="s">
        <v>0</v>
      </c>
      <c r="C2" s="41" t="s">
        <v>1</v>
      </c>
      <c r="D2" s="41" t="s">
        <v>2</v>
      </c>
      <c r="E2" s="41"/>
      <c r="F2" s="41" t="s">
        <v>3</v>
      </c>
      <c r="G2" s="3"/>
    </row>
    <row r="3" spans="1:7" ht="29.25" customHeight="1" x14ac:dyDescent="0.35">
      <c r="A3" s="4" t="s">
        <v>4</v>
      </c>
      <c r="B3" s="40"/>
      <c r="C3" s="41"/>
      <c r="D3" s="13" t="s">
        <v>5</v>
      </c>
      <c r="E3" s="13" t="s">
        <v>6</v>
      </c>
      <c r="F3" s="41"/>
      <c r="G3" s="13" t="s">
        <v>7</v>
      </c>
    </row>
    <row r="4" spans="1:7" ht="43.5" x14ac:dyDescent="0.35">
      <c r="A4" s="31" t="s">
        <v>29</v>
      </c>
      <c r="B4" s="32">
        <v>11</v>
      </c>
      <c r="C4" s="33" t="s">
        <v>28</v>
      </c>
      <c r="D4" s="34"/>
      <c r="E4" s="34">
        <f>1.82*7800</f>
        <v>14196</v>
      </c>
      <c r="F4" s="6">
        <f>14*2*12</f>
        <v>336</v>
      </c>
      <c r="G4" s="33" t="s">
        <v>38</v>
      </c>
    </row>
    <row r="5" spans="1:7" ht="29" x14ac:dyDescent="0.35">
      <c r="A5" s="31" t="s">
        <v>30</v>
      </c>
      <c r="B5" s="32">
        <v>11</v>
      </c>
      <c r="C5" s="33" t="s">
        <v>31</v>
      </c>
      <c r="D5" s="34">
        <f>6*(70327.98+32572.94)</f>
        <v>617405.52</v>
      </c>
      <c r="E5" s="34">
        <f>6*(654.08+302.94)</f>
        <v>5742.12</v>
      </c>
      <c r="F5" s="6">
        <v>0</v>
      </c>
      <c r="G5" s="33" t="s">
        <v>32</v>
      </c>
    </row>
    <row r="6" spans="1:7" ht="43.5" x14ac:dyDescent="0.35">
      <c r="A6" s="31" t="s">
        <v>33</v>
      </c>
      <c r="B6" s="32">
        <v>11</v>
      </c>
      <c r="C6" s="33" t="s">
        <v>34</v>
      </c>
      <c r="D6" s="34"/>
      <c r="E6" s="34">
        <f>1.82*9400</f>
        <v>17108</v>
      </c>
      <c r="F6" s="6">
        <f>14*1*12</f>
        <v>168</v>
      </c>
      <c r="G6" s="33" t="s">
        <v>35</v>
      </c>
    </row>
    <row r="7" spans="1:7" ht="43.5" x14ac:dyDescent="0.35">
      <c r="A7" s="31" t="s">
        <v>37</v>
      </c>
      <c r="B7" s="32">
        <v>12</v>
      </c>
      <c r="C7" s="33" t="s">
        <v>36</v>
      </c>
      <c r="D7" s="34">
        <f>3*(70327.98+32572.94)</f>
        <v>308702.76</v>
      </c>
      <c r="E7" s="34">
        <f>3*(654.08+302.94)</f>
        <v>2871.06</v>
      </c>
      <c r="F7" s="6">
        <f>14*3*12</f>
        <v>504</v>
      </c>
      <c r="G7" s="33" t="s">
        <v>39</v>
      </c>
    </row>
    <row r="8" spans="1:7" ht="43.5" x14ac:dyDescent="0.35">
      <c r="A8" s="31" t="s">
        <v>40</v>
      </c>
      <c r="B8" s="32">
        <v>8</v>
      </c>
      <c r="C8" s="33" t="s">
        <v>41</v>
      </c>
      <c r="D8" s="34">
        <f>1*(70327.98+32572.94)</f>
        <v>102900.92</v>
      </c>
      <c r="E8" s="34">
        <f>1*(654.08+302.94)</f>
        <v>957.02</v>
      </c>
      <c r="F8" s="6">
        <f>14*2*12</f>
        <v>336</v>
      </c>
      <c r="G8" s="8" t="s">
        <v>42</v>
      </c>
    </row>
    <row r="9" spans="1:7" ht="31.5" customHeight="1" x14ac:dyDescent="0.35">
      <c r="A9" s="6"/>
      <c r="B9" s="6"/>
      <c r="C9" s="9"/>
      <c r="D9" s="7">
        <f>SUM(D4:D8)</f>
        <v>1029009.2000000001</v>
      </c>
      <c r="E9" s="7">
        <f>SUM(E4:E8)</f>
        <v>40874.19999999999</v>
      </c>
      <c r="F9" s="35">
        <f>SUM(F4:F8)</f>
        <v>1344</v>
      </c>
      <c r="G9" s="9"/>
    </row>
    <row r="10" spans="1:7" x14ac:dyDescent="0.35">
      <c r="A10" s="3"/>
      <c r="B10" s="6"/>
      <c r="C10" s="3"/>
      <c r="D10" s="10">
        <f>D9/G15</f>
        <v>2234.4506210370887</v>
      </c>
      <c r="E10" s="10"/>
      <c r="F10" s="6"/>
      <c r="G10" s="3"/>
    </row>
    <row r="11" spans="1:7" x14ac:dyDescent="0.35">
      <c r="D11" s="10"/>
      <c r="E11" s="12">
        <f>E9+D10</f>
        <v>43108.650621037079</v>
      </c>
    </row>
    <row r="15" spans="1:7" x14ac:dyDescent="0.35">
      <c r="F15" s="11" t="s">
        <v>61</v>
      </c>
      <c r="G15" s="36">
        <v>460.52</v>
      </c>
    </row>
  </sheetData>
  <mergeCells count="5">
    <mergeCell ref="A1:G1"/>
    <mergeCell ref="B2:B3"/>
    <mergeCell ref="C2:C3"/>
    <mergeCell ref="D2:E2"/>
    <mergeCell ref="F2: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5A6BB-F67E-4FBB-9B96-ECB664026010}">
  <dimension ref="A1:I16"/>
  <sheetViews>
    <sheetView tabSelected="1" topLeftCell="A7" zoomScale="112" zoomScaleNormal="112" workbookViewId="0">
      <selection activeCell="G18" sqref="G18"/>
    </sheetView>
  </sheetViews>
  <sheetFormatPr defaultColWidth="9.08984375" defaultRowHeight="14.5" x14ac:dyDescent="0.35"/>
  <cols>
    <col min="1" max="1" width="18.36328125" style="1" customWidth="1"/>
    <col min="2" max="2" width="6.90625" style="11" customWidth="1"/>
    <col min="3" max="3" width="33.08984375" style="27" customWidth="1"/>
    <col min="4" max="4" width="20.7265625" style="1" customWidth="1"/>
    <col min="5" max="5" width="13.54296875" style="1" customWidth="1"/>
    <col min="6" max="6" width="13.36328125" style="11" customWidth="1"/>
    <col min="7" max="7" width="56" style="1" customWidth="1"/>
    <col min="8" max="16384" width="9.08984375" style="1"/>
  </cols>
  <sheetData>
    <row r="1" spans="1:9" ht="21.9" customHeight="1" thickBot="1" x14ac:dyDescent="0.4">
      <c r="A1" s="42" t="s">
        <v>60</v>
      </c>
      <c r="B1" s="43"/>
      <c r="C1" s="43"/>
      <c r="D1" s="43"/>
      <c r="E1" s="43"/>
      <c r="F1" s="43"/>
      <c r="G1" s="44"/>
    </row>
    <row r="2" spans="1:9" ht="42" customHeight="1" x14ac:dyDescent="0.35">
      <c r="A2" s="15"/>
      <c r="B2" s="45" t="s">
        <v>0</v>
      </c>
      <c r="C2" s="46" t="s">
        <v>1</v>
      </c>
      <c r="D2" s="47" t="s">
        <v>2</v>
      </c>
      <c r="E2" s="47"/>
      <c r="F2" s="48" t="s">
        <v>3</v>
      </c>
      <c r="G2" s="16"/>
    </row>
    <row r="3" spans="1:9" ht="40.5" customHeight="1" x14ac:dyDescent="0.35">
      <c r="A3" s="17" t="s">
        <v>4</v>
      </c>
      <c r="B3" s="45"/>
      <c r="C3" s="46"/>
      <c r="D3" s="18" t="s">
        <v>5</v>
      </c>
      <c r="E3" s="18" t="s">
        <v>6</v>
      </c>
      <c r="F3" s="48"/>
      <c r="G3" s="18" t="s">
        <v>7</v>
      </c>
    </row>
    <row r="4" spans="1:9" ht="58.5" customHeight="1" x14ac:dyDescent="0.35">
      <c r="A4" s="24" t="s">
        <v>46</v>
      </c>
      <c r="B4" s="19">
        <v>12</v>
      </c>
      <c r="C4" s="25" t="s">
        <v>45</v>
      </c>
      <c r="D4" s="20">
        <f>2*(70327.98+32572.94)</f>
        <v>205801.84</v>
      </c>
      <c r="E4" s="20">
        <f>2*(654.08+302.94)+(1.82*8800)</f>
        <v>17930.04</v>
      </c>
      <c r="F4" s="19">
        <f>14*2*12</f>
        <v>336</v>
      </c>
      <c r="G4" s="29" t="s">
        <v>57</v>
      </c>
    </row>
    <row r="5" spans="1:9" ht="42.65" customHeight="1" x14ac:dyDescent="0.35">
      <c r="A5" s="24" t="s">
        <v>44</v>
      </c>
      <c r="B5" s="19">
        <v>12</v>
      </c>
      <c r="C5" s="25" t="s">
        <v>43</v>
      </c>
      <c r="D5" s="20">
        <f>2*(70327.98+32572.94)</f>
        <v>205801.84</v>
      </c>
      <c r="E5" s="20">
        <f>2*(654.08+302.94)</f>
        <v>1914.04</v>
      </c>
      <c r="F5" s="19">
        <f>14*1*12</f>
        <v>168</v>
      </c>
      <c r="G5" s="29" t="s">
        <v>55</v>
      </c>
    </row>
    <row r="6" spans="1:9" ht="49.5" customHeight="1" x14ac:dyDescent="0.35">
      <c r="A6" s="24" t="s">
        <v>48</v>
      </c>
      <c r="B6" s="19">
        <v>12</v>
      </c>
      <c r="C6" s="25" t="s">
        <v>47</v>
      </c>
      <c r="D6" s="20">
        <f>6*(70327.98+32572.94)</f>
        <v>617405.52</v>
      </c>
      <c r="E6" s="20">
        <f>6*(654.08+302.94)</f>
        <v>5742.12</v>
      </c>
      <c r="F6" s="19">
        <f>14*6*12</f>
        <v>1008</v>
      </c>
      <c r="G6" s="29" t="s">
        <v>56</v>
      </c>
    </row>
    <row r="7" spans="1:9" ht="58.5" customHeight="1" x14ac:dyDescent="0.35">
      <c r="A7" s="24" t="s">
        <v>50</v>
      </c>
      <c r="B7" s="19">
        <v>13</v>
      </c>
      <c r="C7" s="25" t="s">
        <v>49</v>
      </c>
      <c r="D7" s="21">
        <f>2*(70500+50105)+2*(62200)</f>
        <v>365610</v>
      </c>
      <c r="E7" s="21"/>
      <c r="F7" s="19">
        <f>8*2*8</f>
        <v>128</v>
      </c>
      <c r="G7" s="30" t="s">
        <v>51</v>
      </c>
    </row>
    <row r="8" spans="1:9" ht="58.5" customHeight="1" x14ac:dyDescent="0.35">
      <c r="A8" s="24" t="s">
        <v>53</v>
      </c>
      <c r="B8" s="19">
        <v>13</v>
      </c>
      <c r="C8" s="25" t="s">
        <v>52</v>
      </c>
      <c r="D8" s="21">
        <f>2*(50007)+2*(62200)</f>
        <v>224414</v>
      </c>
      <c r="E8" s="21"/>
      <c r="F8" s="19">
        <f>8*2*8</f>
        <v>128</v>
      </c>
      <c r="G8" s="30" t="s">
        <v>54</v>
      </c>
      <c r="I8" s="14"/>
    </row>
    <row r="9" spans="1:9" ht="31.5" customHeight="1" x14ac:dyDescent="0.35">
      <c r="A9" s="19"/>
      <c r="B9" s="19"/>
      <c r="C9" s="25"/>
      <c r="D9" s="21">
        <f>SUM(D4:D8)</f>
        <v>1619033.2</v>
      </c>
      <c r="E9" s="21">
        <f>SUM(E4:E8)</f>
        <v>25586.2</v>
      </c>
      <c r="F9" s="28">
        <f>SUM(F4:F8)</f>
        <v>1768</v>
      </c>
      <c r="G9" s="22"/>
    </row>
    <row r="10" spans="1:9" x14ac:dyDescent="0.35">
      <c r="A10" s="16"/>
      <c r="B10" s="19"/>
      <c r="C10" s="26"/>
      <c r="D10" s="23">
        <f>D9/G13</f>
        <v>3613.2681663988574</v>
      </c>
      <c r="E10" s="23"/>
      <c r="F10" s="19"/>
      <c r="G10" s="16"/>
    </row>
    <row r="11" spans="1:9" x14ac:dyDescent="0.35">
      <c r="D11" s="10"/>
      <c r="E11" s="12">
        <f>E9+D10</f>
        <v>29199.468166398859</v>
      </c>
    </row>
    <row r="13" spans="1:9" x14ac:dyDescent="0.35">
      <c r="F13" s="11" t="s">
        <v>62</v>
      </c>
      <c r="G13" s="36">
        <v>448.08</v>
      </c>
    </row>
    <row r="16" spans="1:9" x14ac:dyDescent="0.35">
      <c r="D16" s="1" t="s">
        <v>63</v>
      </c>
      <c r="E16" s="49">
        <f>E11+FEB_23!E11+JAN_23!E13</f>
        <v>141929.61246887484</v>
      </c>
    </row>
  </sheetData>
  <mergeCells count="5">
    <mergeCell ref="A1:G1"/>
    <mergeCell ref="B2:B3"/>
    <mergeCell ref="C2:C3"/>
    <mergeCell ref="D2:E2"/>
    <mergeCell ref="F2:F3"/>
  </mergeCells>
  <pageMargins left="0.7" right="0.7" top="0.75" bottom="0.75" header="0.3" footer="0.3"/>
  <pageSetup orientation="portrait" r:id="rId1"/>
</worksheet>
</file>

<file path=docMetadata/LabelInfo.xml><?xml version="1.0" encoding="utf-8"?>
<clbl:labelList xmlns:clbl="http://schemas.microsoft.com/office/2020/mipLabelMetadata">
  <clbl:label id="{d0cb1e24-a0e2-4a4c-9340-733297c9cd7c}" enabled="1" method="Privileged" siteId="{db1e96a8-a3da-442a-930b-235cac24cd5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JAN_23</vt:lpstr>
      <vt:lpstr>FEB_23</vt:lpstr>
      <vt:lpstr>MAR_23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Adetila, Samuel S SPDC-UPC/G/USLE</dc:creator>
  <cp:lastModifiedBy>Georgewill, Sotonye A SPDC-UPO/G/UCT</cp:lastModifiedBy>
  <dcterms:created xsi:type="dcterms:W3CDTF">2023-01-31T10:27:21Z</dcterms:created>
  <dcterms:modified xsi:type="dcterms:W3CDTF">2023-04-11T09:40:54Z</dcterms:modified>
</cp:coreProperties>
</file>