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heanyi.Eke\Desktop\A_WestHub\EA Chem Tank Recertification\"/>
    </mc:Choice>
  </mc:AlternateContent>
  <xr:revisionPtr revIDLastSave="0" documentId="13_ncr:1_{4D66BAB1-7AB3-422C-AC54-78D458177D08}" xr6:coauthVersionLast="44" xr6:coauthVersionMax="44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-120" yWindow="-120" windowWidth="29040" windowHeight="1584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CALC'!$H$26</definedName>
    <definedName name="opexcapexfactor">'FCF CALC'!$E$19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5" i="5" l="1"/>
  <c r="AH44" i="5"/>
  <c r="V17" i="5"/>
  <c r="X23" i="5"/>
  <c r="W22" i="5"/>
  <c r="V22" i="5"/>
  <c r="W23" i="5" s="1"/>
  <c r="V23" i="5"/>
  <c r="P23" i="5"/>
  <c r="M22" i="5"/>
  <c r="M17" i="5"/>
  <c r="AH38" i="5" l="1"/>
  <c r="Y28" i="5"/>
  <c r="AH39" i="5"/>
  <c r="AG37" i="5"/>
  <c r="AH37" i="5" s="1"/>
  <c r="AG36" i="5"/>
  <c r="AH36" i="5" s="1"/>
  <c r="AG35" i="5"/>
  <c r="AH35" i="5" s="1"/>
  <c r="AG34" i="5"/>
  <c r="AH34" i="5" s="1"/>
  <c r="AG33" i="5"/>
  <c r="AH33" i="5" s="1"/>
  <c r="AG32" i="5"/>
  <c r="AH32" i="5" s="1"/>
  <c r="AG31" i="5"/>
  <c r="AH31" i="5" s="1"/>
  <c r="AG30" i="5"/>
  <c r="AH30" i="5" s="1"/>
  <c r="AG29" i="5"/>
  <c r="AH29" i="5" s="1"/>
  <c r="AI23" i="5"/>
  <c r="AI22" i="5"/>
  <c r="AI21" i="5"/>
  <c r="AI20" i="5"/>
  <c r="AI19" i="5"/>
  <c r="AI18" i="5"/>
  <c r="AH40" i="5" l="1"/>
  <c r="AI24" i="5"/>
  <c r="AH41" i="5"/>
  <c r="AH42" i="5" s="1"/>
  <c r="Y27" i="5" l="1"/>
  <c r="Y26" i="5"/>
  <c r="U23" i="5"/>
  <c r="W17" i="5" l="1"/>
  <c r="V21" i="5"/>
  <c r="V18" i="5"/>
  <c r="V20" i="5"/>
  <c r="V19" i="5"/>
  <c r="Q27" i="5" l="1"/>
  <c r="R27" i="5"/>
  <c r="R26" i="5"/>
  <c r="Q26" i="5"/>
  <c r="N17" i="5" s="1"/>
  <c r="M23" i="5"/>
  <c r="N22" i="5" l="1"/>
  <c r="O22" i="5" s="1"/>
  <c r="N18" i="5"/>
  <c r="W21" i="5"/>
  <c r="W19" i="5"/>
  <c r="W20" i="5"/>
  <c r="N21" i="5"/>
  <c r="O21" i="5" s="1"/>
  <c r="N20" i="5"/>
  <c r="O20" i="5" s="1"/>
  <c r="O17" i="5"/>
  <c r="N19" i="5"/>
  <c r="O19" i="5" s="1"/>
  <c r="N23" i="5" l="1"/>
  <c r="O18" i="5"/>
  <c r="W18" i="5"/>
  <c r="O23" i="5"/>
  <c r="E28" i="5" l="1"/>
  <c r="E25" i="5"/>
  <c r="E27" i="5"/>
  <c r="E26" i="5"/>
  <c r="E19" i="5"/>
  <c r="E21" i="5"/>
  <c r="E19" i="4"/>
  <c r="F23" i="4"/>
  <c r="E23" i="4"/>
  <c r="E38" i="4"/>
  <c r="E33" i="4"/>
  <c r="E28" i="4"/>
  <c r="F38" i="4"/>
  <c r="F33" i="4"/>
  <c r="F28" i="4"/>
  <c r="F19" i="4"/>
  <c r="G19" i="4"/>
  <c r="G38" i="4"/>
  <c r="G33" i="4"/>
  <c r="G28" i="4"/>
  <c r="G23" i="4"/>
  <c r="D21" i="3"/>
  <c r="D22" i="3"/>
  <c r="D12" i="3"/>
  <c r="D13" i="3"/>
  <c r="D4" i="3"/>
  <c r="D5" i="3"/>
  <c r="N22" i="2"/>
  <c r="N23" i="2"/>
  <c r="N13" i="2"/>
  <c r="N14" i="2"/>
  <c r="N5" i="2"/>
  <c r="N6" i="2"/>
  <c r="I23" i="2"/>
  <c r="I22" i="2"/>
  <c r="I14" i="2"/>
  <c r="I13" i="2"/>
  <c r="I6" i="2"/>
  <c r="I5" i="2"/>
  <c r="D24" i="2"/>
  <c r="D23" i="2"/>
  <c r="D15" i="2"/>
  <c r="D14" i="2"/>
  <c r="D7" i="2"/>
  <c r="D6" i="2"/>
  <c r="D22" i="2"/>
  <c r="I5" i="1"/>
  <c r="I17" i="1"/>
  <c r="I28" i="1"/>
  <c r="I30" i="1"/>
  <c r="D4" i="1"/>
  <c r="D7" i="1"/>
  <c r="I29" i="1"/>
  <c r="I32" i="1"/>
  <c r="I31" i="1"/>
  <c r="D8" i="1"/>
  <c r="D9" i="1"/>
  <c r="D5" i="1"/>
  <c r="D6" i="1"/>
  <c r="D13" i="2"/>
  <c r="I21" i="1"/>
  <c r="I8" i="1"/>
  <c r="D15" i="1"/>
  <c r="D17" i="1"/>
  <c r="D5" i="2"/>
  <c r="I19" i="1"/>
  <c r="I22" i="1"/>
  <c r="I18" i="1"/>
  <c r="I20" i="1"/>
  <c r="I6" i="1"/>
  <c r="I10" i="1"/>
  <c r="I9" i="1"/>
  <c r="I7" i="1"/>
  <c r="D16" i="1"/>
  <c r="D18" i="1"/>
  <c r="I33" i="1"/>
  <c r="D19" i="1"/>
  <c r="D20" i="1"/>
  <c r="F21" i="5" l="1"/>
  <c r="F2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19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1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5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6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7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28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<sst xmlns="http://schemas.openxmlformats.org/spreadsheetml/2006/main" count="398" uniqueCount="208">
  <si>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</si>
  <si>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</si>
  <si>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</si>
  <si>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</si>
  <si>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</si>
  <si>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</si>
  <si>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</si>
  <si>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</si>
  <si>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</si>
  <si>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</si>
  <si>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</si>
  <si>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</si>
  <si>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</si>
  <si>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</si>
  <si>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</si>
  <si>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</si>
  <si>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</si>
  <si>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</si>
  <si>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</si>
  <si>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</si>
  <si>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</si>
  <si>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</si>
  <si>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</si>
  <si>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</si>
  <si>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</si>
  <si>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</si>
  <si>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</si>
  <si>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</si>
  <si>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</si>
  <si>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</si>
  <si>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</si>
  <si>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</si>
  <si>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</si>
  <si>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</si>
  <si>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</si>
  <si>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</si>
  <si>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</si>
  <si>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</si>
  <si>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</si>
  <si>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</si>
  <si>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</si>
  <si>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</si>
  <si>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</si>
  <si>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</si>
  <si>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</si>
  <si>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</si>
  <si>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</si>
  <si>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</si>
  <si>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</si>
  <si>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</si>
  <si>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</si>
  <si>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</si>
  <si>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</si>
  <si>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</si>
  <si>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</si>
  <si>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</si>
  <si>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</si>
  <si>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</si>
  <si>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</si>
  <si>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</si>
  <si>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</si>
  <si>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</si>
  <si>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</si>
  <si>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</si>
  <si>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</si>
  <si>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</si>
  <si>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</si>
  <si>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</si>
  <si>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</si>
  <si>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</si>
  <si>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</si>
  <si>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</si>
  <si>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</si>
  <si>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</si>
  <si>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</si>
  <si>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</si>
  <si>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</si>
  <si>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</si>
  <si>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</si>
  <si>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</si>
  <si>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</si>
  <si>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</si>
  <si>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</si>
  <si>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</si>
  <si>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</si>
  <si>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</si>
  <si>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</si>
  <si>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</si>
  <si>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</si>
  <si>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</si>
  <si>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</si>
  <si>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</si>
  <si>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</si>
  <si>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</si>
  <si>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</si>
  <si>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</si>
  <si>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</si>
  <si>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</si>
  <si>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</si>
  <si>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</si>
  <si>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</si>
  <si>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</si>
  <si>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</si>
  <si>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</si>
  <si>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</si>
  <si>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</si>
  <si>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</si>
  <si>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</si>
  <si>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</si>
  <si>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</si>
  <si>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</si>
  <si>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</si>
  <si>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</si>
  <si>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</si>
  <si>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</si>
  <si>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</si>
  <si>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or the PMO for support</t>
  </si>
  <si>
    <t>Note: For initatives not related to cost savings/production contact your finance advisor</t>
  </si>
  <si>
    <t>This calculator helps you quickly compute the Shell Share FCF value for your initiatives.</t>
  </si>
  <si>
    <t>TABLE 1</t>
  </si>
  <si>
    <t>TABLE 2</t>
  </si>
  <si>
    <t>GUIDELINE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</si>
  <si>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</si>
  <si>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</si>
  <si>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</si>
  <si>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</si>
  <si>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</si>
  <si>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</si>
  <si>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</si>
  <si>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</si>
  <si>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</si>
  <si>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</si>
  <si>
    <t>FCF ('000 USD)</t>
  </si>
  <si>
    <t>Year</t>
  </si>
  <si>
    <t>Implementation Cost ('000 USD)</t>
  </si>
  <si>
    <t>5yrly Integrity certificatification cost range (9tks+10%MU)</t>
  </si>
  <si>
    <t>Exchange rate: N360/$1</t>
  </si>
  <si>
    <t>5yr Total</t>
  </si>
  <si>
    <t>Avoided Cost ('000 USD)</t>
  </si>
  <si>
    <t>100% Net Saving ('000 USD)</t>
  </si>
  <si>
    <t>Base case ('000 USD)</t>
  </si>
  <si>
    <t>High case ('000 USD)</t>
  </si>
  <si>
    <t>Planned FCF Calculation</t>
  </si>
  <si>
    <t>5yrly Integrity certificatification cost range (9tks+20%MU)</t>
  </si>
  <si>
    <t>FCF 
('000 USD)</t>
  </si>
  <si>
    <t>Actual FCF Calculation - Post Execution</t>
  </si>
  <si>
    <t>6monthly lifting&amp;hoisting certification cost range  (9tks+10%MU+N50k mob)</t>
  </si>
  <si>
    <t>PO4510437977</t>
  </si>
  <si>
    <t>Tank Rental Cost (Avoided Cost)</t>
  </si>
  <si>
    <t>S/N</t>
  </si>
  <si>
    <t>Application</t>
  </si>
  <si>
    <t>Product</t>
  </si>
  <si>
    <t>Required tanks</t>
  </si>
  <si>
    <t>Tanks rental cost</t>
  </si>
  <si>
    <t>Capacity</t>
  </si>
  <si>
    <t>number</t>
  </si>
  <si>
    <t>$cost/day</t>
  </si>
  <si>
    <t>360days cost</t>
  </si>
  <si>
    <t>Demulsifier</t>
  </si>
  <si>
    <t>PT12173</t>
  </si>
  <si>
    <t>1000gal</t>
  </si>
  <si>
    <t>Scale Inhibitor</t>
  </si>
  <si>
    <t>EC6080A</t>
  </si>
  <si>
    <t>Corrosion Inhibitor</t>
  </si>
  <si>
    <t>EC1304A</t>
  </si>
  <si>
    <t>500gal</t>
  </si>
  <si>
    <t>CN Inhibitor</t>
  </si>
  <si>
    <t>CN1007</t>
  </si>
  <si>
    <t>Water Clarifier</t>
  </si>
  <si>
    <t>WWC6102</t>
  </si>
  <si>
    <t>Biocide</t>
  </si>
  <si>
    <t>WBO5121</t>
  </si>
  <si>
    <t>Annualised Values for Recertification Execution Cost</t>
  </si>
  <si>
    <t>DESCRIPTION</t>
  </si>
  <si>
    <t>UNIT ID</t>
  </si>
  <si>
    <t>5yearly Integrity tests/certification</t>
  </si>
  <si>
    <t>6monthlyx5yr Lifting &amp; Hoisting Recertification</t>
  </si>
  <si>
    <t>Total</t>
  </si>
  <si>
    <t>Comment</t>
  </si>
  <si>
    <t>1000GAL CHEM. TANK</t>
  </si>
  <si>
    <t>LB CHEM C047</t>
  </si>
  <si>
    <t>5yearly integrity tests/ certification includes
-Hydrotest
-Pressure test
-Base valve repai
-Tank gauge repair
-Tank head seal replacement
-Tank cleaning</t>
  </si>
  <si>
    <t>LB CHEM C048</t>
  </si>
  <si>
    <t>500GAL CHEM. TANK</t>
  </si>
  <si>
    <t>LB CHEM C054</t>
  </si>
  <si>
    <t>OEGT 24004</t>
  </si>
  <si>
    <t>LB CHEM C057</t>
  </si>
  <si>
    <t>OEGT 24008</t>
  </si>
  <si>
    <t xml:space="preserve">500GAL CHEM. TANK </t>
  </si>
  <si>
    <t>OEGT 24011</t>
  </si>
  <si>
    <t>OEGT 24003</t>
  </si>
  <si>
    <t>LB CHEM C061</t>
  </si>
  <si>
    <t>Mobilisation per L&amp;H recertification</t>
  </si>
  <si>
    <t xml:space="preserve">Annual Total </t>
  </si>
  <si>
    <t>Simple average. Actual split per annum shown in FCF calculation</t>
  </si>
  <si>
    <t>Annual Total (converted to USD @ N360/$1)</t>
  </si>
  <si>
    <t>Annual Savings (based on simple average recertiifcation cost. Actual saving PA in FCF table)</t>
  </si>
  <si>
    <t>5yr Projected Savings</t>
  </si>
  <si>
    <t>6monthly lifting&amp;hoisting certification cost range  (9tks+20%MU+N32k mob)</t>
  </si>
  <si>
    <t>Actual Cost ('000 USD)</t>
  </si>
  <si>
    <t>Additional logistics cost for movement of tanks to KI to enable 5yrly Integrity Certification</t>
  </si>
  <si>
    <t>FCF values derived using FCF calculator table 1. See cell F21</t>
  </si>
  <si>
    <t>Add logistics cost for tank movement to KI for 5yrly integrity certification execution</t>
  </si>
  <si>
    <t>5year Total + 10% MU</t>
  </si>
  <si>
    <t>H1 2025</t>
  </si>
  <si>
    <t>H2 2020</t>
  </si>
  <si>
    <t>Addional cost of renting tanks one more month for gradual swap with recertified tanks</t>
  </si>
  <si>
    <t>Grand Total per annum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</si>
</sst>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&quot;$&quot;#,##0.00"/>
    <numFmt numFmtId="167" formatCode="[$₦-470]#,##0.00"/>
    <numFmt numFmtId="168" formatCode="[$$-409]#,##0.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2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4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4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2" fillId="4" borderId="4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1" fillId="4" borderId="6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2" fontId="1" fillId="4" borderId="9" xfId="0" applyNumberFormat="1" applyFont="1" applyFill="1" applyBorder="1"/>
    <xf numFmtId="0" fontId="2" fillId="4" borderId="26" xfId="0" applyFont="1" applyFill="1" applyBorder="1" applyAlignment="1"/>
    <xf numFmtId="0" fontId="2" fillId="4" borderId="27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4" fillId="2" borderId="39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2" fontId="2" fillId="7" borderId="9" xfId="0" applyNumberFormat="1" applyFont="1" applyFill="1" applyBorder="1" applyProtection="1"/>
    <xf numFmtId="2" fontId="5" fillId="6" borderId="6" xfId="0" applyNumberFormat="1" applyFont="1" applyFill="1" applyBorder="1" applyProtection="1">
      <protection locked="0"/>
    </xf>
    <xf numFmtId="2" fontId="5" fillId="6" borderId="21" xfId="0" applyNumberFormat="1" applyFont="1" applyFill="1" applyBorder="1" applyProtection="1">
      <protection locked="0"/>
    </xf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0" fontId="0" fillId="0" borderId="0" xfId="0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2" fillId="4" borderId="0" xfId="0" applyFont="1" applyFill="1" applyBorder="1" applyAlignment="1"/>
    <xf numFmtId="0" fontId="2" fillId="4" borderId="0" xfId="0" applyFont="1" applyFill="1" applyBorder="1"/>
    <xf numFmtId="0" fontId="0" fillId="0" borderId="1" xfId="0" applyBorder="1"/>
    <xf numFmtId="0" fontId="0" fillId="0" borderId="0" xfId="0" applyBorder="1"/>
    <xf numFmtId="0" fontId="2" fillId="4" borderId="43" xfId="0" applyFont="1" applyFill="1" applyBorder="1"/>
    <xf numFmtId="165" fontId="0" fillId="4" borderId="1" xfId="0" applyNumberFormat="1" applyFill="1" applyBorder="1"/>
    <xf numFmtId="0" fontId="0" fillId="4" borderId="41" xfId="0" applyFill="1" applyBorder="1" applyAlignment="1">
      <alignment horizontal="left"/>
    </xf>
    <xf numFmtId="0" fontId="0" fillId="4" borderId="28" xfId="0" applyFill="1" applyBorder="1" applyAlignment="1">
      <alignment horizontal="left"/>
    </xf>
    <xf numFmtId="165" fontId="0" fillId="0" borderId="1" xfId="0" applyNumberFormat="1" applyBorder="1"/>
    <xf numFmtId="165" fontId="0" fillId="9" borderId="1" xfId="0" applyNumberFormat="1" applyFill="1" applyBorder="1"/>
    <xf numFmtId="0" fontId="1" fillId="4" borderId="41" xfId="0" applyFont="1" applyFill="1" applyBorder="1"/>
    <xf numFmtId="0" fontId="0" fillId="4" borderId="44" xfId="0" applyFill="1" applyBorder="1"/>
    <xf numFmtId="0" fontId="0" fillId="0" borderId="45" xfId="0" applyFill="1" applyBorder="1"/>
    <xf numFmtId="0" fontId="1" fillId="4" borderId="44" xfId="0" applyFont="1" applyFill="1" applyBorder="1"/>
    <xf numFmtId="0" fontId="4" fillId="0" borderId="4" xfId="0" applyFont="1" applyBorder="1" applyAlignment="1">
      <alignment wrapText="1"/>
    </xf>
    <xf numFmtId="2" fontId="0" fillId="0" borderId="6" xfId="0" applyNumberFormat="1" applyFont="1" applyBorder="1"/>
    <xf numFmtId="2" fontId="0" fillId="0" borderId="9" xfId="0" applyNumberFormat="1" applyFont="1" applyBorder="1"/>
    <xf numFmtId="2" fontId="0" fillId="0" borderId="45" xfId="0" applyNumberFormat="1" applyFont="1" applyBorder="1"/>
    <xf numFmtId="0" fontId="0" fillId="0" borderId="45" xfId="0" applyBorder="1"/>
    <xf numFmtId="0" fontId="0" fillId="9" borderId="5" xfId="0" applyFill="1" applyBorder="1"/>
    <xf numFmtId="0" fontId="0" fillId="0" borderId="6" xfId="0" applyBorder="1"/>
    <xf numFmtId="0" fontId="0" fillId="4" borderId="40" xfId="0" applyFill="1" applyBorder="1" applyAlignment="1">
      <alignment horizontal="left"/>
    </xf>
    <xf numFmtId="165" fontId="0" fillId="0" borderId="6" xfId="0" applyNumberFormat="1" applyBorder="1"/>
    <xf numFmtId="0" fontId="0" fillId="4" borderId="13" xfId="0" applyFill="1" applyBorder="1"/>
    <xf numFmtId="0" fontId="0" fillId="4" borderId="14" xfId="0" applyFill="1" applyBorder="1"/>
    <xf numFmtId="0" fontId="0" fillId="0" borderId="14" xfId="0" applyBorder="1"/>
    <xf numFmtId="0" fontId="0" fillId="0" borderId="15" xfId="0" applyBorder="1"/>
    <xf numFmtId="0" fontId="11" fillId="0" borderId="0" xfId="0" applyFont="1" applyFill="1" applyBorder="1" applyAlignment="1"/>
    <xf numFmtId="0" fontId="4" fillId="0" borderId="26" xfId="0" applyFont="1" applyFill="1" applyBorder="1" applyAlignment="1">
      <alignment wrapText="1"/>
    </xf>
    <xf numFmtId="0" fontId="0" fillId="0" borderId="41" xfId="0" applyFont="1" applyFill="1" applyBorder="1"/>
    <xf numFmtId="0" fontId="0" fillId="0" borderId="46" xfId="0" applyFont="1" applyFill="1" applyBorder="1"/>
    <xf numFmtId="0" fontId="0" fillId="0" borderId="44" xfId="0" applyFill="1" applyBorder="1"/>
    <xf numFmtId="0" fontId="2" fillId="0" borderId="47" xfId="0" applyFont="1" applyFill="1" applyBorder="1" applyAlignment="1">
      <alignment wrapText="1"/>
    </xf>
    <xf numFmtId="0" fontId="1" fillId="0" borderId="48" xfId="0" applyFont="1" applyFill="1" applyBorder="1"/>
    <xf numFmtId="0" fontId="1" fillId="0" borderId="48" xfId="0" applyFont="1" applyFill="1" applyBorder="1" applyAlignment="1"/>
    <xf numFmtId="0" fontId="1" fillId="0" borderId="49" xfId="0" applyFont="1" applyFill="1" applyBorder="1"/>
    <xf numFmtId="0" fontId="0" fillId="0" borderId="44" xfId="0" applyBorder="1"/>
    <xf numFmtId="0" fontId="0" fillId="0" borderId="13" xfId="0" applyBorder="1"/>
    <xf numFmtId="0" fontId="4" fillId="0" borderId="1" xfId="0" applyFont="1" applyBorder="1"/>
    <xf numFmtId="1" fontId="0" fillId="0" borderId="1" xfId="0" applyNumberFormat="1" applyBorder="1"/>
    <xf numFmtId="4" fontId="0" fillId="0" borderId="1" xfId="0" applyNumberFormat="1" applyBorder="1"/>
    <xf numFmtId="166" fontId="0" fillId="0" borderId="1" xfId="0" applyNumberFormat="1" applyBorder="1"/>
    <xf numFmtId="0" fontId="12" fillId="0" borderId="0" xfId="0" applyFont="1" applyAlignment="1">
      <alignment horizontal="center" vertical="center"/>
    </xf>
    <xf numFmtId="167" fontId="0" fillId="0" borderId="0" xfId="0" applyNumberFormat="1"/>
    <xf numFmtId="0" fontId="0" fillId="0" borderId="0" xfId="0" applyAlignment="1">
      <alignment wrapText="1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167" fontId="0" fillId="0" borderId="1" xfId="0" applyNumberFormat="1" applyBorder="1" applyAlignment="1">
      <alignment wrapText="1"/>
    </xf>
    <xf numFmtId="167" fontId="0" fillId="0" borderId="1" xfId="0" applyNumberFormat="1" applyBorder="1"/>
    <xf numFmtId="168" fontId="0" fillId="0" borderId="1" xfId="0" applyNumberFormat="1" applyBorder="1"/>
    <xf numFmtId="168" fontId="0" fillId="0" borderId="0" xfId="0" applyNumberFormat="1"/>
    <xf numFmtId="166" fontId="0" fillId="10" borderId="52" xfId="0" applyNumberFormat="1" applyFill="1" applyBorder="1"/>
    <xf numFmtId="0" fontId="0" fillId="4" borderId="1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0" borderId="45" xfId="0" applyBorder="1" applyAlignment="1">
      <alignment horizontal="center" vertical="center" wrapText="1"/>
    </xf>
    <xf numFmtId="0" fontId="0" fillId="0" borderId="23" xfId="0" applyBorder="1" applyAlignment="1">
      <alignment vertical="top" wrapText="1"/>
    </xf>
    <xf numFmtId="0" fontId="0" fillId="0" borderId="1" xfId="0" applyBorder="1" applyAlignment="1">
      <alignment horizontal="center"/>
    </xf>
    <xf numFmtId="0" fontId="0" fillId="10" borderId="37" xfId="0" applyFill="1" applyBorder="1" applyAlignment="1">
      <alignment horizontal="center"/>
    </xf>
    <xf numFmtId="0" fontId="0" fillId="10" borderId="38" xfId="0" applyFill="1" applyBorder="1" applyAlignment="1">
      <alignment horizontal="center"/>
    </xf>
    <xf numFmtId="0" fontId="0" fillId="10" borderId="51" xfId="0" applyFill="1" applyBorder="1" applyAlignment="1">
      <alignment horizontal="center"/>
    </xf>
    <xf numFmtId="0" fontId="0" fillId="0" borderId="53" xfId="0" applyBorder="1" applyAlignment="1">
      <alignment horizontal="center" vertical="center" wrapText="1"/>
    </xf>
    <xf numFmtId="165" fontId="0" fillId="0" borderId="44" xfId="0" applyNumberForma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28" xfId="0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19" xfId="0" applyBorder="1" applyAlignment="1">
      <alignment vertical="top" wrapText="1"/>
    </xf>
    <xf numFmtId="0" fontId="0" fillId="0" borderId="50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4" fillId="0" borderId="19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9" xfId="0" applyFont="1" applyBorder="1" applyAlignment="1">
      <alignment horizontal="left" vertical="center"/>
    </xf>
    <xf numFmtId="0" fontId="4" fillId="0" borderId="23" xfId="0" applyFont="1" applyBorder="1" applyAlignment="1">
      <alignment horizontal="left" vertical="center"/>
    </xf>
    <xf numFmtId="0" fontId="0" fillId="8" borderId="1" xfId="0" applyFill="1" applyBorder="1" applyAlignment="1">
      <alignment horizontal="center" wrapText="1"/>
    </xf>
    <xf numFmtId="0" fontId="0" fillId="8" borderId="19" xfId="0" applyFill="1" applyBorder="1" applyAlignment="1">
      <alignment horizontal="center" wrapText="1"/>
    </xf>
    <xf numFmtId="0" fontId="0" fillId="8" borderId="23" xfId="0" applyFill="1" applyBorder="1" applyAlignment="1">
      <alignment horizontal="center" wrapText="1"/>
    </xf>
    <xf numFmtId="0" fontId="0" fillId="4" borderId="40" xfId="0" applyFill="1" applyBorder="1" applyAlignment="1">
      <alignment horizontal="left"/>
    </xf>
    <xf numFmtId="0" fontId="0" fillId="4" borderId="41" xfId="0" applyFill="1" applyBorder="1" applyAlignment="1">
      <alignment horizontal="left"/>
    </xf>
    <xf numFmtId="0" fontId="0" fillId="4" borderId="28" xfId="0" applyFill="1" applyBorder="1" applyAlignment="1">
      <alignment horizontal="left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wrapText="1"/>
    </xf>
    <xf numFmtId="0" fontId="11" fillId="10" borderId="10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1" fillId="10" borderId="12" xfId="0" applyFont="1" applyFill="1" applyBorder="1" applyAlignment="1">
      <alignment horizontal="center"/>
    </xf>
    <xf numFmtId="0" fontId="0" fillId="0" borderId="54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4" borderId="5" xfId="0" applyFill="1" applyBorder="1" applyAlignment="1">
      <alignment horizontal="right"/>
    </xf>
    <xf numFmtId="0" fontId="0" fillId="4" borderId="1" xfId="0" applyFill="1" applyBorder="1" applyAlignment="1">
      <alignment horizontal="left"/>
    </xf>
    <xf numFmtId="166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AI45"/>
  <sheetViews>
    <sheetView tabSelected="1" topLeftCell="F1" zoomScaleNormal="100" workbookViewId="0">
      <selection activeCell="AH46" sqref="AH46"/>
    </sheetView>
  </sheetViews>
  <sheetFormatPr defaultRowHeight="15" x14ac:dyDescent="0.25"/>
  <cols>
    <col min="1" max="1" width="8.7109375" style="85"/>
    <col min="2" max="2" width="14.42578125" style="85" customWidth="1"/>
    <col min="3" max="3" width="68.5703125" style="85" customWidth="1"/>
    <col min="4" max="4" width="30.42578125" style="85" customWidth="1"/>
    <col min="5" max="5" width="8.5703125" style="85" hidden="1" customWidth="1"/>
    <col min="6" max="7" width="10.5703125" style="85" customWidth="1"/>
    <col min="8" max="8" width="4.85546875" style="85" customWidth="1"/>
    <col min="9" max="9" width="4.5703125" style="85" customWidth="1"/>
    <col min="10" max="10" width="18.5703125" style="85" customWidth="1"/>
    <col min="11" max="11" width="9.140625" style="85" customWidth="1"/>
    <col min="12" max="12" width="8.7109375" style="85" customWidth="1"/>
    <col min="13" max="13" width="11.7109375" style="85" customWidth="1"/>
    <col min="14" max="14" width="14.85546875" style="85" customWidth="1"/>
    <col min="15" max="15" width="14.5703125" style="136" customWidth="1"/>
    <col min="16" max="16" width="17.5703125" style="85" customWidth="1"/>
    <col min="17" max="17" width="20.7109375" customWidth="1"/>
    <col min="18" max="18" width="17.85546875" customWidth="1"/>
    <col min="19" max="19" width="9.140625" customWidth="1"/>
    <col min="21" max="21" width="13.28515625" customWidth="1"/>
    <col min="22" max="22" width="16.7109375" customWidth="1"/>
    <col min="23" max="23" width="16.5703125" customWidth="1"/>
    <col min="24" max="24" width="10.5703125" customWidth="1"/>
    <col min="25" max="25" width="22" bestFit="1" customWidth="1"/>
    <col min="26" max="26" width="14" customWidth="1"/>
    <col min="30" max="30" width="23.85546875" customWidth="1"/>
    <col min="31" max="31" width="16.5703125" customWidth="1"/>
    <col min="32" max="32" width="16.7109375" customWidth="1"/>
    <col min="33" max="33" width="22.42578125" customWidth="1"/>
    <col min="34" max="34" width="13.28515625" bestFit="1" customWidth="1"/>
    <col min="35" max="35" width="18.42578125" customWidth="1"/>
  </cols>
  <sheetData>
    <row r="1" spans="2:35" ht="21.6" customHeight="1" thickBot="1" x14ac:dyDescent="0.3"/>
    <row r="2" spans="2:35" ht="30.6" customHeight="1" thickBot="1" x14ac:dyDescent="0.45">
      <c r="C2" s="229" t="s">
        <v>122</v>
      </c>
      <c r="D2" s="230"/>
      <c r="E2" s="230"/>
      <c r="F2" s="231"/>
      <c r="G2" s="87"/>
      <c r="H2" s="87"/>
      <c r="I2" s="87"/>
      <c r="J2" s="87"/>
      <c r="L2" s="233" t="s">
        <v>142</v>
      </c>
      <c r="M2" s="234"/>
      <c r="N2" s="234"/>
      <c r="O2" s="234"/>
      <c r="P2" s="234"/>
      <c r="Q2" s="234"/>
      <c r="R2" s="235"/>
      <c r="T2" s="233" t="s">
        <v>145</v>
      </c>
      <c r="U2" s="234"/>
      <c r="V2" s="234"/>
      <c r="W2" s="234"/>
      <c r="X2" s="234"/>
      <c r="Y2" s="235"/>
      <c r="Z2" s="166"/>
    </row>
    <row r="3" spans="2:35" hidden="1" x14ac:dyDescent="0.25">
      <c r="C3" s="85">
        <v>1</v>
      </c>
      <c r="D3" s="85">
        <v>2</v>
      </c>
      <c r="E3" s="85">
        <v>3</v>
      </c>
      <c r="F3" s="85">
        <v>4</v>
      </c>
      <c r="G3" s="87">
        <v>5</v>
      </c>
      <c r="H3" s="87">
        <v>6</v>
      </c>
      <c r="I3" s="87">
        <v>7</v>
      </c>
      <c r="J3" s="87"/>
      <c r="K3" s="87"/>
      <c r="L3" s="150"/>
      <c r="M3" s="138"/>
      <c r="N3" s="138"/>
      <c r="O3" s="138"/>
      <c r="P3" s="138"/>
      <c r="Q3" s="48"/>
      <c r="R3" s="151"/>
      <c r="S3" s="48"/>
      <c r="T3" s="170"/>
      <c r="U3" s="48"/>
      <c r="V3" s="48"/>
      <c r="W3" s="48"/>
      <c r="X3" s="142"/>
      <c r="Y3" s="157"/>
    </row>
    <row r="4" spans="2:35" ht="39" hidden="1" x14ac:dyDescent="0.25">
      <c r="C4" s="88" t="s">
        <v>70</v>
      </c>
      <c r="D4" s="89" t="s">
        <v>62</v>
      </c>
      <c r="E4" s="90" t="s">
        <v>61</v>
      </c>
      <c r="F4" s="91" t="s">
        <v>64</v>
      </c>
      <c r="G4" s="92"/>
      <c r="H4" s="92"/>
      <c r="I4" s="93"/>
      <c r="J4" s="86"/>
      <c r="K4" s="149" t="s">
        <v>110</v>
      </c>
      <c r="L4" s="152"/>
      <c r="M4" s="137" t="s">
        <v>98</v>
      </c>
      <c r="N4" s="139"/>
      <c r="O4" s="139"/>
      <c r="P4" s="94" t="s">
        <v>70</v>
      </c>
      <c r="Q4" s="80" t="s">
        <v>61</v>
      </c>
      <c r="R4" s="153" t="s">
        <v>63</v>
      </c>
      <c r="S4" s="167" t="s">
        <v>65</v>
      </c>
      <c r="T4" s="171" t="s">
        <v>66</v>
      </c>
      <c r="U4" s="81"/>
      <c r="V4" s="142"/>
      <c r="W4" s="142"/>
      <c r="X4" s="142"/>
      <c r="Y4" s="157"/>
    </row>
    <row r="5" spans="2:35" hidden="1" x14ac:dyDescent="0.25">
      <c r="B5" s="86"/>
      <c r="C5" s="95" t="s">
        <v>99</v>
      </c>
      <c r="D5" s="96">
        <v>0.97</v>
      </c>
      <c r="E5" s="97">
        <v>0.3</v>
      </c>
      <c r="F5" s="98">
        <v>0.87</v>
      </c>
      <c r="G5" s="99"/>
      <c r="H5" s="100"/>
      <c r="I5" s="86"/>
      <c r="J5" s="86"/>
      <c r="K5" s="149" t="s">
        <v>111</v>
      </c>
      <c r="L5" s="152"/>
      <c r="M5" s="137" t="s">
        <v>89</v>
      </c>
      <c r="N5" s="137"/>
      <c r="O5" s="137"/>
      <c r="P5" s="95" t="s">
        <v>99</v>
      </c>
      <c r="Q5" s="58">
        <v>0.3</v>
      </c>
      <c r="R5" s="154">
        <v>15.65</v>
      </c>
      <c r="S5" s="168">
        <v>0.63</v>
      </c>
      <c r="T5" s="172">
        <v>0.36</v>
      </c>
      <c r="U5" s="50"/>
      <c r="V5" s="142"/>
      <c r="W5" s="142"/>
      <c r="X5" s="142"/>
      <c r="Y5" s="157"/>
    </row>
    <row r="6" spans="2:35" hidden="1" x14ac:dyDescent="0.25">
      <c r="B6" s="86"/>
      <c r="C6" s="95" t="s">
        <v>100</v>
      </c>
      <c r="D6" s="96">
        <v>0.97</v>
      </c>
      <c r="E6" s="97">
        <v>0.66669999999999996</v>
      </c>
      <c r="F6" s="98">
        <v>0.87</v>
      </c>
      <c r="G6" s="99"/>
      <c r="H6" s="100"/>
      <c r="I6" s="86"/>
      <c r="J6" s="86"/>
      <c r="K6" s="101"/>
      <c r="L6" s="152"/>
      <c r="M6" s="137" t="s">
        <v>90</v>
      </c>
      <c r="N6" s="137"/>
      <c r="O6" s="137"/>
      <c r="P6" s="95" t="s">
        <v>100</v>
      </c>
      <c r="Q6" s="58">
        <v>0.66669999999999996</v>
      </c>
      <c r="R6" s="154">
        <v>15.65</v>
      </c>
      <c r="S6" s="168">
        <v>0.63</v>
      </c>
      <c r="T6" s="172">
        <v>0.36</v>
      </c>
      <c r="U6" s="50"/>
      <c r="V6" s="142"/>
      <c r="W6" s="142"/>
      <c r="X6" s="142"/>
      <c r="Y6" s="157"/>
    </row>
    <row r="7" spans="2:35" ht="30" hidden="1" customHeight="1" x14ac:dyDescent="0.25">
      <c r="B7" s="86"/>
      <c r="C7" s="102" t="s">
        <v>101</v>
      </c>
      <c r="D7" s="96">
        <v>0.97</v>
      </c>
      <c r="E7" s="97">
        <v>0.15</v>
      </c>
      <c r="F7" s="98">
        <v>0.87</v>
      </c>
      <c r="G7" s="99"/>
      <c r="H7" s="100"/>
      <c r="I7" s="86"/>
      <c r="J7" s="86"/>
      <c r="K7" s="149" t="s">
        <v>67</v>
      </c>
      <c r="L7" s="152"/>
      <c r="M7" s="137" t="s">
        <v>91</v>
      </c>
      <c r="N7" s="140"/>
      <c r="O7" s="140"/>
      <c r="P7" s="102" t="s">
        <v>101</v>
      </c>
      <c r="Q7" s="58">
        <v>0.15</v>
      </c>
      <c r="R7" s="154">
        <v>15.65</v>
      </c>
      <c r="S7" s="168">
        <v>0.63</v>
      </c>
      <c r="T7" s="172">
        <v>0.36</v>
      </c>
      <c r="U7" s="50"/>
      <c r="V7" s="142"/>
      <c r="W7" s="142"/>
      <c r="X7" s="142"/>
      <c r="Y7" s="157"/>
    </row>
    <row r="8" spans="2:35" ht="32.450000000000003" hidden="1" customHeight="1" x14ac:dyDescent="0.25">
      <c r="B8" s="86"/>
      <c r="C8" s="102" t="s">
        <v>102</v>
      </c>
      <c r="D8" s="96">
        <v>0.97</v>
      </c>
      <c r="E8" s="97">
        <v>0.3</v>
      </c>
      <c r="F8" s="98">
        <v>0.87</v>
      </c>
      <c r="G8" s="99"/>
      <c r="H8" s="100"/>
      <c r="I8" s="86"/>
      <c r="J8" s="86"/>
      <c r="K8" s="149" t="s">
        <v>85</v>
      </c>
      <c r="L8" s="152"/>
      <c r="M8" s="137" t="s">
        <v>92</v>
      </c>
      <c r="N8" s="137"/>
      <c r="O8" s="137"/>
      <c r="P8" s="102" t="s">
        <v>102</v>
      </c>
      <c r="Q8" s="58">
        <v>0.3</v>
      </c>
      <c r="R8" s="154">
        <v>15.65</v>
      </c>
      <c r="S8" s="168">
        <v>0.63</v>
      </c>
      <c r="T8" s="172">
        <v>0.36</v>
      </c>
      <c r="U8" s="50"/>
      <c r="V8" s="142"/>
      <c r="W8" s="142"/>
      <c r="X8" s="142"/>
      <c r="Y8" s="157"/>
    </row>
    <row r="9" spans="2:35" hidden="1" x14ac:dyDescent="0.25">
      <c r="B9" s="86"/>
      <c r="C9" s="102" t="s">
        <v>103</v>
      </c>
      <c r="D9" s="96">
        <v>0.97</v>
      </c>
      <c r="E9" s="97">
        <v>0.2767</v>
      </c>
      <c r="F9" s="98">
        <v>0.87</v>
      </c>
      <c r="G9" s="99"/>
      <c r="H9" s="100"/>
      <c r="I9" s="86"/>
      <c r="J9" s="87"/>
      <c r="K9" s="149" t="s">
        <v>86</v>
      </c>
      <c r="L9" s="150"/>
      <c r="M9" s="137" t="s">
        <v>93</v>
      </c>
      <c r="N9" s="138"/>
      <c r="O9" s="138"/>
      <c r="P9" s="102" t="s">
        <v>103</v>
      </c>
      <c r="Q9" s="58">
        <v>0.2767</v>
      </c>
      <c r="R9" s="154">
        <v>15.65</v>
      </c>
      <c r="S9" s="168">
        <v>0.63</v>
      </c>
      <c r="T9" s="172">
        <v>0.36</v>
      </c>
      <c r="U9" s="48"/>
      <c r="V9" s="142"/>
      <c r="W9" s="142"/>
      <c r="X9" s="142"/>
      <c r="Y9" s="157"/>
    </row>
    <row r="10" spans="2:35" hidden="1" x14ac:dyDescent="0.25">
      <c r="B10" s="86"/>
      <c r="C10" s="102" t="s">
        <v>93</v>
      </c>
      <c r="D10" s="96">
        <v>0.94</v>
      </c>
      <c r="E10" s="97">
        <v>1</v>
      </c>
      <c r="F10" s="98">
        <v>0.7</v>
      </c>
      <c r="G10" s="99"/>
      <c r="H10" s="100"/>
      <c r="I10" s="104"/>
      <c r="J10" s="86"/>
      <c r="K10" s="105"/>
      <c r="L10" s="150"/>
      <c r="M10" s="137" t="s">
        <v>94</v>
      </c>
      <c r="N10" s="138"/>
      <c r="O10" s="138"/>
      <c r="P10" s="102" t="s">
        <v>93</v>
      </c>
      <c r="Q10" s="58">
        <v>1</v>
      </c>
      <c r="R10" s="154">
        <v>0</v>
      </c>
      <c r="S10" s="168">
        <v>0.16</v>
      </c>
      <c r="T10" s="173">
        <v>0</v>
      </c>
      <c r="U10" s="48"/>
      <c r="V10" s="142"/>
      <c r="W10" s="142"/>
      <c r="X10" s="142"/>
      <c r="Y10" s="157"/>
    </row>
    <row r="11" spans="2:35" hidden="1" x14ac:dyDescent="0.25">
      <c r="B11" s="86"/>
      <c r="C11" s="95" t="s">
        <v>104</v>
      </c>
      <c r="D11" s="96">
        <v>0.67</v>
      </c>
      <c r="E11" s="97">
        <v>0.55000000000000004</v>
      </c>
      <c r="F11" s="98">
        <v>0.28000000000000003</v>
      </c>
      <c r="G11" s="99"/>
      <c r="H11" s="100"/>
      <c r="I11" s="86"/>
      <c r="J11" s="86"/>
      <c r="K11" s="101"/>
      <c r="L11" s="150"/>
      <c r="M11" s="137" t="s">
        <v>95</v>
      </c>
      <c r="N11" s="138"/>
      <c r="O11" s="138"/>
      <c r="P11" s="95" t="s">
        <v>104</v>
      </c>
      <c r="Q11" s="58">
        <v>1</v>
      </c>
      <c r="R11" s="154">
        <v>3.18</v>
      </c>
      <c r="S11" s="168">
        <v>0</v>
      </c>
      <c r="T11" s="172">
        <v>0</v>
      </c>
      <c r="U11" s="48"/>
      <c r="V11" s="142"/>
      <c r="W11" s="142"/>
      <c r="X11" s="142"/>
      <c r="Y11" s="157"/>
    </row>
    <row r="12" spans="2:35" hidden="1" x14ac:dyDescent="0.25">
      <c r="B12" s="86"/>
      <c r="C12" s="95" t="s">
        <v>105</v>
      </c>
      <c r="D12" s="96">
        <v>0.67</v>
      </c>
      <c r="E12" s="97">
        <v>0.44</v>
      </c>
      <c r="F12" s="98">
        <v>0.28000000000000003</v>
      </c>
      <c r="G12" s="99"/>
      <c r="H12" s="100"/>
      <c r="I12" s="86"/>
      <c r="J12" s="86"/>
      <c r="K12" s="101"/>
      <c r="L12" s="150"/>
      <c r="M12" s="137" t="s">
        <v>96</v>
      </c>
      <c r="N12" s="138"/>
      <c r="O12" s="138"/>
      <c r="P12" s="95" t="s">
        <v>105</v>
      </c>
      <c r="Q12" s="58">
        <v>1</v>
      </c>
      <c r="R12" s="154">
        <v>0</v>
      </c>
      <c r="S12" s="168">
        <v>0</v>
      </c>
      <c r="T12" s="172">
        <v>0</v>
      </c>
      <c r="U12" s="48"/>
      <c r="V12" s="142"/>
      <c r="W12" s="142"/>
      <c r="X12" s="142"/>
      <c r="Y12" s="157"/>
    </row>
    <row r="13" spans="2:35" hidden="1" x14ac:dyDescent="0.25">
      <c r="B13" s="86"/>
      <c r="C13" s="95" t="s">
        <v>106</v>
      </c>
      <c r="D13" s="96">
        <v>0.61</v>
      </c>
      <c r="E13" s="97">
        <v>0.4375</v>
      </c>
      <c r="F13" s="98">
        <v>0.33</v>
      </c>
      <c r="G13" s="99"/>
      <c r="H13" s="100"/>
      <c r="I13" s="86"/>
      <c r="J13" s="86"/>
      <c r="K13" s="106"/>
      <c r="L13" s="150"/>
      <c r="M13" s="137" t="s">
        <v>97</v>
      </c>
      <c r="N13" s="138"/>
      <c r="O13" s="138"/>
      <c r="P13" s="95" t="s">
        <v>106</v>
      </c>
      <c r="Q13" s="58">
        <v>1</v>
      </c>
      <c r="R13" s="154">
        <v>2.97</v>
      </c>
      <c r="S13" s="168">
        <v>0</v>
      </c>
      <c r="T13" s="172">
        <v>0</v>
      </c>
      <c r="U13" s="48"/>
      <c r="V13" s="142"/>
      <c r="W13" s="142"/>
      <c r="X13" s="142"/>
      <c r="Y13" s="157"/>
    </row>
    <row r="14" spans="2:35" ht="15.75" hidden="1" thickBot="1" x14ac:dyDescent="0.3">
      <c r="B14" s="86"/>
      <c r="C14" s="107" t="s">
        <v>107</v>
      </c>
      <c r="D14" s="108">
        <v>1</v>
      </c>
      <c r="E14" s="109">
        <v>0.5</v>
      </c>
      <c r="F14" s="110">
        <v>1</v>
      </c>
      <c r="G14" s="99"/>
      <c r="H14" s="100"/>
      <c r="I14" s="86"/>
      <c r="J14" s="87"/>
      <c r="K14" s="87"/>
      <c r="L14" s="150"/>
      <c r="M14" s="138"/>
      <c r="N14" s="138"/>
      <c r="O14" s="138"/>
      <c r="P14" s="143" t="s">
        <v>107</v>
      </c>
      <c r="Q14" s="64">
        <v>0.5</v>
      </c>
      <c r="R14" s="155">
        <v>0</v>
      </c>
      <c r="S14" s="169">
        <v>0</v>
      </c>
      <c r="T14" s="174">
        <v>0</v>
      </c>
      <c r="U14" s="48"/>
      <c r="V14" s="142"/>
      <c r="W14" s="142"/>
      <c r="X14" s="142"/>
      <c r="Y14" s="157"/>
    </row>
    <row r="15" spans="2:35" ht="15.75" thickBot="1" x14ac:dyDescent="0.3">
      <c r="B15" s="86"/>
      <c r="C15" s="103"/>
      <c r="D15" s="86"/>
      <c r="E15" s="101"/>
      <c r="F15" s="101"/>
      <c r="G15" s="99"/>
      <c r="H15" s="100"/>
      <c r="I15" s="86"/>
      <c r="J15" s="87"/>
      <c r="K15" s="87"/>
      <c r="L15" s="232" t="s">
        <v>133</v>
      </c>
      <c r="M15" s="216" t="s">
        <v>138</v>
      </c>
      <c r="N15" s="216" t="s">
        <v>134</v>
      </c>
      <c r="O15" s="217" t="s">
        <v>139</v>
      </c>
      <c r="P15" s="216" t="s">
        <v>132</v>
      </c>
      <c r="Q15" s="52"/>
      <c r="R15" s="156"/>
      <c r="S15" s="116"/>
      <c r="T15" s="232" t="s">
        <v>133</v>
      </c>
      <c r="U15" s="216" t="s">
        <v>138</v>
      </c>
      <c r="V15" s="216" t="s">
        <v>134</v>
      </c>
      <c r="W15" s="217" t="s">
        <v>139</v>
      </c>
      <c r="X15" s="216" t="s">
        <v>144</v>
      </c>
      <c r="Y15" s="157"/>
      <c r="AC15" s="206" t="s">
        <v>148</v>
      </c>
      <c r="AD15" s="207"/>
      <c r="AE15" s="207"/>
      <c r="AF15" s="207"/>
      <c r="AG15" s="207"/>
      <c r="AH15" s="207"/>
      <c r="AI15" s="208"/>
    </row>
    <row r="16" spans="2:35" ht="15.75" thickBot="1" x14ac:dyDescent="0.3">
      <c r="C16" s="119" t="s">
        <v>121</v>
      </c>
      <c r="D16" s="120" t="s">
        <v>119</v>
      </c>
      <c r="E16" s="121"/>
      <c r="F16" s="122"/>
      <c r="L16" s="232"/>
      <c r="M16" s="216"/>
      <c r="N16" s="216"/>
      <c r="O16" s="218"/>
      <c r="P16" s="216"/>
      <c r="Q16" s="142"/>
      <c r="R16" s="157"/>
      <c r="T16" s="232"/>
      <c r="U16" s="216"/>
      <c r="V16" s="216"/>
      <c r="W16" s="218"/>
      <c r="X16" s="216"/>
      <c r="Y16" s="157"/>
      <c r="AC16" s="212" t="s">
        <v>149</v>
      </c>
      <c r="AD16" s="214" t="s">
        <v>150</v>
      </c>
      <c r="AE16" s="214" t="s">
        <v>151</v>
      </c>
      <c r="AF16" s="206" t="s">
        <v>152</v>
      </c>
      <c r="AG16" s="208"/>
      <c r="AH16" s="206" t="s">
        <v>153</v>
      </c>
      <c r="AI16" s="208"/>
    </row>
    <row r="17" spans="3:35" ht="15" customHeight="1" x14ac:dyDescent="0.25">
      <c r="C17" s="123" t="s">
        <v>118</v>
      </c>
      <c r="D17" s="111" t="s">
        <v>109</v>
      </c>
      <c r="E17" s="111"/>
      <c r="F17" s="112"/>
      <c r="L17" s="239" t="s">
        <v>205</v>
      </c>
      <c r="M17" s="144">
        <f>72.727/2</f>
        <v>36.363500000000002</v>
      </c>
      <c r="N17" s="144">
        <f>Q26+Q27</f>
        <v>15.646666666666667</v>
      </c>
      <c r="O17" s="144">
        <f>M17-N17</f>
        <v>20.716833333333334</v>
      </c>
      <c r="P17" s="144">
        <v>5.41</v>
      </c>
      <c r="Q17" s="236" t="s">
        <v>201</v>
      </c>
      <c r="R17" s="237"/>
      <c r="T17" s="239" t="s">
        <v>205</v>
      </c>
      <c r="U17" s="144">
        <v>36.363999999999997</v>
      </c>
      <c r="V17" s="144">
        <f>Y26+Y28+Y27+Y29</f>
        <v>22.005030555555557</v>
      </c>
      <c r="W17" s="144">
        <f>U17-V17</f>
        <v>14.35896944444444</v>
      </c>
      <c r="X17" s="144">
        <v>3.75</v>
      </c>
      <c r="Y17" s="200" t="s">
        <v>201</v>
      </c>
      <c r="AC17" s="213"/>
      <c r="AD17" s="215"/>
      <c r="AE17" s="215"/>
      <c r="AF17" s="177" t="s">
        <v>154</v>
      </c>
      <c r="AG17" s="177" t="s">
        <v>155</v>
      </c>
      <c r="AH17" s="177" t="s">
        <v>156</v>
      </c>
      <c r="AI17" s="177" t="s">
        <v>157</v>
      </c>
    </row>
    <row r="18" spans="3:35" x14ac:dyDescent="0.25">
      <c r="C18" s="82"/>
      <c r="D18" s="226"/>
      <c r="E18" s="227"/>
      <c r="F18" s="228"/>
      <c r="L18" s="239">
        <v>2021</v>
      </c>
      <c r="M18" s="144">
        <v>72.727000000000004</v>
      </c>
      <c r="N18" s="144">
        <f>2*$Q$27</f>
        <v>2.4933333333333332</v>
      </c>
      <c r="O18" s="144">
        <f t="shared" ref="O18:O22" si="0">M18-N18</f>
        <v>70.233666666666664</v>
      </c>
      <c r="P18" s="144">
        <v>18.329999999999998</v>
      </c>
      <c r="Q18" s="236"/>
      <c r="R18" s="237"/>
      <c r="T18" s="239">
        <v>2021</v>
      </c>
      <c r="U18" s="144">
        <v>72.727000000000004</v>
      </c>
      <c r="V18" s="144">
        <f>2*$Y$27</f>
        <v>2.367777777777778</v>
      </c>
      <c r="W18" s="144">
        <f t="shared" ref="W18:W22" si="1">U18-V18</f>
        <v>70.359222222222229</v>
      </c>
      <c r="X18" s="144">
        <v>18.36</v>
      </c>
      <c r="Y18" s="200"/>
      <c r="AC18" s="141">
        <v>1</v>
      </c>
      <c r="AD18" s="141" t="s">
        <v>158</v>
      </c>
      <c r="AE18" s="141" t="s">
        <v>159</v>
      </c>
      <c r="AF18" s="141" t="s">
        <v>160</v>
      </c>
      <c r="AG18" s="178">
        <v>1</v>
      </c>
      <c r="AH18" s="179">
        <v>27.3</v>
      </c>
      <c r="AI18" s="180">
        <f>AG18*AH18*360</f>
        <v>9828</v>
      </c>
    </row>
    <row r="19" spans="3:35" ht="15.75" thickBot="1" x14ac:dyDescent="0.3">
      <c r="C19" s="82" t="s">
        <v>114</v>
      </c>
      <c r="D19" s="132" t="s">
        <v>111</v>
      </c>
      <c r="E19" s="126">
        <f>IF(D19=$K$4,(VLOOKUP(D21,$C$5:$F$14,2,FALSE)),(VLOOKUP(D21,$C$5:$F$14,4,FALSE)))</f>
        <v>0.87</v>
      </c>
      <c r="F19" s="130">
        <v>36.363999999999997</v>
      </c>
      <c r="L19" s="239">
        <v>2022</v>
      </c>
      <c r="M19" s="144">
        <v>72.727000000000004</v>
      </c>
      <c r="N19" s="144">
        <f>2*$Q$27</f>
        <v>2.4933333333333332</v>
      </c>
      <c r="O19" s="144">
        <f t="shared" si="0"/>
        <v>70.233666666666664</v>
      </c>
      <c r="P19" s="144">
        <v>18.329999999999998</v>
      </c>
      <c r="Q19" s="236"/>
      <c r="R19" s="237"/>
      <c r="T19" s="239">
        <v>2022</v>
      </c>
      <c r="U19" s="144">
        <v>72.727000000000004</v>
      </c>
      <c r="V19" s="144">
        <f t="shared" ref="V19:V20" si="2">2*$Y$27</f>
        <v>2.367777777777778</v>
      </c>
      <c r="W19" s="144">
        <f t="shared" si="1"/>
        <v>70.359222222222229</v>
      </c>
      <c r="X19" s="144">
        <v>18.36</v>
      </c>
      <c r="Y19" s="200"/>
      <c r="AC19" s="141">
        <v>2</v>
      </c>
      <c r="AD19" s="141" t="s">
        <v>161</v>
      </c>
      <c r="AE19" s="141" t="s">
        <v>162</v>
      </c>
      <c r="AF19" s="141" t="s">
        <v>160</v>
      </c>
      <c r="AG19" s="178">
        <v>1</v>
      </c>
      <c r="AH19" s="179">
        <v>27.3</v>
      </c>
      <c r="AI19" s="180">
        <f>AG19*AH19*360</f>
        <v>9828</v>
      </c>
    </row>
    <row r="20" spans="3:35" x14ac:dyDescent="0.25">
      <c r="C20" s="83" t="s">
        <v>115</v>
      </c>
      <c r="D20" s="127" t="s">
        <v>112</v>
      </c>
      <c r="E20" s="128"/>
      <c r="F20" s="131">
        <v>1.1839999999999999</v>
      </c>
      <c r="H20" s="222" t="s">
        <v>57</v>
      </c>
      <c r="I20" s="223"/>
      <c r="J20" s="117" t="s">
        <v>68</v>
      </c>
      <c r="L20" s="239">
        <v>2023</v>
      </c>
      <c r="M20" s="144">
        <v>72.727000000000004</v>
      </c>
      <c r="N20" s="144">
        <f>2*$Q$27</f>
        <v>2.4933333333333332</v>
      </c>
      <c r="O20" s="144">
        <f t="shared" si="0"/>
        <v>70.233666666666664</v>
      </c>
      <c r="P20" s="144">
        <v>18.329999999999998</v>
      </c>
      <c r="Q20" s="236"/>
      <c r="R20" s="237"/>
      <c r="T20" s="239">
        <v>2023</v>
      </c>
      <c r="U20" s="144">
        <v>72.727000000000004</v>
      </c>
      <c r="V20" s="144">
        <f t="shared" si="2"/>
        <v>2.367777777777778</v>
      </c>
      <c r="W20" s="144">
        <f t="shared" si="1"/>
        <v>70.359222222222229</v>
      </c>
      <c r="X20" s="144">
        <v>18.36</v>
      </c>
      <c r="Y20" s="200"/>
      <c r="AC20" s="141">
        <v>3</v>
      </c>
      <c r="AD20" s="141" t="s">
        <v>163</v>
      </c>
      <c r="AE20" s="141" t="s">
        <v>164</v>
      </c>
      <c r="AF20" s="141" t="s">
        <v>165</v>
      </c>
      <c r="AG20" s="178">
        <v>4</v>
      </c>
      <c r="AH20" s="179">
        <v>20.02</v>
      </c>
      <c r="AI20" s="180">
        <f t="shared" ref="AI20:AI23" si="3">AG20*AH20*360</f>
        <v>28828.799999999999</v>
      </c>
    </row>
    <row r="21" spans="3:35" ht="15.75" thickBot="1" x14ac:dyDescent="0.3">
      <c r="C21" s="82" t="s">
        <v>113</v>
      </c>
      <c r="D21" s="133" t="s">
        <v>99</v>
      </c>
      <c r="E21" s="114">
        <f>VLOOKUP(D21,$C$4:$F$14,3,FALSE)</f>
        <v>0.3</v>
      </c>
      <c r="F21" s="129">
        <f>(F19-F20)*E21*E19</f>
        <v>9.1819799999999994</v>
      </c>
      <c r="H21" s="224"/>
      <c r="I21" s="225"/>
      <c r="J21" s="118" t="s">
        <v>59</v>
      </c>
      <c r="L21" s="239">
        <v>2024</v>
      </c>
      <c r="M21" s="144">
        <v>72.727000000000004</v>
      </c>
      <c r="N21" s="144">
        <f>2*$Q$27</f>
        <v>2.4933333333333332</v>
      </c>
      <c r="O21" s="144">
        <f t="shared" si="0"/>
        <v>70.233666666666664</v>
      </c>
      <c r="P21" s="144">
        <v>18.329999999999998</v>
      </c>
      <c r="Q21" s="236"/>
      <c r="R21" s="237"/>
      <c r="T21" s="239">
        <v>2024</v>
      </c>
      <c r="U21" s="144">
        <v>72.727000000000004</v>
      </c>
      <c r="V21" s="144">
        <f>2*$Y$27</f>
        <v>2.367777777777778</v>
      </c>
      <c r="W21" s="144">
        <f t="shared" si="1"/>
        <v>70.359222222222229</v>
      </c>
      <c r="X21" s="144">
        <v>18.36</v>
      </c>
      <c r="Y21" s="200"/>
      <c r="AC21" s="141">
        <v>4</v>
      </c>
      <c r="AD21" s="141" t="s">
        <v>166</v>
      </c>
      <c r="AE21" s="141" t="s">
        <v>167</v>
      </c>
      <c r="AF21" s="141" t="s">
        <v>160</v>
      </c>
      <c r="AG21" s="178">
        <v>1</v>
      </c>
      <c r="AH21" s="179">
        <v>27.3</v>
      </c>
      <c r="AI21" s="180">
        <f t="shared" si="3"/>
        <v>9828</v>
      </c>
    </row>
    <row r="22" spans="3:35" ht="27" thickBot="1" x14ac:dyDescent="0.3">
      <c r="C22" s="83" t="s">
        <v>127</v>
      </c>
      <c r="L22" s="239" t="s">
        <v>204</v>
      </c>
      <c r="M22" s="144">
        <f>72.727/2</f>
        <v>36.363500000000002</v>
      </c>
      <c r="N22" s="144">
        <f>Q27</f>
        <v>1.2466666666666666</v>
      </c>
      <c r="O22" s="144">
        <f t="shared" si="0"/>
        <v>35.116833333333332</v>
      </c>
      <c r="P22" s="144">
        <v>9.17</v>
      </c>
      <c r="Q22" s="238"/>
      <c r="R22" s="194"/>
      <c r="T22" s="239" t="s">
        <v>204</v>
      </c>
      <c r="U22" s="144">
        <v>36.363999999999997</v>
      </c>
      <c r="V22" s="144">
        <f>Y27</f>
        <v>1.183888888888889</v>
      </c>
      <c r="W22" s="144">
        <f>U22-V22</f>
        <v>35.18011111111111</v>
      </c>
      <c r="X22" s="144">
        <v>9.18</v>
      </c>
      <c r="Y22" s="200"/>
      <c r="AC22" s="141">
        <v>5</v>
      </c>
      <c r="AD22" s="141" t="s">
        <v>168</v>
      </c>
      <c r="AE22" s="141" t="s">
        <v>169</v>
      </c>
      <c r="AF22" s="141" t="s">
        <v>165</v>
      </c>
      <c r="AG22" s="178">
        <v>1</v>
      </c>
      <c r="AH22" s="179">
        <v>20.02</v>
      </c>
      <c r="AI22" s="180">
        <f t="shared" si="3"/>
        <v>7207.2</v>
      </c>
    </row>
    <row r="23" spans="3:35" ht="13.5" customHeight="1" thickBot="1" x14ac:dyDescent="0.3">
      <c r="C23" s="82" t="s">
        <v>123</v>
      </c>
      <c r="D23" s="121" t="s">
        <v>120</v>
      </c>
      <c r="E23" s="121"/>
      <c r="F23" s="122"/>
      <c r="L23" s="158" t="s">
        <v>137</v>
      </c>
      <c r="M23" s="148">
        <f>SUM(M17:M21)</f>
        <v>327.2715</v>
      </c>
      <c r="N23" s="148">
        <f>SUM(N17:N22)</f>
        <v>26.866666666666664</v>
      </c>
      <c r="O23" s="148">
        <f>SUM(O17:O21)</f>
        <v>301.6515</v>
      </c>
      <c r="P23" s="148">
        <f>SUM(P17:P22)</f>
        <v>87.899999999999991</v>
      </c>
      <c r="Q23" s="142"/>
      <c r="R23" s="157"/>
      <c r="T23" s="158" t="s">
        <v>137</v>
      </c>
      <c r="U23" s="148">
        <f>SUM(U17:U21)</f>
        <v>327.27200000000005</v>
      </c>
      <c r="V23" s="148">
        <f>SUM(V17:V22)</f>
        <v>32.660030555555558</v>
      </c>
      <c r="W23" s="148">
        <f>SUM(W17:W22)</f>
        <v>330.97596944444444</v>
      </c>
      <c r="X23" s="148">
        <f>SUM(X17:X22)</f>
        <v>86.37</v>
      </c>
      <c r="Y23" s="200"/>
      <c r="AC23" s="141">
        <v>6</v>
      </c>
      <c r="AD23" s="141" t="s">
        <v>170</v>
      </c>
      <c r="AE23" s="141" t="s">
        <v>171</v>
      </c>
      <c r="AF23" s="141" t="s">
        <v>165</v>
      </c>
      <c r="AG23" s="178">
        <v>1</v>
      </c>
      <c r="AH23" s="179">
        <v>20.02</v>
      </c>
      <c r="AI23" s="180">
        <f t="shared" si="3"/>
        <v>7207.2</v>
      </c>
    </row>
    <row r="24" spans="3:35" x14ac:dyDescent="0.25">
      <c r="C24" s="82" t="s">
        <v>125</v>
      </c>
      <c r="D24" s="111" t="s">
        <v>108</v>
      </c>
      <c r="E24" s="111"/>
      <c r="F24" s="112"/>
      <c r="L24" s="150"/>
      <c r="M24" s="138"/>
      <c r="N24" s="138"/>
      <c r="O24" s="138"/>
      <c r="P24" s="138"/>
      <c r="Q24" s="142"/>
      <c r="R24" s="157"/>
      <c r="T24" s="175"/>
      <c r="U24" s="142"/>
      <c r="V24" s="142"/>
      <c r="W24" s="142"/>
      <c r="X24" s="142"/>
      <c r="Y24" s="157"/>
      <c r="Z24" s="142"/>
      <c r="AC24" s="203" t="s">
        <v>207</v>
      </c>
      <c r="AD24" s="204"/>
      <c r="AE24" s="204"/>
      <c r="AF24" s="204"/>
      <c r="AG24" s="204"/>
      <c r="AH24" s="205"/>
      <c r="AI24" s="180">
        <f>SUM(AI18:AI23)</f>
        <v>72727.199999999997</v>
      </c>
    </row>
    <row r="25" spans="3:35" x14ac:dyDescent="0.25">
      <c r="C25" s="82" t="s">
        <v>126</v>
      </c>
      <c r="D25" s="132" t="s">
        <v>67</v>
      </c>
      <c r="E25" s="96">
        <f>IF(D25=$K$7,(VLOOKUP(D28,$P$4:$T$14,3,FALSE)),IF(D25=$K$8,(VLOOKUP(D28,$P$4:T$14,4,FALSE)),(VLOOKUP(D28,$P$4:T$14,5,FALSE))))</f>
        <v>15.65</v>
      </c>
      <c r="F25" s="131">
        <v>1</v>
      </c>
      <c r="L25" s="219"/>
      <c r="M25" s="220"/>
      <c r="N25" s="220"/>
      <c r="O25" s="220"/>
      <c r="P25" s="221"/>
      <c r="Q25" s="141" t="s">
        <v>140</v>
      </c>
      <c r="R25" s="159" t="s">
        <v>141</v>
      </c>
      <c r="T25" s="219"/>
      <c r="U25" s="220"/>
      <c r="V25" s="220"/>
      <c r="W25" s="220"/>
      <c r="X25" s="221"/>
      <c r="Y25" s="159" t="s">
        <v>199</v>
      </c>
      <c r="Z25" s="201" t="s">
        <v>147</v>
      </c>
      <c r="AC25" s="135"/>
      <c r="AD25" s="181"/>
      <c r="AE25" s="181"/>
      <c r="AF25" s="181"/>
      <c r="AG25" s="181"/>
      <c r="AH25" s="182"/>
      <c r="AI25" s="135"/>
    </row>
    <row r="26" spans="3:35" x14ac:dyDescent="0.25">
      <c r="C26" s="82" t="s">
        <v>128</v>
      </c>
      <c r="D26" s="134" t="s">
        <v>124</v>
      </c>
      <c r="E26" s="113">
        <f>(VLOOKUP(D28,$C$5:$F$14,3,FALSE))</f>
        <v>0.2767</v>
      </c>
      <c r="F26" s="131">
        <v>366</v>
      </c>
      <c r="L26" s="160" t="s">
        <v>143</v>
      </c>
      <c r="M26" s="145"/>
      <c r="N26" s="145"/>
      <c r="O26" s="145"/>
      <c r="P26" s="146"/>
      <c r="Q26" s="147">
        <f>1.2*480000*9/(1000*360)</f>
        <v>14.4</v>
      </c>
      <c r="R26" s="161">
        <f>1.2*1155000*9/(1000*360)</f>
        <v>34.65</v>
      </c>
      <c r="T26" s="160" t="s">
        <v>135</v>
      </c>
      <c r="U26" s="145"/>
      <c r="V26" s="145"/>
      <c r="W26" s="145"/>
      <c r="X26" s="146"/>
      <c r="Y26" s="161">
        <f>(1.1*480000*9)/(1000*360)</f>
        <v>13.2</v>
      </c>
      <c r="Z26" s="201"/>
      <c r="AC26" s="135"/>
      <c r="AD26" s="135"/>
      <c r="AE26" s="135"/>
      <c r="AF26" s="183"/>
      <c r="AG26" s="183"/>
      <c r="AH26" s="135"/>
      <c r="AI26" s="135"/>
    </row>
    <row r="27" spans="3:35" x14ac:dyDescent="0.25">
      <c r="C27" s="82" t="s">
        <v>129</v>
      </c>
      <c r="D27" s="127" t="s">
        <v>112</v>
      </c>
      <c r="E27" s="113">
        <f>(VLOOKUP(D28,$C$5:$F$14,4,FALSE))</f>
        <v>0.87</v>
      </c>
      <c r="F27" s="131">
        <v>60</v>
      </c>
      <c r="L27" s="160" t="s">
        <v>198</v>
      </c>
      <c r="M27" s="145"/>
      <c r="N27" s="145"/>
      <c r="O27" s="145"/>
      <c r="P27" s="146"/>
      <c r="Q27" s="147">
        <f>1.2*(38000*9+32000)/(1000*360)</f>
        <v>1.2466666666666666</v>
      </c>
      <c r="R27" s="161">
        <f>1.2*(40000*9+32000)/(1000*360)</f>
        <v>1.3066666666666666</v>
      </c>
      <c r="T27" s="160" t="s">
        <v>146</v>
      </c>
      <c r="U27" s="145"/>
      <c r="V27" s="145"/>
      <c r="W27" s="145"/>
      <c r="X27" s="146"/>
      <c r="Y27" s="161">
        <f>(1.1*38000*9+50000)/(1000*360)</f>
        <v>1.183888888888889</v>
      </c>
      <c r="AC27" s="206" t="s">
        <v>172</v>
      </c>
      <c r="AD27" s="207"/>
      <c r="AE27" s="207"/>
      <c r="AF27" s="207"/>
      <c r="AG27" s="207"/>
      <c r="AH27" s="207"/>
      <c r="AI27" s="208"/>
    </row>
    <row r="28" spans="3:35" ht="26.25" customHeight="1" thickBot="1" x14ac:dyDescent="0.3">
      <c r="C28" s="83" t="s">
        <v>131</v>
      </c>
      <c r="D28" s="133" t="s">
        <v>103</v>
      </c>
      <c r="E28" s="114">
        <f>VLOOKUP(D28,$P$4:$T$14,2,FALSE)</f>
        <v>0.2767</v>
      </c>
      <c r="F28" s="118">
        <f>(((F26/366)*F25*E28*E25)*1000)-(F27*E27*E26)</f>
        <v>4315.9112599999999</v>
      </c>
      <c r="L28" s="162"/>
      <c r="M28" s="163"/>
      <c r="N28" s="163"/>
      <c r="O28" s="163"/>
      <c r="P28" s="163"/>
      <c r="Q28" s="164" t="s">
        <v>136</v>
      </c>
      <c r="R28" s="165"/>
      <c r="T28" s="193" t="s">
        <v>200</v>
      </c>
      <c r="U28" s="192"/>
      <c r="V28" s="192"/>
      <c r="W28" s="192"/>
      <c r="X28" s="192"/>
      <c r="Y28" s="161">
        <f>(1203+128715/360)/1000</f>
        <v>1.5605416666666667</v>
      </c>
      <c r="AC28" s="184" t="s">
        <v>149</v>
      </c>
      <c r="AD28" s="184" t="s">
        <v>173</v>
      </c>
      <c r="AE28" s="184" t="s">
        <v>174</v>
      </c>
      <c r="AF28" s="185" t="s">
        <v>175</v>
      </c>
      <c r="AG28" s="185" t="s">
        <v>176</v>
      </c>
      <c r="AH28" s="184" t="s">
        <v>177</v>
      </c>
      <c r="AI28" s="184" t="s">
        <v>178</v>
      </c>
    </row>
    <row r="29" spans="3:35" ht="13.5" customHeight="1" x14ac:dyDescent="0.25">
      <c r="C29" s="82" t="s">
        <v>130</v>
      </c>
      <c r="T29" s="240" t="s">
        <v>206</v>
      </c>
      <c r="U29" s="240"/>
      <c r="V29" s="240"/>
      <c r="W29" s="240"/>
      <c r="X29" s="240"/>
      <c r="Y29" s="147">
        <v>6.0606</v>
      </c>
      <c r="AC29" s="186">
        <v>1</v>
      </c>
      <c r="AD29" s="186" t="s">
        <v>179</v>
      </c>
      <c r="AE29" s="186" t="s">
        <v>180</v>
      </c>
      <c r="AF29" s="187">
        <v>480000</v>
      </c>
      <c r="AG29" s="187">
        <f>2*5*38000</f>
        <v>380000</v>
      </c>
      <c r="AH29" s="188">
        <f>SUM(AF29:AG29)</f>
        <v>860000</v>
      </c>
      <c r="AI29" s="209" t="s">
        <v>181</v>
      </c>
    </row>
    <row r="30" spans="3:35" ht="11.25" customHeight="1" thickBot="1" x14ac:dyDescent="0.3">
      <c r="C30" s="84"/>
      <c r="D30" s="93"/>
      <c r="E30" s="86"/>
      <c r="F30" s="86"/>
      <c r="G30" s="105"/>
      <c r="H30" s="87"/>
      <c r="T30" s="176"/>
      <c r="U30" s="164"/>
      <c r="V30" s="164"/>
      <c r="W30" s="164"/>
      <c r="X30" s="164"/>
      <c r="Y30" s="165" t="s">
        <v>136</v>
      </c>
      <c r="AC30" s="186">
        <v>2</v>
      </c>
      <c r="AD30" s="186" t="s">
        <v>179</v>
      </c>
      <c r="AE30" s="186" t="s">
        <v>182</v>
      </c>
      <c r="AF30" s="187">
        <v>480000</v>
      </c>
      <c r="AG30" s="187">
        <f t="shared" ref="AG30:AG37" si="4">2*5*38000</f>
        <v>380000</v>
      </c>
      <c r="AH30" s="188">
        <f t="shared" ref="AH30:AH37" si="5">SUM(AF30:AG30)</f>
        <v>860000</v>
      </c>
      <c r="AI30" s="210"/>
    </row>
    <row r="31" spans="3:35" ht="11.25" customHeight="1" x14ac:dyDescent="0.25">
      <c r="D31" s="86"/>
      <c r="E31" s="86"/>
      <c r="F31" s="86"/>
      <c r="G31" s="101"/>
      <c r="H31" s="87"/>
      <c r="AC31" s="186">
        <v>3</v>
      </c>
      <c r="AD31" s="186" t="s">
        <v>183</v>
      </c>
      <c r="AE31" s="186" t="s">
        <v>184</v>
      </c>
      <c r="AF31" s="187">
        <v>480000</v>
      </c>
      <c r="AG31" s="187">
        <f t="shared" si="4"/>
        <v>380000</v>
      </c>
      <c r="AH31" s="188">
        <f t="shared" si="5"/>
        <v>860000</v>
      </c>
      <c r="AI31" s="210"/>
    </row>
    <row r="32" spans="3:35" x14ac:dyDescent="0.25">
      <c r="D32" s="115"/>
      <c r="E32" s="86"/>
      <c r="F32" s="86"/>
      <c r="G32" s="101"/>
      <c r="H32" s="87"/>
      <c r="AC32" s="186">
        <v>4</v>
      </c>
      <c r="AD32" s="186" t="s">
        <v>183</v>
      </c>
      <c r="AE32" s="186" t="s">
        <v>185</v>
      </c>
      <c r="AF32" s="187">
        <v>480000</v>
      </c>
      <c r="AG32" s="187">
        <f t="shared" si="4"/>
        <v>380000</v>
      </c>
      <c r="AH32" s="188">
        <f t="shared" si="5"/>
        <v>860000</v>
      </c>
      <c r="AI32" s="210"/>
    </row>
    <row r="33" spans="3:35" ht="15.75" thickBot="1" x14ac:dyDescent="0.3">
      <c r="C33" s="87"/>
      <c r="D33" s="103"/>
      <c r="E33" s="86"/>
      <c r="F33" s="86"/>
      <c r="G33" s="106"/>
      <c r="H33" s="87"/>
      <c r="AC33" s="186">
        <v>5</v>
      </c>
      <c r="AD33" s="186" t="s">
        <v>183</v>
      </c>
      <c r="AE33" s="186" t="s">
        <v>186</v>
      </c>
      <c r="AF33" s="187">
        <v>480000</v>
      </c>
      <c r="AG33" s="187">
        <f t="shared" si="4"/>
        <v>380000</v>
      </c>
      <c r="AH33" s="188">
        <f t="shared" si="5"/>
        <v>860000</v>
      </c>
      <c r="AI33" s="210"/>
    </row>
    <row r="34" spans="3:35" ht="26.25" x14ac:dyDescent="0.25">
      <c r="C34" s="124" t="s">
        <v>117</v>
      </c>
      <c r="D34" s="87"/>
      <c r="E34" s="87"/>
      <c r="F34" s="87"/>
      <c r="G34" s="87"/>
      <c r="H34" s="87"/>
      <c r="Y34" s="241"/>
      <c r="AC34" s="186">
        <v>6</v>
      </c>
      <c r="AD34" s="186" t="s">
        <v>183</v>
      </c>
      <c r="AE34" s="186" t="s">
        <v>187</v>
      </c>
      <c r="AF34" s="187">
        <v>480000</v>
      </c>
      <c r="AG34" s="187">
        <f t="shared" si="4"/>
        <v>380000</v>
      </c>
      <c r="AH34" s="188">
        <f t="shared" si="5"/>
        <v>860000</v>
      </c>
      <c r="AI34" s="210"/>
    </row>
    <row r="35" spans="3:35" ht="15.75" thickBot="1" x14ac:dyDescent="0.3">
      <c r="C35" s="125" t="s">
        <v>116</v>
      </c>
      <c r="D35" s="93"/>
      <c r="E35" s="86"/>
      <c r="F35" s="86"/>
      <c r="G35" s="105"/>
      <c r="H35" s="87"/>
      <c r="AC35" s="186">
        <v>7</v>
      </c>
      <c r="AD35" s="186" t="s">
        <v>188</v>
      </c>
      <c r="AE35" s="186" t="s">
        <v>189</v>
      </c>
      <c r="AF35" s="187">
        <v>480000</v>
      </c>
      <c r="AG35" s="187">
        <f t="shared" si="4"/>
        <v>380000</v>
      </c>
      <c r="AH35" s="188">
        <f t="shared" si="5"/>
        <v>860000</v>
      </c>
      <c r="AI35" s="210"/>
    </row>
    <row r="36" spans="3:35" x14ac:dyDescent="0.25">
      <c r="C36" s="87"/>
      <c r="D36" s="86"/>
      <c r="E36" s="86"/>
      <c r="F36" s="86"/>
      <c r="G36" s="101"/>
      <c r="H36" s="87"/>
      <c r="AC36" s="186">
        <v>8</v>
      </c>
      <c r="AD36" s="186" t="s">
        <v>188</v>
      </c>
      <c r="AE36" s="186" t="s">
        <v>190</v>
      </c>
      <c r="AF36" s="187">
        <v>480000</v>
      </c>
      <c r="AG36" s="187">
        <f t="shared" si="4"/>
        <v>380000</v>
      </c>
      <c r="AH36" s="188">
        <f t="shared" si="5"/>
        <v>860000</v>
      </c>
      <c r="AI36" s="210"/>
    </row>
    <row r="37" spans="3:35" x14ac:dyDescent="0.25">
      <c r="C37" s="87"/>
      <c r="D37" s="115"/>
      <c r="E37" s="86"/>
      <c r="F37" s="86"/>
      <c r="G37" s="101"/>
      <c r="H37" s="87"/>
      <c r="AC37" s="186">
        <v>9</v>
      </c>
      <c r="AD37" s="186" t="s">
        <v>188</v>
      </c>
      <c r="AE37" s="186" t="s">
        <v>191</v>
      </c>
      <c r="AF37" s="187">
        <v>480000</v>
      </c>
      <c r="AG37" s="187">
        <f t="shared" si="4"/>
        <v>380000</v>
      </c>
      <c r="AH37" s="188">
        <f t="shared" si="5"/>
        <v>860000</v>
      </c>
      <c r="AI37" s="211"/>
    </row>
    <row r="38" spans="3:35" x14ac:dyDescent="0.25">
      <c r="C38" s="87"/>
      <c r="D38" s="103"/>
      <c r="E38" s="86"/>
      <c r="F38" s="86"/>
      <c r="G38" s="106"/>
      <c r="H38" s="87"/>
      <c r="AC38" s="186"/>
      <c r="AD38" s="202" t="s">
        <v>202</v>
      </c>
      <c r="AE38" s="202"/>
      <c r="AF38" s="202"/>
      <c r="AG38" s="202"/>
      <c r="AH38" s="188">
        <f>1203*360+128715</f>
        <v>561795</v>
      </c>
      <c r="AI38" s="195"/>
    </row>
    <row r="39" spans="3:35" x14ac:dyDescent="0.25">
      <c r="C39" s="87"/>
      <c r="D39" s="87"/>
      <c r="E39" s="87"/>
      <c r="F39" s="87"/>
      <c r="G39" s="87"/>
      <c r="H39" s="87"/>
      <c r="AC39" s="141"/>
      <c r="AD39" s="202" t="s">
        <v>192</v>
      </c>
      <c r="AE39" s="202"/>
      <c r="AF39" s="202"/>
      <c r="AG39" s="202"/>
      <c r="AH39" s="188">
        <f>2*5*50000</f>
        <v>500000</v>
      </c>
      <c r="AI39" s="141"/>
    </row>
    <row r="40" spans="3:35" x14ac:dyDescent="0.25">
      <c r="C40" s="87"/>
      <c r="D40" s="87"/>
      <c r="E40" s="87"/>
      <c r="F40" s="87"/>
      <c r="G40" s="87"/>
      <c r="H40" s="87"/>
      <c r="AC40" s="141"/>
      <c r="AD40" s="202" t="s">
        <v>203</v>
      </c>
      <c r="AE40" s="202"/>
      <c r="AF40" s="202"/>
      <c r="AG40" s="202"/>
      <c r="AH40" s="188">
        <f>SUM(AH29:AH37)*1.1+SUM(AH38:AH39)</f>
        <v>9575795</v>
      </c>
      <c r="AI40" s="141"/>
    </row>
    <row r="41" spans="3:35" x14ac:dyDescent="0.25">
      <c r="C41" s="87"/>
      <c r="D41" s="87"/>
      <c r="E41" s="87"/>
      <c r="F41" s="87"/>
      <c r="G41" s="87"/>
      <c r="H41" s="87"/>
      <c r="AC41" s="141"/>
      <c r="AD41" s="196" t="s">
        <v>193</v>
      </c>
      <c r="AE41" s="196"/>
      <c r="AF41" s="196"/>
      <c r="AG41" s="196"/>
      <c r="AH41" s="188">
        <f>AH40/5</f>
        <v>1915159</v>
      </c>
      <c r="AI41" s="141" t="s">
        <v>194</v>
      </c>
    </row>
    <row r="42" spans="3:35" x14ac:dyDescent="0.25">
      <c r="C42" s="87"/>
      <c r="AC42" s="141"/>
      <c r="AD42" s="196" t="s">
        <v>195</v>
      </c>
      <c r="AE42" s="196"/>
      <c r="AF42" s="196"/>
      <c r="AG42" s="196"/>
      <c r="AH42" s="189">
        <f>AH41/360</f>
        <v>5319.8861111111109</v>
      </c>
      <c r="AI42" s="141"/>
    </row>
    <row r="43" spans="3:35" ht="15.75" thickBot="1" x14ac:dyDescent="0.3">
      <c r="AC43" s="135"/>
      <c r="AD43" s="135"/>
      <c r="AE43" s="135"/>
      <c r="AF43" s="183"/>
      <c r="AG43" s="183"/>
      <c r="AH43" s="190"/>
      <c r="AI43" s="135"/>
    </row>
    <row r="44" spans="3:35" ht="15.75" thickBot="1" x14ac:dyDescent="0.3">
      <c r="AC44" s="197" t="s">
        <v>196</v>
      </c>
      <c r="AD44" s="198"/>
      <c r="AE44" s="198"/>
      <c r="AF44" s="198"/>
      <c r="AG44" s="199"/>
      <c r="AH44" s="191">
        <f>AI24-AH42</f>
        <v>67407.313888888893</v>
      </c>
      <c r="AI44" s="135"/>
    </row>
    <row r="45" spans="3:35" ht="15.75" thickBot="1" x14ac:dyDescent="0.3">
      <c r="AC45" s="197" t="s">
        <v>197</v>
      </c>
      <c r="AD45" s="198"/>
      <c r="AE45" s="198"/>
      <c r="AF45" s="198"/>
      <c r="AG45" s="199"/>
      <c r="AH45" s="191">
        <f>5*AH44-AI24/12</f>
        <v>330975.96944444452</v>
      </c>
      <c r="AI45" s="135"/>
    </row>
  </sheetData>
  <mergeCells count="37">
    <mergeCell ref="T29:X29"/>
    <mergeCell ref="L25:P25"/>
    <mergeCell ref="O15:O16"/>
    <mergeCell ref="M15:M16"/>
    <mergeCell ref="N15:N16"/>
    <mergeCell ref="P15:P16"/>
    <mergeCell ref="H20:I21"/>
    <mergeCell ref="D18:F18"/>
    <mergeCell ref="C2:F2"/>
    <mergeCell ref="L15:L16"/>
    <mergeCell ref="T15:T16"/>
    <mergeCell ref="L2:R2"/>
    <mergeCell ref="T2:Y2"/>
    <mergeCell ref="Q17:R21"/>
    <mergeCell ref="Y17:Y23"/>
    <mergeCell ref="U15:U16"/>
    <mergeCell ref="V15:V16"/>
    <mergeCell ref="W15:W16"/>
    <mergeCell ref="X15:X16"/>
    <mergeCell ref="T25:X25"/>
    <mergeCell ref="AC15:AI15"/>
    <mergeCell ref="AC16:AC17"/>
    <mergeCell ref="AD16:AD17"/>
    <mergeCell ref="AE16:AE17"/>
    <mergeCell ref="AF16:AG16"/>
    <mergeCell ref="AH16:AI16"/>
    <mergeCell ref="AD41:AG41"/>
    <mergeCell ref="AD42:AG42"/>
    <mergeCell ref="AC44:AG44"/>
    <mergeCell ref="AC45:AG45"/>
    <mergeCell ref="Z25:Z26"/>
    <mergeCell ref="AD38:AG38"/>
    <mergeCell ref="AC24:AH24"/>
    <mergeCell ref="AC27:AI27"/>
    <mergeCell ref="AI29:AI37"/>
    <mergeCell ref="AD39:AG39"/>
    <mergeCell ref="AD40:AG40"/>
  </mergeCells>
  <dataValidations count="3">
    <dataValidation type="list" allowBlank="1" showInputMessage="1" showErrorMessage="1" sqref="D19" xr:uid="{FC255735-9DFB-4DE5-A268-500C8E3195F1}">
      <formula1>$K$4:$K$5</formula1>
    </dataValidation>
    <dataValidation type="list" allowBlank="1" showInputMessage="1" showErrorMessage="1" sqref="D21 D28 D33 D38" xr:uid="{063E312A-4BBC-43D0-A5B6-EC5751534FD6}">
      <formula1>$C$5:$C$14</formula1>
    </dataValidation>
    <dataValidation type="list" allowBlank="1" showInputMessage="1" showErrorMessage="1" sqref="D25" xr:uid="{497927B4-E0A0-447A-A352-6B47B48535F1}">
      <formula1>$K$7:$K$9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109375" defaultRowHeight="12.75" x14ac:dyDescent="0.2"/>
  <cols>
    <col min="1" max="1" width="8.85546875" style="1" customWidth="1"/>
    <col min="2" max="2" width="26.85546875" style="1" bestFit="1" customWidth="1"/>
    <col min="3" max="3" width="12" style="1" customWidth="1"/>
    <col min="4" max="6" width="20.7109375" style="1"/>
    <col min="7" max="7" width="26.85546875" style="1" customWidth="1"/>
    <col min="8" max="8" width="20.7109375" style="1"/>
    <col min="9" max="9" width="15.28515625" style="1" customWidth="1"/>
    <col min="10" max="10" width="12.85546875" style="1" customWidth="1"/>
    <col min="11" max="16384" width="20.7109375" style="1"/>
  </cols>
  <sheetData>
    <row r="1" spans="2:11" ht="13.5" thickBot="1" x14ac:dyDescent="0.25"/>
    <row r="2" spans="2:11" x14ac:dyDescent="0.2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2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2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2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2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5.5" x14ac:dyDescent="0.2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5.5" x14ac:dyDescent="0.2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25" thickBot="1" x14ac:dyDescent="0.2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25" thickBot="1" x14ac:dyDescent="0.2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25" thickBot="1" x14ac:dyDescent="0.25">
      <c r="K11" s="19" t="s">
        <v>9</v>
      </c>
    </row>
    <row r="12" spans="2:11" ht="13.5" thickBot="1" x14ac:dyDescent="0.25"/>
    <row r="13" spans="2:11" ht="13.5" thickBot="1" x14ac:dyDescent="0.25">
      <c r="B13" s="10" t="s">
        <v>35</v>
      </c>
      <c r="C13" s="11" t="s">
        <v>1</v>
      </c>
      <c r="D13" s="12" t="s">
        <v>4</v>
      </c>
    </row>
    <row r="14" spans="2:11" x14ac:dyDescent="0.2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2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2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2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5.5" x14ac:dyDescent="0.2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5.5" x14ac:dyDescent="0.2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25" thickBot="1" x14ac:dyDescent="0.2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5.5" x14ac:dyDescent="0.2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25">
      <c r="G22" s="19" t="s">
        <v>9</v>
      </c>
      <c r="H22" s="20">
        <v>0.2767</v>
      </c>
      <c r="I22" s="21">
        <f>I17*H22</f>
        <v>0.1073596</v>
      </c>
    </row>
    <row r="23" spans="2:9" x14ac:dyDescent="0.2">
      <c r="B23" s="39" t="s">
        <v>57</v>
      </c>
      <c r="C23" s="40"/>
      <c r="D23" s="41" t="s">
        <v>58</v>
      </c>
    </row>
    <row r="24" spans="2:9" ht="13.5" thickBot="1" x14ac:dyDescent="0.25">
      <c r="B24" s="42"/>
      <c r="C24" s="43"/>
      <c r="D24" s="44" t="s">
        <v>59</v>
      </c>
    </row>
    <row r="25" spans="2:9" x14ac:dyDescent="0.2">
      <c r="G25" s="10" t="s">
        <v>32</v>
      </c>
      <c r="H25" s="28" t="s">
        <v>1</v>
      </c>
      <c r="I25" s="29" t="s">
        <v>4</v>
      </c>
    </row>
    <row r="26" spans="2:9" x14ac:dyDescent="0.2">
      <c r="G26" s="30" t="s">
        <v>20</v>
      </c>
      <c r="H26" s="9">
        <v>5</v>
      </c>
      <c r="I26" s="31"/>
    </row>
    <row r="27" spans="2:9" x14ac:dyDescent="0.2">
      <c r="G27" s="26" t="s">
        <v>21</v>
      </c>
      <c r="H27" s="9">
        <v>365</v>
      </c>
      <c r="I27" s="31"/>
    </row>
    <row r="28" spans="2:9" x14ac:dyDescent="0.2">
      <c r="G28" s="16" t="s">
        <v>12</v>
      </c>
      <c r="H28" s="2">
        <v>15.65</v>
      </c>
      <c r="I28" s="27">
        <f>(H27/365)*H28*H26</f>
        <v>78.25</v>
      </c>
    </row>
    <row r="29" spans="2:9" x14ac:dyDescent="0.2">
      <c r="G29" s="16" t="s">
        <v>13</v>
      </c>
      <c r="H29" s="2">
        <v>0.3</v>
      </c>
      <c r="I29" s="17">
        <f>I28*H29</f>
        <v>23.474999999999998</v>
      </c>
    </row>
    <row r="30" spans="2:9" x14ac:dyDescent="0.2">
      <c r="G30" s="16" t="s">
        <v>8</v>
      </c>
      <c r="H30" s="2">
        <v>0.66669999999999996</v>
      </c>
      <c r="I30" s="17">
        <f>I28*H30</f>
        <v>52.169274999999999</v>
      </c>
    </row>
    <row r="31" spans="2:9" ht="25.5" x14ac:dyDescent="0.2">
      <c r="G31" s="18" t="s">
        <v>18</v>
      </c>
      <c r="H31" s="2">
        <v>0.15</v>
      </c>
      <c r="I31" s="17">
        <f>I28*H31</f>
        <v>11.737499999999999</v>
      </c>
    </row>
    <row r="32" spans="2:9" ht="25.5" x14ac:dyDescent="0.2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25">
      <c r="G33" s="19" t="s">
        <v>9</v>
      </c>
      <c r="H33" s="20">
        <v>0.2767</v>
      </c>
      <c r="I33" s="21">
        <f>I28*H33</f>
        <v>21.651775000000001</v>
      </c>
    </row>
    <row r="35" spans="7:9" x14ac:dyDescent="0.2">
      <c r="G35" s="5"/>
      <c r="H35" s="6"/>
    </row>
    <row r="36" spans="7:9" x14ac:dyDescent="0.2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109375" defaultRowHeight="12.75" x14ac:dyDescent="0.2"/>
  <cols>
    <col min="1" max="1" width="8.7109375" style="1"/>
    <col min="2" max="2" width="25" style="1" customWidth="1"/>
    <col min="3" max="3" width="8.7109375" style="1"/>
    <col min="4" max="4" width="17.140625" style="1" customWidth="1"/>
    <col min="5" max="5" width="6.85546875" style="1" customWidth="1"/>
    <col min="6" max="6" width="6.42578125" style="1" customWidth="1"/>
    <col min="7" max="7" width="22.28515625" style="1" bestFit="1" customWidth="1"/>
    <col min="8" max="8" width="8.7109375" style="1"/>
    <col min="9" max="9" width="12.140625" style="1" customWidth="1"/>
    <col min="10" max="10" width="5.28515625" style="1" customWidth="1"/>
    <col min="11" max="11" width="5.140625" style="1" customWidth="1"/>
    <col min="12" max="12" width="25.85546875" style="1" customWidth="1"/>
    <col min="13" max="13" width="14" style="1" customWidth="1"/>
    <col min="14" max="14" width="10.85546875" style="1" customWidth="1"/>
    <col min="15" max="16384" width="8.7109375" style="1"/>
  </cols>
  <sheetData>
    <row r="2" spans="2:14" ht="13.5" thickBot="1" x14ac:dyDescent="0.25">
      <c r="C2" s="34"/>
      <c r="D2" s="34"/>
    </row>
    <row r="3" spans="2:14" x14ac:dyDescent="0.2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2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2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2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2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2">
      <c r="D8" s="32"/>
      <c r="I8" s="32"/>
      <c r="N8" s="32"/>
    </row>
    <row r="9" spans="2:14" x14ac:dyDescent="0.2">
      <c r="B9" s="3"/>
      <c r="C9" s="3"/>
      <c r="D9" s="33"/>
      <c r="I9" s="32"/>
      <c r="N9" s="32"/>
    </row>
    <row r="10" spans="2:14" ht="13.5" thickBot="1" x14ac:dyDescent="0.25">
      <c r="B10" s="3"/>
      <c r="C10" s="3"/>
      <c r="D10" s="33"/>
      <c r="I10" s="32"/>
      <c r="N10" s="32"/>
    </row>
    <row r="11" spans="2:14" x14ac:dyDescent="0.2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2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2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2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2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2">
      <c r="D16" s="32"/>
      <c r="I16" s="32"/>
      <c r="N16" s="32"/>
    </row>
    <row r="17" spans="2:14" x14ac:dyDescent="0.2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2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2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2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45" customHeight="1" x14ac:dyDescent="0.2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2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2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2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2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2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2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2">
      <c r="K28" s="7"/>
    </row>
    <row r="29" spans="2:14" x14ac:dyDescent="0.2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5" x14ac:dyDescent="0.25"/>
  <cols>
    <col min="2" max="2" width="24.85546875" customWidth="1"/>
    <col min="3" max="3" width="14.85546875" customWidth="1"/>
    <col min="4" max="4" width="16" customWidth="1"/>
  </cols>
  <sheetData>
    <row r="1" spans="2:4" ht="15.75" thickBot="1" x14ac:dyDescent="0.3"/>
    <row r="2" spans="2:4" x14ac:dyDescent="0.25">
      <c r="B2" s="10" t="s">
        <v>49</v>
      </c>
      <c r="C2" s="35" t="s">
        <v>1</v>
      </c>
      <c r="D2" s="12" t="s">
        <v>4</v>
      </c>
    </row>
    <row r="3" spans="2:4" x14ac:dyDescent="0.25">
      <c r="B3" s="13" t="s">
        <v>0</v>
      </c>
      <c r="C3" s="2"/>
      <c r="D3" s="22">
        <v>1</v>
      </c>
    </row>
    <row r="4" spans="2:4" x14ac:dyDescent="0.25">
      <c r="B4" s="13" t="s">
        <v>50</v>
      </c>
      <c r="C4" s="2">
        <v>0.94</v>
      </c>
      <c r="D4" s="23">
        <f>D3*C4</f>
        <v>0.94</v>
      </c>
    </row>
    <row r="5" spans="2:4" ht="15.75" thickBot="1" x14ac:dyDescent="0.3">
      <c r="B5" s="36" t="s">
        <v>3</v>
      </c>
      <c r="C5" s="20">
        <v>1</v>
      </c>
      <c r="D5" s="25">
        <f>D4*C5</f>
        <v>0.94</v>
      </c>
    </row>
    <row r="6" spans="2:4" x14ac:dyDescent="0.25">
      <c r="B6" s="1"/>
      <c r="C6" s="1"/>
      <c r="D6" s="32"/>
    </row>
    <row r="7" spans="2:4" x14ac:dyDescent="0.25">
      <c r="B7" s="1"/>
      <c r="C7" s="1"/>
      <c r="D7" s="32"/>
    </row>
    <row r="8" spans="2:4" x14ac:dyDescent="0.25">
      <c r="B8" s="1"/>
      <c r="C8" s="1"/>
      <c r="D8" s="32"/>
    </row>
    <row r="9" spans="2:4" ht="15.75" thickBot="1" x14ac:dyDescent="0.3">
      <c r="B9" s="1"/>
      <c r="C9" s="1"/>
      <c r="D9" s="32"/>
    </row>
    <row r="10" spans="2:4" x14ac:dyDescent="0.25">
      <c r="B10" s="10" t="s">
        <v>51</v>
      </c>
      <c r="C10" s="35" t="s">
        <v>1</v>
      </c>
      <c r="D10" s="37" t="s">
        <v>4</v>
      </c>
    </row>
    <row r="11" spans="2:4" x14ac:dyDescent="0.25">
      <c r="B11" s="13" t="s">
        <v>10</v>
      </c>
      <c r="C11" s="2"/>
      <c r="D11" s="22">
        <v>1</v>
      </c>
    </row>
    <row r="12" spans="2:4" x14ac:dyDescent="0.25">
      <c r="B12" s="13" t="s">
        <v>52</v>
      </c>
      <c r="C12" s="2">
        <v>0.7</v>
      </c>
      <c r="D12" s="23">
        <f>D11*C12</f>
        <v>0.7</v>
      </c>
    </row>
    <row r="13" spans="2:4" ht="15.75" thickBot="1" x14ac:dyDescent="0.3">
      <c r="B13" s="36" t="s">
        <v>3</v>
      </c>
      <c r="C13" s="20">
        <v>1</v>
      </c>
      <c r="D13" s="25">
        <f>D12*C13</f>
        <v>0.7</v>
      </c>
    </row>
    <row r="14" spans="2:4" x14ac:dyDescent="0.25">
      <c r="B14" s="1"/>
      <c r="C14" s="1"/>
      <c r="D14" s="32"/>
    </row>
    <row r="15" spans="2:4" x14ac:dyDescent="0.25">
      <c r="B15" s="1"/>
      <c r="C15" s="1"/>
      <c r="D15" s="32"/>
    </row>
    <row r="16" spans="2:4" x14ac:dyDescent="0.25">
      <c r="B16" s="3"/>
      <c r="C16" s="3"/>
      <c r="D16" s="33"/>
    </row>
    <row r="17" spans="2:4" ht="15.75" thickBot="1" x14ac:dyDescent="0.3">
      <c r="B17" s="3"/>
      <c r="C17" s="3"/>
      <c r="D17" s="33"/>
    </row>
    <row r="18" spans="2:4" x14ac:dyDescent="0.25">
      <c r="B18" s="10" t="s">
        <v>53</v>
      </c>
      <c r="C18" s="35" t="s">
        <v>1</v>
      </c>
      <c r="D18" s="37" t="s">
        <v>4</v>
      </c>
    </row>
    <row r="19" spans="2:4" x14ac:dyDescent="0.25">
      <c r="B19" s="13" t="s">
        <v>54</v>
      </c>
      <c r="C19" s="8">
        <v>1</v>
      </c>
      <c r="D19" s="38"/>
    </row>
    <row r="20" spans="2:4" ht="17.100000000000001" customHeight="1" x14ac:dyDescent="0.25">
      <c r="B20" s="26" t="s">
        <v>21</v>
      </c>
      <c r="C20" s="8">
        <v>365</v>
      </c>
      <c r="D20" s="38"/>
    </row>
    <row r="21" spans="2:4" x14ac:dyDescent="0.25">
      <c r="B21" s="16" t="s">
        <v>56</v>
      </c>
      <c r="C21" s="2">
        <v>0.16</v>
      </c>
      <c r="D21" s="23">
        <f>(C20/365)*C19*C21</f>
        <v>0.16</v>
      </c>
    </row>
    <row r="22" spans="2:4" ht="15.75" thickBot="1" x14ac:dyDescent="0.3">
      <c r="B22" s="36" t="s">
        <v>55</v>
      </c>
      <c r="C22" s="20">
        <v>1</v>
      </c>
      <c r="D22" s="25">
        <f>D21*C22</f>
        <v>0.16</v>
      </c>
    </row>
    <row r="24" spans="2:4" ht="15.75" thickBot="1" x14ac:dyDescent="0.3"/>
    <row r="25" spans="2:4" x14ac:dyDescent="0.25">
      <c r="B25" s="39" t="s">
        <v>57</v>
      </c>
      <c r="C25" s="40"/>
      <c r="D25" s="41" t="s">
        <v>58</v>
      </c>
    </row>
    <row r="26" spans="2:4" ht="15.75" thickBot="1" x14ac:dyDescent="0.3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5" x14ac:dyDescent="0.25"/>
  <cols>
    <col min="2" max="2" width="14.42578125" customWidth="1"/>
    <col min="3" max="3" width="31.5703125" customWidth="1"/>
    <col min="4" max="4" width="24.5703125" customWidth="1"/>
    <col min="5" max="5" width="8.5703125" customWidth="1"/>
    <col min="6" max="7" width="10.5703125" customWidth="1"/>
    <col min="8" max="8" width="10.7109375" customWidth="1"/>
    <col min="9" max="9" width="14.85546875" customWidth="1"/>
    <col min="11" max="11" width="21.85546875" customWidth="1"/>
    <col min="15" max="15" width="22" customWidth="1"/>
    <col min="16" max="16" width="17.140625" customWidth="1"/>
  </cols>
  <sheetData>
    <row r="3" spans="2:22" ht="15.75" thickBot="1" x14ac:dyDescent="0.3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2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2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2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2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450000000000003" customHeight="1" x14ac:dyDescent="0.2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25" x14ac:dyDescent="0.2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2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2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2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2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.75" thickBot="1" x14ac:dyDescent="0.3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.75" thickBot="1" x14ac:dyDescent="0.3"/>
    <row r="16" spans="2:22" x14ac:dyDescent="0.2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25">
      <c r="D17" s="76"/>
      <c r="E17" s="77"/>
      <c r="F17" s="78"/>
      <c r="G17" s="79"/>
    </row>
    <row r="18" spans="4:7" x14ac:dyDescent="0.25">
      <c r="D18" s="13" t="s">
        <v>88</v>
      </c>
      <c r="E18" s="2"/>
      <c r="F18" s="46"/>
      <c r="G18" s="22">
        <v>1</v>
      </c>
    </row>
    <row r="19" spans="4:7" ht="15.75" thickBot="1" x14ac:dyDescent="0.3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.75" thickBot="1" x14ac:dyDescent="0.3"/>
    <row r="21" spans="4:7" x14ac:dyDescent="0.25">
      <c r="D21" s="10" t="s">
        <v>81</v>
      </c>
      <c r="E21" s="35" t="s">
        <v>1</v>
      </c>
      <c r="F21" s="45" t="s">
        <v>60</v>
      </c>
      <c r="G21" s="12"/>
    </row>
    <row r="22" spans="4:7" x14ac:dyDescent="0.25">
      <c r="D22" s="13" t="s">
        <v>88</v>
      </c>
      <c r="E22" s="2"/>
      <c r="F22" s="46"/>
      <c r="G22" s="22">
        <v>1</v>
      </c>
    </row>
    <row r="23" spans="4:7" ht="15.75" thickBot="1" x14ac:dyDescent="0.3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.75" thickBot="1" x14ac:dyDescent="0.3"/>
    <row r="25" spans="4:7" ht="16.5" customHeight="1" x14ac:dyDescent="0.2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25">
      <c r="D26" s="13" t="s">
        <v>67</v>
      </c>
      <c r="E26" s="2"/>
      <c r="F26" s="46"/>
      <c r="G26" s="22">
        <v>1</v>
      </c>
    </row>
    <row r="27" spans="4:7" x14ac:dyDescent="0.25">
      <c r="D27" s="26" t="s">
        <v>21</v>
      </c>
      <c r="E27" s="73"/>
      <c r="F27" s="74"/>
      <c r="G27" s="75">
        <v>365</v>
      </c>
    </row>
    <row r="28" spans="4:7" ht="15.75" thickBot="1" x14ac:dyDescent="0.3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.75" thickBot="1" x14ac:dyDescent="0.3"/>
    <row r="30" spans="4:7" x14ac:dyDescent="0.25">
      <c r="D30" s="10" t="s">
        <v>83</v>
      </c>
      <c r="E30" s="35" t="s">
        <v>1</v>
      </c>
      <c r="F30" s="45" t="s">
        <v>60</v>
      </c>
      <c r="G30" s="12"/>
    </row>
    <row r="31" spans="4:7" x14ac:dyDescent="0.25">
      <c r="D31" s="13" t="s">
        <v>85</v>
      </c>
      <c r="E31" s="2"/>
      <c r="F31" s="46"/>
      <c r="G31" s="22">
        <v>1</v>
      </c>
    </row>
    <row r="32" spans="4:7" x14ac:dyDescent="0.25">
      <c r="D32" s="26" t="s">
        <v>21</v>
      </c>
      <c r="E32" s="73"/>
      <c r="F32" s="74"/>
      <c r="G32" s="75">
        <v>365</v>
      </c>
    </row>
    <row r="33" spans="4:7" ht="15.75" thickBot="1" x14ac:dyDescent="0.3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.75" thickBot="1" x14ac:dyDescent="0.3"/>
    <row r="35" spans="4:7" x14ac:dyDescent="0.25">
      <c r="D35" s="10" t="s">
        <v>84</v>
      </c>
      <c r="E35" s="35" t="s">
        <v>1</v>
      </c>
      <c r="F35" s="45" t="s">
        <v>60</v>
      </c>
      <c r="G35" s="12"/>
    </row>
    <row r="36" spans="4:7" x14ac:dyDescent="0.25">
      <c r="D36" s="13" t="s">
        <v>86</v>
      </c>
      <c r="E36" s="2"/>
      <c r="F36" s="46"/>
      <c r="G36" s="22">
        <v>1</v>
      </c>
    </row>
    <row r="37" spans="4:7" x14ac:dyDescent="0.25">
      <c r="D37" s="26" t="s">
        <v>21</v>
      </c>
      <c r="E37" s="73"/>
      <c r="F37" s="74"/>
      <c r="G37" s="75">
        <v>365</v>
      </c>
    </row>
    <row r="38" spans="4:7" ht="15.75" thickBot="1" x14ac:dyDescent="0.3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Okuh, Chinedum O SPDC-UPO/G/PSLW</dc:creator>
  <cp:lastModifiedBy>Eke, Iheanyi F SPDC-UPC/G/UR</cp:lastModifiedBy>
  <dcterms:created xsi:type="dcterms:W3CDTF">2019-03-08T09:08:42Z</dcterms:created>
  <dcterms:modified xsi:type="dcterms:W3CDTF">2020-09-17T20:07:17Z</dcterms:modified>
</cp:coreProperties>
</file>