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8800" windowHeight="12210"/>
  </bookViews>
  <sheets>
    <sheet name="CSD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[17]Economics!$C$13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'[21]Mapping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[22]estgl81!$Y$39:$Y$43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'[23]Budget,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[24]SetUp!$D$9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[25]Sheet1!#REF!</definedName>
    <definedName name="bof">[25]Sheet1!#REF!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'[29]2005'!$A$168:$B$260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[30]AWARDED!$B$7:$D$81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[32]Contract_Details!$A$2:$R$74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[35]SetUp!$C$7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'[18]prodprof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'[38]do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[27]Sheet1!$D$55:$AZ$55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>#REF!</definedName>
    <definedName name="expp">[23]Sheet1!$B$9:$E$29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[36]SetUp!$E$70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[41]flora!$A$1:$G$184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[36]SetUp!$C$10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[42]Profiles!#REF!</definedName>
    <definedName name="Gas_Wells">[42]Profiles!#REF!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0">#REF!</definedName>
    <definedName name="GLTIE">#REF!</definedName>
    <definedName name="GORP">'[18]prodprof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>[47]mar!#REF!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'[50]Config - Master Lists'!$D$98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'[26]Data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[35]SetUp!$C$9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[51]DATA!$A$2:$A$182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0">#REF!</definedName>
    <definedName name="oil_vol_percent">#REF!</definedName>
    <definedName name="Oil_Wells" localSheetId="0">[42]Profiles!#REF!</definedName>
    <definedName name="Oil_Wells">[42]Profiles!#REF!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'[52]Oil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[27]Sheet1!$D$14:$AZ$14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[53]FORMS!#REF!</definedName>
    <definedName name="POVNDRCD">[53]FORMS!#REF!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'[18]prodprof 1'!$F$17</definedName>
    <definedName name="RATEREC" localSheetId="0">#REF!</definedName>
    <definedName name="RATEREC">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0">#REF!</definedName>
    <definedName name="RawData">#REF!</definedName>
    <definedName name="ray_shhet">'[56]Mapping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>[47]mar!#REF!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[32]Contract_Details!$A$2:$A$74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[57]source!$A$1:$M$833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'[32]BASE DATA'!#REF!</definedName>
    <definedName name="SUPPLIERS">'[32]BASE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[58]Full_Year!#REF!</definedName>
    <definedName name="TEST16">[58]Full_Year!#REF!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[35]SetUp!$I$1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'[62]Shell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2" i="2" l="1"/>
  <c r="AE11" i="2"/>
  <c r="AE10" i="2"/>
  <c r="I6" i="1" l="1"/>
  <c r="I83" i="2" l="1"/>
  <c r="I51" i="2" l="1"/>
  <c r="I52" i="2" s="1"/>
  <c r="I53" i="2" s="1"/>
  <c r="I8" i="2"/>
  <c r="I100" i="2"/>
  <c r="I89" i="2"/>
  <c r="I84" i="2"/>
  <c r="I85" i="2" s="1"/>
  <c r="H84" i="2"/>
  <c r="H85" i="2" s="1"/>
  <c r="G84" i="2"/>
  <c r="G85" i="2" s="1"/>
  <c r="F84" i="2"/>
  <c r="F85" i="2" s="1"/>
  <c r="E84" i="2"/>
  <c r="E85" i="2" s="1"/>
  <c r="D84" i="2"/>
  <c r="D85" i="2" s="1"/>
  <c r="C84" i="2"/>
  <c r="C85" i="2" s="1"/>
  <c r="B84" i="2"/>
  <c r="B85" i="2" s="1"/>
  <c r="I80" i="2"/>
  <c r="I101" i="2" s="1"/>
  <c r="I68" i="2"/>
  <c r="I57" i="2"/>
  <c r="H52" i="2"/>
  <c r="H53" i="2" s="1"/>
  <c r="G52" i="2"/>
  <c r="G53" i="2" s="1"/>
  <c r="F52" i="2"/>
  <c r="F53" i="2" s="1"/>
  <c r="E52" i="2"/>
  <c r="E53" i="2" s="1"/>
  <c r="D52" i="2"/>
  <c r="D53" i="2" s="1"/>
  <c r="C52" i="2"/>
  <c r="C53" i="2" s="1"/>
  <c r="B52" i="2"/>
  <c r="B53" i="2" s="1"/>
  <c r="I48" i="2"/>
  <c r="I69" i="2" s="1"/>
  <c r="J40" i="2"/>
  <c r="I40" i="2"/>
  <c r="K39" i="2"/>
  <c r="L39" i="2" s="1"/>
  <c r="K38" i="2"/>
  <c r="L38" i="2" s="1"/>
  <c r="K37" i="2"/>
  <c r="L37" i="2" s="1"/>
  <c r="L40" i="2" s="1"/>
  <c r="J33" i="2"/>
  <c r="J32" i="2"/>
  <c r="J31" i="2"/>
  <c r="J35" i="2" s="1"/>
  <c r="I26" i="2"/>
  <c r="L25" i="2"/>
  <c r="I25" i="2"/>
  <c r="P14" i="2"/>
  <c r="L14" i="2"/>
  <c r="I14" i="2"/>
  <c r="P9" i="2"/>
  <c r="P10" i="2" s="1"/>
  <c r="L9" i="2"/>
  <c r="L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9" i="2"/>
  <c r="B10" i="2" s="1"/>
  <c r="X8" i="2"/>
  <c r="N8" i="2"/>
  <c r="L5" i="2"/>
  <c r="L26" i="2" s="1"/>
  <c r="I5" i="2"/>
  <c r="J2" i="2"/>
  <c r="C90" i="2" l="1"/>
  <c r="C86" i="2"/>
  <c r="E90" i="2"/>
  <c r="E86" i="2"/>
  <c r="G90" i="2"/>
  <c r="G86" i="2"/>
  <c r="I86" i="2"/>
  <c r="I90" i="2" s="1"/>
  <c r="B86" i="2"/>
  <c r="B90" i="2" s="1"/>
  <c r="D86" i="2"/>
  <c r="D90" i="2" s="1"/>
  <c r="F86" i="2"/>
  <c r="F90" i="2" s="1"/>
  <c r="H86" i="2"/>
  <c r="H90" i="2" s="1"/>
  <c r="B54" i="2"/>
  <c r="B58" i="2" s="1"/>
  <c r="D54" i="2"/>
  <c r="D58" i="2" s="1"/>
  <c r="F54" i="2"/>
  <c r="F58" i="2" s="1"/>
  <c r="H54" i="2"/>
  <c r="H58" i="2" s="1"/>
  <c r="C54" i="2"/>
  <c r="C58" i="2"/>
  <c r="E54" i="2"/>
  <c r="E58" i="2"/>
  <c r="G54" i="2"/>
  <c r="G58" i="2"/>
  <c r="I54" i="2"/>
  <c r="I58" i="2" s="1"/>
  <c r="C15" i="2"/>
  <c r="C11" i="2"/>
  <c r="E15" i="2"/>
  <c r="E11" i="2"/>
  <c r="G15" i="2"/>
  <c r="G11" i="2"/>
  <c r="I11" i="2"/>
  <c r="I15" i="2" s="1"/>
  <c r="P15" i="2"/>
  <c r="P11" i="2"/>
  <c r="B11" i="2"/>
  <c r="B15" i="2" s="1"/>
  <c r="D11" i="2"/>
  <c r="D15" i="2" s="1"/>
  <c r="F11" i="2"/>
  <c r="F15" i="2" s="1"/>
  <c r="H11" i="2"/>
  <c r="H15" i="2" s="1"/>
  <c r="L11" i="2"/>
  <c r="L15" i="2" s="1"/>
  <c r="K40" i="2"/>
  <c r="F93" i="2" l="1"/>
  <c r="F91" i="2"/>
  <c r="B93" i="2"/>
  <c r="B91" i="2"/>
  <c r="H93" i="2"/>
  <c r="H91" i="2"/>
  <c r="D93" i="2"/>
  <c r="D91" i="2"/>
  <c r="I91" i="2"/>
  <c r="I93" i="2" s="1"/>
  <c r="I95" i="2" s="1"/>
  <c r="I102" i="2" s="1"/>
  <c r="I103" i="2" s="1"/>
  <c r="G93" i="2"/>
  <c r="G91" i="2"/>
  <c r="E93" i="2"/>
  <c r="E91" i="2"/>
  <c r="C93" i="2"/>
  <c r="C91" i="2"/>
  <c r="H59" i="2"/>
  <c r="H61" i="2" s="1"/>
  <c r="D59" i="2"/>
  <c r="D61" i="2" s="1"/>
  <c r="F59" i="2"/>
  <c r="F61" i="2" s="1"/>
  <c r="B59" i="2"/>
  <c r="B61" i="2" s="1"/>
  <c r="I59" i="2"/>
  <c r="I61" i="2" s="1"/>
  <c r="I63" i="2" s="1"/>
  <c r="I70" i="2" s="1"/>
  <c r="I71" i="2" s="1"/>
  <c r="G59" i="2"/>
  <c r="G61" i="2" s="1"/>
  <c r="E59" i="2"/>
  <c r="E61" i="2" s="1"/>
  <c r="C59" i="2"/>
  <c r="C61" i="2" s="1"/>
  <c r="L16" i="2"/>
  <c r="L18" i="2" s="1"/>
  <c r="L20" i="2" s="1"/>
  <c r="L27" i="2" s="1"/>
  <c r="L28" i="2" s="1"/>
  <c r="F18" i="2"/>
  <c r="F16" i="2"/>
  <c r="B18" i="2"/>
  <c r="B16" i="2"/>
  <c r="H18" i="2"/>
  <c r="H16" i="2"/>
  <c r="D18" i="2"/>
  <c r="D16" i="2"/>
  <c r="P18" i="2"/>
  <c r="P20" i="2" s="1"/>
  <c r="P16" i="2"/>
  <c r="I16" i="2"/>
  <c r="I18" i="2" s="1"/>
  <c r="I20" i="2" s="1"/>
  <c r="I27" i="2" s="1"/>
  <c r="I28" i="2" s="1"/>
  <c r="G18" i="2"/>
  <c r="G16" i="2"/>
  <c r="E18" i="2"/>
  <c r="E16" i="2"/>
  <c r="C18" i="2"/>
  <c r="C16" i="2"/>
  <c r="W28" i="2" l="1"/>
  <c r="P22" i="2"/>
  <c r="P28" i="2"/>
  <c r="J12" i="1" l="1"/>
  <c r="I12" i="1"/>
  <c r="I11" i="1"/>
  <c r="I10" i="1"/>
  <c r="I9" i="1"/>
  <c r="J9" i="1" s="1"/>
  <c r="I8" i="1"/>
  <c r="J7" i="1"/>
  <c r="I7" i="1"/>
  <c r="G11" i="1" l="1"/>
</calcChain>
</file>

<file path=xl/sharedStrings.xml><?xml version="1.0" encoding="utf-8"?>
<sst xmlns="http://schemas.openxmlformats.org/spreadsheetml/2006/main" count="128" uniqueCount="51">
  <si>
    <t>Timeline</t>
  </si>
  <si>
    <t>No of WCM Utilized</t>
  </si>
  <si>
    <t>Volume Gain (%)</t>
  </si>
  <si>
    <t>Volume Gain(bbl)</t>
  </si>
  <si>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</si>
  <si>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</si>
  <si>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</si>
  <si>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</si>
  <si>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</si>
  <si>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</si>
  <si>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</si>
  <si>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</si>
  <si>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</si>
  <si>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</si>
  <si>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</si>
  <si>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</si>
  <si>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 Kboe/d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</si>
  <si>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</si>
  <si>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</si>
  <si>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</si>
  <si>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</si>
  <si>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</si>
  <si>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</si>
  <si>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</si>
  <si>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</si>
  <si>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</si>
  <si>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</si>
  <si>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</si>
  <si>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</si>
  <si>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</si>
  <si>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</si>
  <si>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</si>
  <si>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</si>
  <si>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</si>
  <si>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</si>
  <si>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</si>
  <si>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Add Capex Savings</t>
  </si>
  <si>
    <t>Lost tax shield of Capital Allwce</t>
  </si>
  <si>
    <t>CSD 100%</t>
  </si>
  <si>
    <t>CSD (SS)</t>
  </si>
  <si>
    <t>Total</t>
  </si>
  <si>
    <t xml:space="preserve">Total Production </t>
  </si>
  <si>
    <t>BOE</t>
  </si>
  <si>
    <t>KBOE</t>
  </si>
  <si>
    <t xml:space="preserve">Oil </t>
  </si>
  <si>
    <t>Export Gas</t>
  </si>
  <si>
    <t>Domgas</t>
  </si>
  <si>
    <t xml:space="preserve">1% change in availability </t>
  </si>
  <si>
    <t>Production</t>
  </si>
  <si>
    <t>1% change in availabulity new Production</t>
  </si>
  <si>
    <t>Gross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</si>
</sst>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  <numFmt numFmtId="170" formatCode="#,##0.0000_);\(#,##0.000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16" fontId="1" fillId="0" borderId="3" xfId="0" applyNumberFormat="1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0" fillId="2" borderId="0" xfId="0" applyFill="1" applyAlignment="1">
      <alignment horizontal="center" wrapText="1"/>
    </xf>
    <xf numFmtId="9" fontId="5" fillId="3" borderId="0" xfId="1" applyNumberFormat="1" applyFont="1" applyFill="1"/>
    <xf numFmtId="0" fontId="3" fillId="3" borderId="0" xfId="0" applyFont="1" applyFill="1"/>
    <xf numFmtId="164" fontId="0" fillId="0" borderId="0" xfId="0" applyNumberFormat="1"/>
    <xf numFmtId="0" fontId="4" fillId="0" borderId="0" xfId="0" applyFont="1"/>
    <xf numFmtId="3" fontId="0" fillId="0" borderId="0" xfId="0" applyNumberFormat="1"/>
    <xf numFmtId="0" fontId="0" fillId="0" borderId="5" xfId="0" applyBorder="1"/>
    <xf numFmtId="165" fontId="0" fillId="4" borderId="6" xfId="0" applyNumberFormat="1" applyFill="1" applyBorder="1"/>
    <xf numFmtId="164" fontId="0" fillId="4" borderId="6" xfId="2" applyFont="1" applyFill="1" applyBorder="1"/>
    <xf numFmtId="166" fontId="0" fillId="4" borderId="6" xfId="0" applyNumberFormat="1" applyFill="1" applyBorder="1"/>
    <xf numFmtId="0" fontId="0" fillId="4" borderId="5" xfId="0" applyFill="1" applyBorder="1"/>
    <xf numFmtId="165" fontId="0" fillId="4" borderId="5" xfId="1" applyNumberFormat="1" applyFont="1" applyFill="1" applyBorder="1"/>
    <xf numFmtId="165" fontId="0" fillId="4" borderId="5" xfId="2" applyNumberFormat="1" applyFont="1" applyFill="1" applyBorder="1"/>
    <xf numFmtId="4" fontId="0" fillId="0" borderId="0" xfId="0" applyNumberFormat="1"/>
    <xf numFmtId="164" fontId="0" fillId="4" borderId="5" xfId="2" applyFont="1" applyFill="1" applyBorder="1"/>
    <xf numFmtId="165" fontId="2" fillId="5" borderId="5" xfId="1" applyNumberFormat="1" applyFont="1" applyFill="1" applyBorder="1"/>
    <xf numFmtId="165" fontId="4" fillId="5" borderId="7" xfId="0" applyNumberFormat="1" applyFont="1" applyFill="1" applyBorder="1"/>
    <xf numFmtId="165" fontId="4" fillId="5" borderId="6" xfId="0" applyNumberFormat="1" applyFont="1" applyFill="1" applyBorder="1"/>
    <xf numFmtId="167" fontId="0" fillId="5" borderId="5" xfId="0" applyNumberFormat="1" applyFill="1" applyBorder="1"/>
    <xf numFmtId="167" fontId="0" fillId="5" borderId="8" xfId="0" applyNumberFormat="1" applyFill="1" applyBorder="1"/>
    <xf numFmtId="167" fontId="0" fillId="5" borderId="6" xfId="0" applyNumberFormat="1" applyFill="1" applyBorder="1"/>
    <xf numFmtId="165" fontId="4" fillId="5" borderId="5" xfId="0" applyNumberFormat="1" applyFont="1" applyFill="1" applyBorder="1"/>
    <xf numFmtId="165" fontId="4" fillId="5" borderId="8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9" xfId="0" applyNumberFormat="1" applyFill="1" applyBorder="1"/>
    <xf numFmtId="0" fontId="4" fillId="0" borderId="10" xfId="0" applyFont="1" applyBorder="1"/>
    <xf numFmtId="165" fontId="4" fillId="5" borderId="10" xfId="0" applyNumberFormat="1" applyFont="1" applyFill="1" applyBorder="1"/>
    <xf numFmtId="165" fontId="4" fillId="0" borderId="11" xfId="0" applyNumberFormat="1" applyFont="1" applyBorder="1"/>
    <xf numFmtId="165" fontId="0" fillId="0" borderId="11" xfId="0" applyNumberFormat="1" applyBorder="1"/>
    <xf numFmtId="165" fontId="0" fillId="0" borderId="0" xfId="0" applyNumberFormat="1"/>
    <xf numFmtId="0" fontId="0" fillId="0" borderId="0" xfId="0" applyFill="1"/>
    <xf numFmtId="0" fontId="4" fillId="0" borderId="0" xfId="0" applyFont="1" applyBorder="1"/>
    <xf numFmtId="168" fontId="4" fillId="5" borderId="0" xfId="1" applyNumberFormat="1" applyFont="1" applyFill="1" applyBorder="1"/>
    <xf numFmtId="164" fontId="6" fillId="0" borderId="0" xfId="2" applyNumberFormat="1" applyFont="1"/>
    <xf numFmtId="43" fontId="0" fillId="0" borderId="0" xfId="0" applyNumberFormat="1"/>
    <xf numFmtId="43" fontId="0" fillId="0" borderId="0" xfId="0" applyNumberFormat="1" applyFill="1"/>
    <xf numFmtId="43" fontId="4" fillId="0" borderId="0" xfId="0" applyNumberFormat="1" applyFont="1" applyFill="1"/>
    <xf numFmtId="43" fontId="4" fillId="0" borderId="0" xfId="0" applyNumberFormat="1" applyFont="1"/>
    <xf numFmtId="0" fontId="4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70" fontId="0" fillId="4" borderId="5" xfId="2" applyNumberFormat="1" applyFont="1" applyFill="1" applyBorder="1"/>
  </cellXfs>
  <cellStyles count="4">
    <cellStyle name="Comma 10 23" xfId="3"/>
    <cellStyle name="Comma 10 6" xfId="1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%20CSD%20-%20BNAG%20Optimisa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D"/>
      <sheetName val="Condensate and Gas"/>
      <sheetName val="EC"/>
      <sheetName val="NIBIAT-Q4FYLE-Forcados back Oct"/>
    </sheetNames>
    <sheetDataSet>
      <sheetData sheetId="0"/>
      <sheetData sheetId="1">
        <row r="5">
          <cell r="F5">
            <v>93.164841988950229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zoomScale="85" zoomScaleNormal="85" workbookViewId="0">
      <selection activeCell="A23" sqref="A23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hidden="1" customWidth="1"/>
    <col min="12" max="12" width="15.28515625" hidden="1" customWidth="1"/>
    <col min="13" max="13" width="31.28515625" hidden="1" customWidth="1"/>
    <col min="14" max="14" width="10.5703125" hidden="1" customWidth="1"/>
    <col min="15" max="15" width="60.140625" hidden="1" customWidth="1"/>
    <col min="16" max="16" width="15.28515625" hidden="1" customWidth="1"/>
    <col min="17" max="22" width="0" hidden="1" customWidth="1"/>
    <col min="23" max="23" width="14.42578125" hidden="1" customWidth="1"/>
    <col min="24" max="24" width="0" hidden="1" customWidth="1"/>
    <col min="25" max="25" width="15.28515625" hidden="1" customWidth="1"/>
    <col min="26" max="26" width="0" hidden="1" customWidth="1"/>
  </cols>
  <sheetData>
    <row r="1" spans="1:31" ht="22.5" customHeight="1" x14ac:dyDescent="0.25">
      <c r="B1" s="9"/>
      <c r="C1" s="9"/>
      <c r="D1" s="9"/>
      <c r="E1" s="9"/>
      <c r="F1" s="9"/>
      <c r="G1" s="9"/>
      <c r="H1" s="9"/>
      <c r="I1" s="9"/>
      <c r="L1" s="9"/>
      <c r="P1" s="9"/>
    </row>
    <row r="2" spans="1:31" ht="18.75" x14ac:dyDescent="0.3">
      <c r="A2" s="10" t="s">
        <v>4</v>
      </c>
      <c r="B2" s="11">
        <v>2008</v>
      </c>
      <c r="C2" s="11">
        <v>2009</v>
      </c>
      <c r="D2" s="11">
        <v>2010</v>
      </c>
      <c r="E2" s="11">
        <v>2011</v>
      </c>
      <c r="F2" s="11">
        <v>2012</v>
      </c>
      <c r="G2" s="11">
        <v>2013</v>
      </c>
      <c r="H2" s="11">
        <v>2014</v>
      </c>
      <c r="I2" s="11">
        <v>2017</v>
      </c>
      <c r="J2" s="12">
        <f>I8*1000</f>
        <v>0.22683616438356199</v>
      </c>
      <c r="K2" s="10" t="s">
        <v>5</v>
      </c>
      <c r="L2" s="11">
        <v>2017</v>
      </c>
      <c r="O2" s="10" t="s">
        <v>6</v>
      </c>
      <c r="P2" s="11">
        <v>2017</v>
      </c>
    </row>
    <row r="3" spans="1:31" x14ac:dyDescent="0.25">
      <c r="A3" s="13" t="s">
        <v>7</v>
      </c>
      <c r="K3" s="13" t="s">
        <v>7</v>
      </c>
      <c r="M3" s="12"/>
      <c r="O3" s="13" t="s">
        <v>7</v>
      </c>
    </row>
    <row r="4" spans="1:31" x14ac:dyDescent="0.25">
      <c r="A4" s="13" t="s">
        <v>8</v>
      </c>
      <c r="I4" s="14">
        <v>0</v>
      </c>
      <c r="K4" s="13"/>
      <c r="L4" s="14">
        <v>0</v>
      </c>
      <c r="M4" s="12"/>
      <c r="O4" s="13"/>
    </row>
    <row r="5" spans="1:31" x14ac:dyDescent="0.25">
      <c r="A5" s="13" t="s">
        <v>9</v>
      </c>
      <c r="I5" s="14">
        <f>-I4*0.2</f>
        <v>0</v>
      </c>
      <c r="K5" s="13"/>
      <c r="L5" s="14">
        <f>-L4*0.2</f>
        <v>0</v>
      </c>
      <c r="M5" s="12"/>
      <c r="O5" s="13"/>
    </row>
    <row r="6" spans="1:31" x14ac:dyDescent="0.25">
      <c r="A6" s="15" t="s">
        <v>10</v>
      </c>
      <c r="B6" s="16"/>
      <c r="C6" s="16"/>
      <c r="D6" s="16"/>
      <c r="E6" s="16"/>
      <c r="F6" s="16"/>
      <c r="G6" s="16"/>
      <c r="H6" s="16"/>
      <c r="I6" s="16">
        <v>51.37</v>
      </c>
      <c r="J6" t="s">
        <v>11</v>
      </c>
      <c r="K6" s="15" t="s">
        <v>12</v>
      </c>
      <c r="L6" s="17">
        <v>1.17</v>
      </c>
      <c r="M6" t="s">
        <v>11</v>
      </c>
      <c r="O6" s="15" t="s">
        <v>12</v>
      </c>
      <c r="P6" s="18">
        <v>2.4</v>
      </c>
      <c r="Q6" t="s">
        <v>11</v>
      </c>
      <c r="R6" s="12"/>
    </row>
    <row r="7" spans="1:31" x14ac:dyDescent="0.25">
      <c r="A7" s="15" t="s">
        <v>13</v>
      </c>
      <c r="B7" s="19">
        <v>366</v>
      </c>
      <c r="C7" s="19">
        <v>365</v>
      </c>
      <c r="D7" s="19">
        <v>365</v>
      </c>
      <c r="E7" s="19">
        <v>365</v>
      </c>
      <c r="F7" s="19">
        <v>366</v>
      </c>
      <c r="G7" s="19">
        <v>365</v>
      </c>
      <c r="H7" s="19">
        <v>365</v>
      </c>
      <c r="I7" s="19">
        <v>365</v>
      </c>
      <c r="K7" s="15" t="s">
        <v>13</v>
      </c>
      <c r="L7" s="19">
        <v>365</v>
      </c>
      <c r="O7" s="15" t="s">
        <v>13</v>
      </c>
      <c r="P7" s="19">
        <v>365</v>
      </c>
    </row>
    <row r="8" spans="1:31" x14ac:dyDescent="0.25">
      <c r="A8" s="15" t="s">
        <v>14</v>
      </c>
      <c r="B8" s="20"/>
      <c r="C8" s="20"/>
      <c r="D8" s="20"/>
      <c r="E8" s="20"/>
      <c r="F8" s="20"/>
      <c r="G8" s="20"/>
      <c r="H8" s="20"/>
      <c r="I8" s="21">
        <f>0.226836164383562/1000</f>
        <v>2.26836164383562E-4</v>
      </c>
      <c r="J8" t="s">
        <v>15</v>
      </c>
      <c r="K8" s="15" t="s">
        <v>14</v>
      </c>
      <c r="L8" s="21">
        <v>0</v>
      </c>
      <c r="M8" t="s">
        <v>15</v>
      </c>
      <c r="N8" s="22">
        <f>'[63]Condensate and Gas'!F5</f>
        <v>93.164841988950229</v>
      </c>
      <c r="O8" s="15" t="s">
        <v>14</v>
      </c>
      <c r="P8" s="23">
        <v>0</v>
      </c>
      <c r="Q8" t="s">
        <v>15</v>
      </c>
      <c r="W8" t="s">
        <v>16</v>
      </c>
      <c r="X8">
        <f>N8/5.8</f>
        <v>16.062903791198316</v>
      </c>
    </row>
    <row r="9" spans="1:31" x14ac:dyDescent="0.25">
      <c r="A9" s="15" t="s">
        <v>17</v>
      </c>
      <c r="B9" s="24">
        <f t="shared" ref="B9:H9" si="0">B8*B7*1000</f>
        <v>0</v>
      </c>
      <c r="C9" s="24">
        <f t="shared" si="0"/>
        <v>0</v>
      </c>
      <c r="D9" s="24">
        <f t="shared" si="0"/>
        <v>0</v>
      </c>
      <c r="E9" s="24">
        <f t="shared" si="0"/>
        <v>0</v>
      </c>
      <c r="F9" s="24">
        <f t="shared" si="0"/>
        <v>0</v>
      </c>
      <c r="G9" s="24">
        <f t="shared" si="0"/>
        <v>0</v>
      </c>
      <c r="H9" s="24">
        <f t="shared" si="0"/>
        <v>0</v>
      </c>
      <c r="I9" s="24">
        <f>I8*I7*1000</f>
        <v>82.795200000000122</v>
      </c>
      <c r="K9" s="15" t="s">
        <v>18</v>
      </c>
      <c r="L9" s="24">
        <f>L8*L7*1000</f>
        <v>0</v>
      </c>
      <c r="O9" s="15" t="s">
        <v>18</v>
      </c>
      <c r="P9" s="24">
        <f t="shared" ref="P9" si="1">P8*P7*1000</f>
        <v>0</v>
      </c>
    </row>
    <row r="10" spans="1:31" ht="15.75" thickBot="1" x14ac:dyDescent="0.3">
      <c r="A10" s="15" t="s">
        <v>19</v>
      </c>
      <c r="B10" s="25">
        <f t="shared" ref="B10:I10" si="2">+B9*B6</f>
        <v>0</v>
      </c>
      <c r="C10" s="25">
        <f t="shared" si="2"/>
        <v>0</v>
      </c>
      <c r="D10" s="25">
        <f t="shared" si="2"/>
        <v>0</v>
      </c>
      <c r="E10" s="25">
        <f t="shared" si="2"/>
        <v>0</v>
      </c>
      <c r="F10" s="25">
        <f t="shared" si="2"/>
        <v>0</v>
      </c>
      <c r="G10" s="25">
        <f t="shared" si="2"/>
        <v>0</v>
      </c>
      <c r="H10" s="25">
        <f t="shared" si="2"/>
        <v>0</v>
      </c>
      <c r="I10" s="26">
        <f t="shared" si="2"/>
        <v>4253.1894240000065</v>
      </c>
      <c r="K10" s="15" t="s">
        <v>19</v>
      </c>
      <c r="L10" s="26">
        <f>+L9*L6*5.8</f>
        <v>0</v>
      </c>
      <c r="O10" s="15" t="s">
        <v>19</v>
      </c>
      <c r="P10" s="26">
        <f>+P9*P6*5.8</f>
        <v>0</v>
      </c>
      <c r="AE10" s="59">
        <f>0.226836164383562/1000</f>
        <v>2.26836164383562E-4</v>
      </c>
    </row>
    <row r="11" spans="1:31" ht="15.75" thickTop="1" x14ac:dyDescent="0.25">
      <c r="A11" s="15" t="s">
        <v>20</v>
      </c>
      <c r="B11" s="27">
        <f t="shared" ref="B11:I11" si="3">-B10*0.2</f>
        <v>0</v>
      </c>
      <c r="C11" s="27">
        <f t="shared" si="3"/>
        <v>0</v>
      </c>
      <c r="D11" s="27">
        <f t="shared" si="3"/>
        <v>0</v>
      </c>
      <c r="E11" s="27">
        <f t="shared" si="3"/>
        <v>0</v>
      </c>
      <c r="F11" s="27">
        <f t="shared" si="3"/>
        <v>0</v>
      </c>
      <c r="G11" s="27">
        <f t="shared" si="3"/>
        <v>0</v>
      </c>
      <c r="H11" s="28">
        <f t="shared" si="3"/>
        <v>0</v>
      </c>
      <c r="I11" s="29">
        <f t="shared" si="3"/>
        <v>-850.6378848000013</v>
      </c>
      <c r="J11" t="s">
        <v>21</v>
      </c>
      <c r="K11" s="15" t="s">
        <v>22</v>
      </c>
      <c r="L11" s="29">
        <f>-L10*0.07</f>
        <v>0</v>
      </c>
      <c r="M11" t="s">
        <v>23</v>
      </c>
      <c r="O11" s="15" t="s">
        <v>22</v>
      </c>
      <c r="P11" s="29">
        <f>-P10*0.07</f>
        <v>0</v>
      </c>
      <c r="Q11" t="s">
        <v>23</v>
      </c>
      <c r="AE11" s="59">
        <f>0.941545205479452/1000</f>
        <v>9.4154520547945193E-4</v>
      </c>
    </row>
    <row r="12" spans="1:31" x14ac:dyDescent="0.25">
      <c r="A12" s="15" t="s">
        <v>24</v>
      </c>
      <c r="B12" s="27"/>
      <c r="C12" s="27"/>
      <c r="D12" s="27"/>
      <c r="E12" s="27"/>
      <c r="F12" s="27"/>
      <c r="G12" s="27"/>
      <c r="H12" s="28"/>
      <c r="I12" s="27">
        <v>0</v>
      </c>
      <c r="K12" s="15" t="s">
        <v>24</v>
      </c>
      <c r="L12" s="27">
        <v>0</v>
      </c>
      <c r="O12" s="15" t="s">
        <v>24</v>
      </c>
      <c r="P12" s="27"/>
      <c r="AE12" s="59">
        <f>1.71627397260274/1000</f>
        <v>1.71627397260274E-3</v>
      </c>
    </row>
    <row r="13" spans="1:31" x14ac:dyDescent="0.25">
      <c r="A13" s="15" t="s">
        <v>25</v>
      </c>
      <c r="B13" s="27"/>
      <c r="C13" s="27"/>
      <c r="D13" s="27"/>
      <c r="E13" s="27"/>
      <c r="F13" s="27"/>
      <c r="G13" s="27"/>
      <c r="H13" s="28"/>
      <c r="I13" s="27"/>
      <c r="K13" s="15" t="s">
        <v>25</v>
      </c>
      <c r="L13" s="27"/>
      <c r="O13" s="15" t="s">
        <v>25</v>
      </c>
      <c r="P13" s="27"/>
    </row>
    <row r="14" spans="1:31" x14ac:dyDescent="0.25">
      <c r="A14" s="15" t="s">
        <v>26</v>
      </c>
      <c r="B14" s="27"/>
      <c r="C14" s="27"/>
      <c r="D14" s="27"/>
      <c r="E14" s="27"/>
      <c r="F14" s="27"/>
      <c r="G14" s="27"/>
      <c r="H14" s="28"/>
      <c r="I14" s="27">
        <f>-I8*I7*2706</f>
        <v>-224.04381120000033</v>
      </c>
      <c r="J14" t="s">
        <v>27</v>
      </c>
      <c r="K14" s="15" t="s">
        <v>26</v>
      </c>
      <c r="L14" s="27">
        <f>-L8*L7*2706</f>
        <v>0</v>
      </c>
      <c r="O14" s="15" t="s">
        <v>26</v>
      </c>
      <c r="P14" s="27">
        <f>-P8*P7*2706</f>
        <v>0</v>
      </c>
    </row>
    <row r="15" spans="1:31" x14ac:dyDescent="0.25">
      <c r="A15" s="15" t="s">
        <v>28</v>
      </c>
      <c r="B15" s="30">
        <f t="shared" ref="B15:H15" si="4">+B10+B11</f>
        <v>0</v>
      </c>
      <c r="C15" s="30">
        <f t="shared" si="4"/>
        <v>0</v>
      </c>
      <c r="D15" s="30">
        <f t="shared" si="4"/>
        <v>0</v>
      </c>
      <c r="E15" s="30">
        <f t="shared" si="4"/>
        <v>0</v>
      </c>
      <c r="F15" s="30">
        <f t="shared" si="4"/>
        <v>0</v>
      </c>
      <c r="G15" s="30">
        <f t="shared" si="4"/>
        <v>0</v>
      </c>
      <c r="H15" s="31">
        <f t="shared" si="4"/>
        <v>0</v>
      </c>
      <c r="I15" s="30">
        <f>+I10+I11+I12+I13+I14+I5</f>
        <v>3178.507728000005</v>
      </c>
      <c r="K15" s="15" t="s">
        <v>28</v>
      </c>
      <c r="L15" s="30">
        <f>+L10+L11+L12+L13+L14+L5</f>
        <v>0</v>
      </c>
      <c r="O15" s="15" t="s">
        <v>28</v>
      </c>
      <c r="P15" s="30">
        <f>+P10+P11+P12+P13+P14</f>
        <v>0</v>
      </c>
    </row>
    <row r="16" spans="1:31" x14ac:dyDescent="0.25">
      <c r="A16" s="15" t="s">
        <v>29</v>
      </c>
      <c r="B16" s="27">
        <f t="shared" ref="B16:I16" si="5">-B15*0.85</f>
        <v>0</v>
      </c>
      <c r="C16" s="27">
        <f t="shared" si="5"/>
        <v>0</v>
      </c>
      <c r="D16" s="27">
        <f t="shared" si="5"/>
        <v>0</v>
      </c>
      <c r="E16" s="27">
        <f t="shared" si="5"/>
        <v>0</v>
      </c>
      <c r="F16" s="27">
        <f t="shared" si="5"/>
        <v>0</v>
      </c>
      <c r="G16" s="27">
        <f t="shared" si="5"/>
        <v>0</v>
      </c>
      <c r="H16" s="28">
        <f t="shared" si="5"/>
        <v>0</v>
      </c>
      <c r="I16" s="27">
        <f t="shared" si="5"/>
        <v>-2701.7315688000044</v>
      </c>
      <c r="J16" t="s">
        <v>30</v>
      </c>
      <c r="K16" s="15" t="s">
        <v>31</v>
      </c>
      <c r="L16" s="27">
        <f>-L15*0.3</f>
        <v>0</v>
      </c>
      <c r="O16" s="15" t="s">
        <v>31</v>
      </c>
      <c r="P16" s="27">
        <f>-P15*0.3</f>
        <v>0</v>
      </c>
    </row>
    <row r="17" spans="1:25" x14ac:dyDescent="0.25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4"/>
      <c r="O17" s="32"/>
      <c r="P17" s="34"/>
    </row>
    <row r="18" spans="1:25" ht="15.75" thickBot="1" x14ac:dyDescent="0.3">
      <c r="A18" s="35" t="s">
        <v>32</v>
      </c>
      <c r="B18" s="36">
        <f t="shared" ref="B18:I18" si="6">+B15+B16</f>
        <v>0</v>
      </c>
      <c r="C18" s="36">
        <f t="shared" si="6"/>
        <v>0</v>
      </c>
      <c r="D18" s="36">
        <f t="shared" si="6"/>
        <v>0</v>
      </c>
      <c r="E18" s="36">
        <f t="shared" si="6"/>
        <v>0</v>
      </c>
      <c r="F18" s="36">
        <f t="shared" si="6"/>
        <v>0</v>
      </c>
      <c r="G18" s="36">
        <f t="shared" si="6"/>
        <v>0</v>
      </c>
      <c r="H18" s="36">
        <f t="shared" si="6"/>
        <v>0</v>
      </c>
      <c r="I18" s="25">
        <f t="shared" si="6"/>
        <v>476.77615920000062</v>
      </c>
      <c r="K18" s="35" t="s">
        <v>32</v>
      </c>
      <c r="L18" s="25">
        <f t="shared" ref="L18" si="7">+L15+L16</f>
        <v>0</v>
      </c>
      <c r="O18" s="35" t="s">
        <v>32</v>
      </c>
      <c r="P18" s="25">
        <f t="shared" ref="P18" si="8">+P15+P16</f>
        <v>0</v>
      </c>
    </row>
    <row r="19" spans="1:25" ht="15.75" thickTop="1" x14ac:dyDescent="0.25"/>
    <row r="20" spans="1:25" ht="15.75" thickBot="1" x14ac:dyDescent="0.3">
      <c r="A20" t="s">
        <v>33</v>
      </c>
      <c r="I20" s="37">
        <f>I18-I14</f>
        <v>700.81997040000101</v>
      </c>
      <c r="J20" t="s">
        <v>34</v>
      </c>
      <c r="K20" t="s">
        <v>33</v>
      </c>
      <c r="L20" s="37">
        <f>L18-L14</f>
        <v>0</v>
      </c>
      <c r="M20" t="s">
        <v>34</v>
      </c>
      <c r="O20" t="s">
        <v>33</v>
      </c>
      <c r="P20" s="37">
        <f>P18-P14</f>
        <v>0</v>
      </c>
      <c r="Q20" t="s">
        <v>34</v>
      </c>
    </row>
    <row r="21" spans="1:25" ht="15.75" thickTop="1" x14ac:dyDescent="0.25"/>
    <row r="22" spans="1:25" ht="15.75" thickBot="1" x14ac:dyDescent="0.3">
      <c r="I22" s="38"/>
      <c r="L22" s="38"/>
      <c r="O22" t="s">
        <v>35</v>
      </c>
      <c r="P22" s="38">
        <f>P20-P16</f>
        <v>0</v>
      </c>
      <c r="Q22" t="s">
        <v>34</v>
      </c>
    </row>
    <row r="23" spans="1:25" ht="15.75" thickTop="1" x14ac:dyDescent="0.25"/>
    <row r="25" spans="1:25" x14ac:dyDescent="0.25">
      <c r="A25" t="s">
        <v>36</v>
      </c>
      <c r="I25" s="39">
        <f>I4</f>
        <v>0</v>
      </c>
      <c r="L25" s="39">
        <f>L4</f>
        <v>0</v>
      </c>
    </row>
    <row r="26" spans="1:25" x14ac:dyDescent="0.25">
      <c r="A26" s="40" t="s">
        <v>37</v>
      </c>
      <c r="I26" s="39">
        <f>-I5*0.85</f>
        <v>0</v>
      </c>
      <c r="L26" s="39">
        <f>-L5*0.3</f>
        <v>0</v>
      </c>
    </row>
    <row r="27" spans="1:25" x14ac:dyDescent="0.25">
      <c r="A27" s="41" t="s">
        <v>38</v>
      </c>
      <c r="B27" s="42"/>
      <c r="C27" s="42"/>
      <c r="D27" s="42"/>
      <c r="E27" s="42"/>
      <c r="F27" s="42"/>
      <c r="G27" s="42"/>
      <c r="H27" s="42"/>
      <c r="I27" s="43">
        <f>SUM(I20:I26)</f>
        <v>700.81997040000101</v>
      </c>
      <c r="J27" s="44"/>
      <c r="L27" s="43">
        <f>SUM(L20:L26)</f>
        <v>0</v>
      </c>
      <c r="P27" s="43"/>
    </row>
    <row r="28" spans="1:25" x14ac:dyDescent="0.25">
      <c r="A28" s="41" t="s">
        <v>39</v>
      </c>
      <c r="B28" s="40">
        <v>2014</v>
      </c>
      <c r="C28" s="40"/>
      <c r="D28" s="40"/>
      <c r="E28" s="40"/>
      <c r="F28" s="40"/>
      <c r="G28" s="40"/>
      <c r="H28" s="40"/>
      <c r="I28" s="45">
        <f>I27*0.3</f>
        <v>210.2459911200003</v>
      </c>
      <c r="L28" s="45">
        <f>L27*0.3</f>
        <v>0</v>
      </c>
      <c r="N28" s="13" t="s">
        <v>40</v>
      </c>
      <c r="O28" s="13"/>
      <c r="P28" s="46">
        <f>P20*0.3</f>
        <v>0</v>
      </c>
      <c r="Q28" s="13"/>
      <c r="R28" s="13"/>
      <c r="S28" s="13"/>
      <c r="T28" s="13"/>
      <c r="U28" s="13"/>
      <c r="V28" s="13"/>
      <c r="W28" s="47">
        <f>I28+L28</f>
        <v>210.2459911200003</v>
      </c>
    </row>
    <row r="29" spans="1:25" s="40" customFormat="1" x14ac:dyDescent="0.25">
      <c r="B29" s="40">
        <v>2015</v>
      </c>
      <c r="J29"/>
      <c r="K29"/>
      <c r="O29"/>
      <c r="Y29" s="45"/>
    </row>
    <row r="30" spans="1:25" s="40" customFormat="1" hidden="1" x14ac:dyDescent="0.25">
      <c r="A30" s="48" t="s">
        <v>41</v>
      </c>
      <c r="B30" s="40">
        <v>2016</v>
      </c>
      <c r="I30" s="40" t="s">
        <v>42</v>
      </c>
      <c r="J30" t="s">
        <v>43</v>
      </c>
      <c r="K30" s="49"/>
      <c r="O30"/>
      <c r="P30" s="50"/>
    </row>
    <row r="31" spans="1:25" s="40" customFormat="1" hidden="1" x14ac:dyDescent="0.25">
      <c r="A31" s="40" t="s">
        <v>44</v>
      </c>
      <c r="I31" s="51">
        <v>187677.00564760386</v>
      </c>
      <c r="J31" s="39">
        <f>I31</f>
        <v>187677.00564760386</v>
      </c>
      <c r="K31" s="52"/>
      <c r="L31" s="53"/>
      <c r="O31"/>
    </row>
    <row r="32" spans="1:25" s="40" customFormat="1" hidden="1" x14ac:dyDescent="0.25">
      <c r="A32" s="40" t="s">
        <v>45</v>
      </c>
      <c r="I32" s="50">
        <v>1664888.574633426</v>
      </c>
      <c r="J32" s="12">
        <f>I32/5.8</f>
        <v>287049.75424714241</v>
      </c>
      <c r="K32" s="54"/>
      <c r="O32"/>
    </row>
    <row r="33" spans="1:23" s="40" customFormat="1" hidden="1" x14ac:dyDescent="0.25">
      <c r="A33" s="40" t="s">
        <v>46</v>
      </c>
      <c r="I33" s="51">
        <v>126636.8363896712</v>
      </c>
      <c r="J33" s="12">
        <f>I33/5.8</f>
        <v>21833.937308564</v>
      </c>
      <c r="K33" s="54"/>
      <c r="O33"/>
    </row>
    <row r="34" spans="1:23" s="40" customFormat="1" hidden="1" x14ac:dyDescent="0.25">
      <c r="I34" s="50"/>
      <c r="J34"/>
      <c r="K34"/>
      <c r="O34"/>
    </row>
    <row r="35" spans="1:23" s="40" customFormat="1" hidden="1" x14ac:dyDescent="0.25">
      <c r="J35" s="55">
        <f>SUM(J31:J33)</f>
        <v>496560.69720331026</v>
      </c>
      <c r="K35"/>
      <c r="O35"/>
    </row>
    <row r="36" spans="1:23" s="40" customFormat="1" hidden="1" x14ac:dyDescent="0.25">
      <c r="A36" s="40" t="s">
        <v>47</v>
      </c>
      <c r="I36" s="40" t="s">
        <v>48</v>
      </c>
      <c r="J36" t="s">
        <v>49</v>
      </c>
      <c r="K36" t="s">
        <v>50</v>
      </c>
      <c r="O36"/>
    </row>
    <row r="37" spans="1:23" s="40" customFormat="1" hidden="1" x14ac:dyDescent="0.25">
      <c r="A37" s="40" t="s">
        <v>44</v>
      </c>
      <c r="I37" s="51">
        <v>187677.00564760386</v>
      </c>
      <c r="J37" s="56">
        <v>191700</v>
      </c>
      <c r="K37" s="39">
        <f>J37-I37</f>
        <v>4022.994352396141</v>
      </c>
      <c r="L37" s="51">
        <f>0.3*K37</f>
        <v>1206.8983057188423</v>
      </c>
      <c r="M37" s="57"/>
      <c r="O37"/>
    </row>
    <row r="38" spans="1:23" s="40" customFormat="1" hidden="1" x14ac:dyDescent="0.25">
      <c r="A38" s="40" t="s">
        <v>45</v>
      </c>
      <c r="I38" s="51">
        <v>287050</v>
      </c>
      <c r="J38" s="55">
        <v>289462.71000000002</v>
      </c>
      <c r="K38" s="39">
        <f>J38-I38</f>
        <v>2412.710000000021</v>
      </c>
      <c r="L38" s="51">
        <f t="shared" ref="L38:L39" si="9">0.3*K38</f>
        <v>723.81300000000624</v>
      </c>
      <c r="M38" s="57"/>
      <c r="O38"/>
    </row>
    <row r="39" spans="1:23" s="40" customFormat="1" hidden="1" x14ac:dyDescent="0.25">
      <c r="A39" s="40" t="s">
        <v>46</v>
      </c>
      <c r="I39" s="58">
        <v>21834</v>
      </c>
      <c r="J39" s="58">
        <v>22095.040000000001</v>
      </c>
      <c r="K39" s="39">
        <f>J39-I39</f>
        <v>261.04000000000087</v>
      </c>
      <c r="L39" s="51">
        <f t="shared" si="9"/>
        <v>78.312000000000253</v>
      </c>
      <c r="M39" s="57"/>
      <c r="O39"/>
    </row>
    <row r="40" spans="1:23" s="40" customFormat="1" hidden="1" x14ac:dyDescent="0.25">
      <c r="I40" s="50">
        <f>SUM(I37:I39)</f>
        <v>496561.00564760389</v>
      </c>
      <c r="J40" s="50">
        <f>SUM(J37:J39)</f>
        <v>503257.75</v>
      </c>
      <c r="K40" s="50">
        <f>SUM(K37:K39)</f>
        <v>6696.7443523961629</v>
      </c>
      <c r="L40" s="50">
        <f>SUM(L37:L39)</f>
        <v>2009.0233057188489</v>
      </c>
      <c r="M40" s="57"/>
      <c r="O40"/>
    </row>
    <row r="41" spans="1:23" s="40" customFormat="1" hidden="1" x14ac:dyDescent="0.25">
      <c r="J41"/>
      <c r="K41"/>
      <c r="O41"/>
    </row>
    <row r="42" spans="1:23" x14ac:dyDescent="0.25">
      <c r="W42" s="44"/>
    </row>
    <row r="43" spans="1:23" x14ac:dyDescent="0.25">
      <c r="W43" s="44"/>
    </row>
    <row r="44" spans="1:23" x14ac:dyDescent="0.25">
      <c r="B44" s="9"/>
      <c r="C44" s="9"/>
      <c r="D44" s="9"/>
      <c r="E44" s="9"/>
      <c r="F44" s="9"/>
      <c r="G44" s="9"/>
      <c r="H44" s="9"/>
      <c r="I44" s="9"/>
      <c r="W44" s="44"/>
    </row>
    <row r="45" spans="1:23" ht="18.75" x14ac:dyDescent="0.3">
      <c r="A45" s="10" t="s">
        <v>4</v>
      </c>
      <c r="B45" s="11">
        <v>2008</v>
      </c>
      <c r="C45" s="11">
        <v>2009</v>
      </c>
      <c r="D45" s="11">
        <v>2010</v>
      </c>
      <c r="E45" s="11">
        <v>2011</v>
      </c>
      <c r="F45" s="11">
        <v>2012</v>
      </c>
      <c r="G45" s="11">
        <v>2013</v>
      </c>
      <c r="H45" s="11">
        <v>2014</v>
      </c>
      <c r="I45" s="11">
        <v>2018</v>
      </c>
    </row>
    <row r="46" spans="1:23" x14ac:dyDescent="0.25">
      <c r="A46" s="13" t="s">
        <v>7</v>
      </c>
    </row>
    <row r="47" spans="1:23" x14ac:dyDescent="0.25">
      <c r="A47" s="13" t="s">
        <v>8</v>
      </c>
      <c r="I47" s="14">
        <v>0</v>
      </c>
    </row>
    <row r="48" spans="1:23" x14ac:dyDescent="0.25">
      <c r="A48" s="13" t="s">
        <v>9</v>
      </c>
      <c r="I48" s="14">
        <f>-I47*0.2</f>
        <v>0</v>
      </c>
    </row>
    <row r="49" spans="1:9" x14ac:dyDescent="0.25">
      <c r="A49" s="15" t="s">
        <v>10</v>
      </c>
      <c r="B49" s="16"/>
      <c r="C49" s="16"/>
      <c r="D49" s="16"/>
      <c r="E49" s="16"/>
      <c r="F49" s="16"/>
      <c r="G49" s="16"/>
      <c r="H49" s="16"/>
      <c r="I49" s="16">
        <v>51.37</v>
      </c>
    </row>
    <row r="50" spans="1:9" x14ac:dyDescent="0.25">
      <c r="A50" s="15" t="s">
        <v>13</v>
      </c>
      <c r="B50" s="19">
        <v>366</v>
      </c>
      <c r="C50" s="19">
        <v>365</v>
      </c>
      <c r="D50" s="19">
        <v>365</v>
      </c>
      <c r="E50" s="19">
        <v>365</v>
      </c>
      <c r="F50" s="19">
        <v>366</v>
      </c>
      <c r="G50" s="19">
        <v>365</v>
      </c>
      <c r="H50" s="19">
        <v>365</v>
      </c>
      <c r="I50" s="19">
        <v>365</v>
      </c>
    </row>
    <row r="51" spans="1:9" x14ac:dyDescent="0.25">
      <c r="A51" s="15" t="s">
        <v>14</v>
      </c>
      <c r="B51" s="20"/>
      <c r="C51" s="20"/>
      <c r="D51" s="20"/>
      <c r="E51" s="20"/>
      <c r="F51" s="20"/>
      <c r="G51" s="20"/>
      <c r="H51" s="20"/>
      <c r="I51" s="21">
        <f>0.941545205479452/1000</f>
        <v>9.4154520547945193E-4</v>
      </c>
    </row>
    <row r="52" spans="1:9" x14ac:dyDescent="0.25">
      <c r="A52" s="15" t="s">
        <v>17</v>
      </c>
      <c r="B52" s="24">
        <f t="shared" ref="B52:H52" si="10">B51*B50*1000</f>
        <v>0</v>
      </c>
      <c r="C52" s="24">
        <f t="shared" si="10"/>
        <v>0</v>
      </c>
      <c r="D52" s="24">
        <f t="shared" si="10"/>
        <v>0</v>
      </c>
      <c r="E52" s="24">
        <f t="shared" si="10"/>
        <v>0</v>
      </c>
      <c r="F52" s="24">
        <f t="shared" si="10"/>
        <v>0</v>
      </c>
      <c r="G52" s="24">
        <f t="shared" si="10"/>
        <v>0</v>
      </c>
      <c r="H52" s="24">
        <f t="shared" si="10"/>
        <v>0</v>
      </c>
      <c r="I52" s="24">
        <f>I51*I50*1000</f>
        <v>343.66399999999999</v>
      </c>
    </row>
    <row r="53" spans="1:9" ht="15.75" thickBot="1" x14ac:dyDescent="0.3">
      <c r="A53" s="15" t="s">
        <v>19</v>
      </c>
      <c r="B53" s="25">
        <f t="shared" ref="B53:I53" si="11">+B52*B49</f>
        <v>0</v>
      </c>
      <c r="C53" s="25">
        <f t="shared" si="11"/>
        <v>0</v>
      </c>
      <c r="D53" s="25">
        <f t="shared" si="11"/>
        <v>0</v>
      </c>
      <c r="E53" s="25">
        <f t="shared" si="11"/>
        <v>0</v>
      </c>
      <c r="F53" s="25">
        <f t="shared" si="11"/>
        <v>0</v>
      </c>
      <c r="G53" s="25">
        <f t="shared" si="11"/>
        <v>0</v>
      </c>
      <c r="H53" s="25">
        <f t="shared" si="11"/>
        <v>0</v>
      </c>
      <c r="I53" s="26">
        <f t="shared" si="11"/>
        <v>17654.019679999998</v>
      </c>
    </row>
    <row r="54" spans="1:9" ht="15.75" thickTop="1" x14ac:dyDescent="0.25">
      <c r="A54" s="15" t="s">
        <v>20</v>
      </c>
      <c r="B54" s="27">
        <f t="shared" ref="B54:I54" si="12">-B53*0.2</f>
        <v>0</v>
      </c>
      <c r="C54" s="27">
        <f t="shared" si="12"/>
        <v>0</v>
      </c>
      <c r="D54" s="27">
        <f t="shared" si="12"/>
        <v>0</v>
      </c>
      <c r="E54" s="27">
        <f t="shared" si="12"/>
        <v>0</v>
      </c>
      <c r="F54" s="27">
        <f t="shared" si="12"/>
        <v>0</v>
      </c>
      <c r="G54" s="27">
        <f t="shared" si="12"/>
        <v>0</v>
      </c>
      <c r="H54" s="28">
        <f t="shared" si="12"/>
        <v>0</v>
      </c>
      <c r="I54" s="29">
        <f t="shared" si="12"/>
        <v>-3530.8039359999998</v>
      </c>
    </row>
    <row r="55" spans="1:9" x14ac:dyDescent="0.25">
      <c r="A55" s="15" t="s">
        <v>24</v>
      </c>
      <c r="B55" s="27"/>
      <c r="C55" s="27"/>
      <c r="D55" s="27"/>
      <c r="E55" s="27"/>
      <c r="F55" s="27"/>
      <c r="G55" s="27"/>
      <c r="H55" s="28"/>
      <c r="I55" s="27">
        <v>0</v>
      </c>
    </row>
    <row r="56" spans="1:9" x14ac:dyDescent="0.25">
      <c r="A56" s="15" t="s">
        <v>25</v>
      </c>
      <c r="B56" s="27"/>
      <c r="C56" s="27"/>
      <c r="D56" s="27"/>
      <c r="E56" s="27"/>
      <c r="F56" s="27"/>
      <c r="G56" s="27"/>
      <c r="H56" s="28"/>
      <c r="I56" s="27"/>
    </row>
    <row r="57" spans="1:9" x14ac:dyDescent="0.25">
      <c r="A57" s="15" t="s">
        <v>26</v>
      </c>
      <c r="B57" s="27"/>
      <c r="C57" s="27"/>
      <c r="D57" s="27"/>
      <c r="E57" s="27"/>
      <c r="F57" s="27"/>
      <c r="G57" s="27"/>
      <c r="H57" s="28"/>
      <c r="I57" s="27">
        <f>-I51*I50*2706</f>
        <v>-929.9547839999999</v>
      </c>
    </row>
    <row r="58" spans="1:9" x14ac:dyDescent="0.25">
      <c r="A58" s="15" t="s">
        <v>28</v>
      </c>
      <c r="B58" s="30">
        <f t="shared" ref="B58:H58" si="13">+B53+B54</f>
        <v>0</v>
      </c>
      <c r="C58" s="30">
        <f t="shared" si="13"/>
        <v>0</v>
      </c>
      <c r="D58" s="30">
        <f t="shared" si="13"/>
        <v>0</v>
      </c>
      <c r="E58" s="30">
        <f t="shared" si="13"/>
        <v>0</v>
      </c>
      <c r="F58" s="30">
        <f t="shared" si="13"/>
        <v>0</v>
      </c>
      <c r="G58" s="30">
        <f t="shared" si="13"/>
        <v>0</v>
      </c>
      <c r="H58" s="31">
        <f t="shared" si="13"/>
        <v>0</v>
      </c>
      <c r="I58" s="30">
        <f>+I53+I54+I55+I56+I57+I48</f>
        <v>13193.260959999998</v>
      </c>
    </row>
    <row r="59" spans="1:9" x14ac:dyDescent="0.25">
      <c r="A59" s="15" t="s">
        <v>29</v>
      </c>
      <c r="B59" s="27">
        <f t="shared" ref="B59:I59" si="14">-B58*0.85</f>
        <v>0</v>
      </c>
      <c r="C59" s="27">
        <f t="shared" si="14"/>
        <v>0</v>
      </c>
      <c r="D59" s="27">
        <f t="shared" si="14"/>
        <v>0</v>
      </c>
      <c r="E59" s="27">
        <f t="shared" si="14"/>
        <v>0</v>
      </c>
      <c r="F59" s="27">
        <f t="shared" si="14"/>
        <v>0</v>
      </c>
      <c r="G59" s="27">
        <f t="shared" si="14"/>
        <v>0</v>
      </c>
      <c r="H59" s="28">
        <f t="shared" si="14"/>
        <v>0</v>
      </c>
      <c r="I59" s="27">
        <f t="shared" si="14"/>
        <v>-11214.271815999999</v>
      </c>
    </row>
    <row r="60" spans="1:9" x14ac:dyDescent="0.25">
      <c r="A60" s="32"/>
      <c r="B60" s="33"/>
      <c r="C60" s="33"/>
      <c r="D60" s="33"/>
      <c r="E60" s="33"/>
      <c r="F60" s="33"/>
      <c r="G60" s="33"/>
      <c r="H60" s="33"/>
      <c r="I60" s="34"/>
    </row>
    <row r="61" spans="1:9" ht="15.75" thickBot="1" x14ac:dyDescent="0.3">
      <c r="A61" s="35" t="s">
        <v>32</v>
      </c>
      <c r="B61" s="36">
        <f t="shared" ref="B61:I61" si="15">+B58+B59</f>
        <v>0</v>
      </c>
      <c r="C61" s="36">
        <f t="shared" si="15"/>
        <v>0</v>
      </c>
      <c r="D61" s="36">
        <f t="shared" si="15"/>
        <v>0</v>
      </c>
      <c r="E61" s="36">
        <f t="shared" si="15"/>
        <v>0</v>
      </c>
      <c r="F61" s="36">
        <f t="shared" si="15"/>
        <v>0</v>
      </c>
      <c r="G61" s="36">
        <f t="shared" si="15"/>
        <v>0</v>
      </c>
      <c r="H61" s="36">
        <f t="shared" si="15"/>
        <v>0</v>
      </c>
      <c r="I61" s="25">
        <f t="shared" si="15"/>
        <v>1978.9891439999992</v>
      </c>
    </row>
    <row r="62" spans="1:9" ht="15.75" thickTop="1" x14ac:dyDescent="0.25"/>
    <row r="63" spans="1:9" ht="15.75" thickBot="1" x14ac:dyDescent="0.3">
      <c r="A63" t="s">
        <v>33</v>
      </c>
      <c r="I63" s="37">
        <f>I61-I57</f>
        <v>2908.9439279999992</v>
      </c>
    </row>
    <row r="64" spans="1:9" ht="15.75" thickTop="1" x14ac:dyDescent="0.25"/>
    <row r="65" spans="1:9" ht="15.75" thickBot="1" x14ac:dyDescent="0.3">
      <c r="I65" s="38"/>
    </row>
    <row r="66" spans="1:9" ht="15.75" thickTop="1" x14ac:dyDescent="0.25"/>
    <row r="68" spans="1:9" x14ac:dyDescent="0.25">
      <c r="A68" t="s">
        <v>36</v>
      </c>
      <c r="I68" s="39">
        <f>I47</f>
        <v>0</v>
      </c>
    </row>
    <row r="69" spans="1:9" x14ac:dyDescent="0.25">
      <c r="A69" s="40" t="s">
        <v>37</v>
      </c>
      <c r="I69" s="39">
        <f>-I48*0.85</f>
        <v>0</v>
      </c>
    </row>
    <row r="70" spans="1:9" x14ac:dyDescent="0.25">
      <c r="A70" s="41" t="s">
        <v>38</v>
      </c>
      <c r="B70" s="42"/>
      <c r="C70" s="42"/>
      <c r="D70" s="42"/>
      <c r="E70" s="42"/>
      <c r="F70" s="42"/>
      <c r="G70" s="42"/>
      <c r="H70" s="42"/>
      <c r="I70" s="43">
        <f>SUM(I63:I69)</f>
        <v>2908.9439279999992</v>
      </c>
    </row>
    <row r="71" spans="1:9" x14ac:dyDescent="0.25">
      <c r="A71" s="41" t="s">
        <v>39</v>
      </c>
      <c r="B71" s="40">
        <v>2014</v>
      </c>
      <c r="C71" s="40"/>
      <c r="D71" s="40"/>
      <c r="E71" s="40"/>
      <c r="F71" s="40"/>
      <c r="G71" s="40"/>
      <c r="H71" s="40"/>
      <c r="I71" s="45">
        <f>I70*0.3</f>
        <v>872.68317839999975</v>
      </c>
    </row>
    <row r="76" spans="1:9" x14ac:dyDescent="0.25">
      <c r="B76" s="9"/>
      <c r="C76" s="9"/>
      <c r="D76" s="9"/>
      <c r="E76" s="9"/>
      <c r="F76" s="9"/>
      <c r="G76" s="9"/>
      <c r="H76" s="9"/>
      <c r="I76" s="9"/>
    </row>
    <row r="77" spans="1:9" ht="18.75" x14ac:dyDescent="0.3">
      <c r="A77" s="10" t="s">
        <v>4</v>
      </c>
      <c r="B77" s="11">
        <v>2008</v>
      </c>
      <c r="C77" s="11">
        <v>2009</v>
      </c>
      <c r="D77" s="11">
        <v>2010</v>
      </c>
      <c r="E77" s="11">
        <v>2011</v>
      </c>
      <c r="F77" s="11">
        <v>2012</v>
      </c>
      <c r="G77" s="11">
        <v>2013</v>
      </c>
      <c r="H77" s="11">
        <v>2014</v>
      </c>
      <c r="I77" s="11">
        <v>2019</v>
      </c>
    </row>
    <row r="78" spans="1:9" x14ac:dyDescent="0.25">
      <c r="A78" s="13" t="s">
        <v>7</v>
      </c>
    </row>
    <row r="79" spans="1:9" x14ac:dyDescent="0.25">
      <c r="A79" s="13" t="s">
        <v>8</v>
      </c>
      <c r="I79" s="14">
        <v>0</v>
      </c>
    </row>
    <row r="80" spans="1:9" x14ac:dyDescent="0.25">
      <c r="A80" s="13" t="s">
        <v>9</v>
      </c>
      <c r="I80" s="14">
        <f>-I79*0.2</f>
        <v>0</v>
      </c>
    </row>
    <row r="81" spans="1:9" x14ac:dyDescent="0.25">
      <c r="A81" s="15" t="s">
        <v>10</v>
      </c>
      <c r="B81" s="16"/>
      <c r="C81" s="16"/>
      <c r="D81" s="16"/>
      <c r="E81" s="16"/>
      <c r="F81" s="16"/>
      <c r="G81" s="16"/>
      <c r="H81" s="16"/>
      <c r="I81" s="16">
        <v>51.37</v>
      </c>
    </row>
    <row r="82" spans="1:9" x14ac:dyDescent="0.25">
      <c r="A82" s="15" t="s">
        <v>13</v>
      </c>
      <c r="B82" s="19">
        <v>366</v>
      </c>
      <c r="C82" s="19">
        <v>365</v>
      </c>
      <c r="D82" s="19">
        <v>365</v>
      </c>
      <c r="E82" s="19">
        <v>365</v>
      </c>
      <c r="F82" s="19">
        <v>366</v>
      </c>
      <c r="G82" s="19">
        <v>365</v>
      </c>
      <c r="H82" s="19">
        <v>365</v>
      </c>
      <c r="I82" s="19">
        <v>365</v>
      </c>
    </row>
    <row r="83" spans="1:9" x14ac:dyDescent="0.25">
      <c r="A83" s="15" t="s">
        <v>14</v>
      </c>
      <c r="B83" s="20"/>
      <c r="C83" s="20"/>
      <c r="D83" s="20"/>
      <c r="E83" s="20"/>
      <c r="F83" s="20"/>
      <c r="G83" s="20"/>
      <c r="H83" s="20"/>
      <c r="I83" s="21">
        <f>1.71627397260274/1000</f>
        <v>1.71627397260274E-3</v>
      </c>
    </row>
    <row r="84" spans="1:9" x14ac:dyDescent="0.25">
      <c r="A84" s="15" t="s">
        <v>17</v>
      </c>
      <c r="B84" s="24">
        <f t="shared" ref="B84:H84" si="16">B83*B82*1000</f>
        <v>0</v>
      </c>
      <c r="C84" s="24">
        <f t="shared" si="16"/>
        <v>0</v>
      </c>
      <c r="D84" s="24">
        <f t="shared" si="16"/>
        <v>0</v>
      </c>
      <c r="E84" s="24">
        <f t="shared" si="16"/>
        <v>0</v>
      </c>
      <c r="F84" s="24">
        <f t="shared" si="16"/>
        <v>0</v>
      </c>
      <c r="G84" s="24">
        <f t="shared" si="16"/>
        <v>0</v>
      </c>
      <c r="H84" s="24">
        <f t="shared" si="16"/>
        <v>0</v>
      </c>
      <c r="I84" s="24">
        <f>I83*I82*1000</f>
        <v>626.44000000000005</v>
      </c>
    </row>
    <row r="85" spans="1:9" ht="15.75" thickBot="1" x14ac:dyDescent="0.3">
      <c r="A85" s="15" t="s">
        <v>19</v>
      </c>
      <c r="B85" s="25">
        <f t="shared" ref="B85:I85" si="17">+B84*B81</f>
        <v>0</v>
      </c>
      <c r="C85" s="25">
        <f t="shared" si="17"/>
        <v>0</v>
      </c>
      <c r="D85" s="25">
        <f t="shared" si="17"/>
        <v>0</v>
      </c>
      <c r="E85" s="25">
        <f t="shared" si="17"/>
        <v>0</v>
      </c>
      <c r="F85" s="25">
        <f t="shared" si="17"/>
        <v>0</v>
      </c>
      <c r="G85" s="25">
        <f t="shared" si="17"/>
        <v>0</v>
      </c>
      <c r="H85" s="25">
        <f t="shared" si="17"/>
        <v>0</v>
      </c>
      <c r="I85" s="26">
        <f t="shared" si="17"/>
        <v>32180.2228</v>
      </c>
    </row>
    <row r="86" spans="1:9" ht="15.75" thickTop="1" x14ac:dyDescent="0.25">
      <c r="A86" s="15" t="s">
        <v>20</v>
      </c>
      <c r="B86" s="27">
        <f t="shared" ref="B86:I86" si="18">-B85*0.2</f>
        <v>0</v>
      </c>
      <c r="C86" s="27">
        <f t="shared" si="18"/>
        <v>0</v>
      </c>
      <c r="D86" s="27">
        <f t="shared" si="18"/>
        <v>0</v>
      </c>
      <c r="E86" s="27">
        <f t="shared" si="18"/>
        <v>0</v>
      </c>
      <c r="F86" s="27">
        <f t="shared" si="18"/>
        <v>0</v>
      </c>
      <c r="G86" s="27">
        <f t="shared" si="18"/>
        <v>0</v>
      </c>
      <c r="H86" s="28">
        <f t="shared" si="18"/>
        <v>0</v>
      </c>
      <c r="I86" s="29">
        <f t="shared" si="18"/>
        <v>-6436.0445600000003</v>
      </c>
    </row>
    <row r="87" spans="1:9" x14ac:dyDescent="0.25">
      <c r="A87" s="15" t="s">
        <v>24</v>
      </c>
      <c r="B87" s="27"/>
      <c r="C87" s="27"/>
      <c r="D87" s="27"/>
      <c r="E87" s="27"/>
      <c r="F87" s="27"/>
      <c r="G87" s="27"/>
      <c r="H87" s="28"/>
      <c r="I87" s="27">
        <v>0</v>
      </c>
    </row>
    <row r="88" spans="1:9" x14ac:dyDescent="0.25">
      <c r="A88" s="15" t="s">
        <v>25</v>
      </c>
      <c r="B88" s="27"/>
      <c r="C88" s="27"/>
      <c r="D88" s="27"/>
      <c r="E88" s="27"/>
      <c r="F88" s="27"/>
      <c r="G88" s="27"/>
      <c r="H88" s="28"/>
      <c r="I88" s="27"/>
    </row>
    <row r="89" spans="1:9" x14ac:dyDescent="0.25">
      <c r="A89" s="15" t="s">
        <v>26</v>
      </c>
      <c r="B89" s="27"/>
      <c r="C89" s="27"/>
      <c r="D89" s="27"/>
      <c r="E89" s="27"/>
      <c r="F89" s="27"/>
      <c r="G89" s="27"/>
      <c r="H89" s="28"/>
      <c r="I89" s="27">
        <f>-I83*I82*2706</f>
        <v>-1695.1466400000004</v>
      </c>
    </row>
    <row r="90" spans="1:9" x14ac:dyDescent="0.25">
      <c r="A90" s="15" t="s">
        <v>28</v>
      </c>
      <c r="B90" s="30">
        <f t="shared" ref="B90:H90" si="19">+B85+B86</f>
        <v>0</v>
      </c>
      <c r="C90" s="30">
        <f t="shared" si="19"/>
        <v>0</v>
      </c>
      <c r="D90" s="30">
        <f t="shared" si="19"/>
        <v>0</v>
      </c>
      <c r="E90" s="30">
        <f t="shared" si="19"/>
        <v>0</v>
      </c>
      <c r="F90" s="30">
        <f t="shared" si="19"/>
        <v>0</v>
      </c>
      <c r="G90" s="30">
        <f t="shared" si="19"/>
        <v>0</v>
      </c>
      <c r="H90" s="31">
        <f t="shared" si="19"/>
        <v>0</v>
      </c>
      <c r="I90" s="30">
        <f>+I85+I86+I87+I88+I89+I80</f>
        <v>24049.031600000002</v>
      </c>
    </row>
    <row r="91" spans="1:9" x14ac:dyDescent="0.25">
      <c r="A91" s="15" t="s">
        <v>29</v>
      </c>
      <c r="B91" s="27">
        <f t="shared" ref="B91:I91" si="20">-B90*0.85</f>
        <v>0</v>
      </c>
      <c r="C91" s="27">
        <f t="shared" si="20"/>
        <v>0</v>
      </c>
      <c r="D91" s="27">
        <f t="shared" si="20"/>
        <v>0</v>
      </c>
      <c r="E91" s="27">
        <f t="shared" si="20"/>
        <v>0</v>
      </c>
      <c r="F91" s="27">
        <f t="shared" si="20"/>
        <v>0</v>
      </c>
      <c r="G91" s="27">
        <f t="shared" si="20"/>
        <v>0</v>
      </c>
      <c r="H91" s="28">
        <f t="shared" si="20"/>
        <v>0</v>
      </c>
      <c r="I91" s="27">
        <f t="shared" si="20"/>
        <v>-20441.67686</v>
      </c>
    </row>
    <row r="92" spans="1:9" x14ac:dyDescent="0.25">
      <c r="A92" s="32"/>
      <c r="B92" s="33"/>
      <c r="C92" s="33"/>
      <c r="D92" s="33"/>
      <c r="E92" s="33"/>
      <c r="F92" s="33"/>
      <c r="G92" s="33"/>
      <c r="H92" s="33"/>
      <c r="I92" s="34"/>
    </row>
    <row r="93" spans="1:9" ht="15.75" thickBot="1" x14ac:dyDescent="0.3">
      <c r="A93" s="35" t="s">
        <v>32</v>
      </c>
      <c r="B93" s="36">
        <f t="shared" ref="B93:I93" si="21">+B90+B91</f>
        <v>0</v>
      </c>
      <c r="C93" s="36">
        <f t="shared" si="21"/>
        <v>0</v>
      </c>
      <c r="D93" s="36">
        <f t="shared" si="21"/>
        <v>0</v>
      </c>
      <c r="E93" s="36">
        <f t="shared" si="21"/>
        <v>0</v>
      </c>
      <c r="F93" s="36">
        <f t="shared" si="21"/>
        <v>0</v>
      </c>
      <c r="G93" s="36">
        <f t="shared" si="21"/>
        <v>0</v>
      </c>
      <c r="H93" s="36">
        <f t="shared" si="21"/>
        <v>0</v>
      </c>
      <c r="I93" s="25">
        <f t="shared" si="21"/>
        <v>3607.3547400000025</v>
      </c>
    </row>
    <row r="94" spans="1:9" ht="15.75" thickTop="1" x14ac:dyDescent="0.25"/>
    <row r="95" spans="1:9" ht="15.75" thickBot="1" x14ac:dyDescent="0.3">
      <c r="A95" t="s">
        <v>33</v>
      </c>
      <c r="I95" s="37">
        <f>I93-I89</f>
        <v>5302.5013800000033</v>
      </c>
    </row>
    <row r="96" spans="1:9" ht="15.75" thickTop="1" x14ac:dyDescent="0.25"/>
    <row r="97" spans="1:9" ht="15.75" thickBot="1" x14ac:dyDescent="0.3">
      <c r="I97" s="38"/>
    </row>
    <row r="98" spans="1:9" ht="15.75" thickTop="1" x14ac:dyDescent="0.25"/>
    <row r="100" spans="1:9" x14ac:dyDescent="0.25">
      <c r="A100" t="s">
        <v>36</v>
      </c>
      <c r="I100" s="39">
        <f>I79</f>
        <v>0</v>
      </c>
    </row>
    <row r="101" spans="1:9" x14ac:dyDescent="0.25">
      <c r="A101" s="40" t="s">
        <v>37</v>
      </c>
      <c r="I101" s="39">
        <f>-I80*0.85</f>
        <v>0</v>
      </c>
    </row>
    <row r="102" spans="1:9" x14ac:dyDescent="0.25">
      <c r="A102" s="41" t="s">
        <v>38</v>
      </c>
      <c r="B102" s="42"/>
      <c r="C102" s="42"/>
      <c r="D102" s="42"/>
      <c r="E102" s="42"/>
      <c r="F102" s="42"/>
      <c r="G102" s="42"/>
      <c r="H102" s="42"/>
      <c r="I102" s="43">
        <f>SUM(I95:I101)</f>
        <v>5302.5013800000033</v>
      </c>
    </row>
    <row r="103" spans="1:9" x14ac:dyDescent="0.25">
      <c r="A103" s="41" t="s">
        <v>39</v>
      </c>
      <c r="B103" s="40">
        <v>2014</v>
      </c>
      <c r="C103" s="40"/>
      <c r="D103" s="40"/>
      <c r="E103" s="40"/>
      <c r="F103" s="40"/>
      <c r="G103" s="40"/>
      <c r="H103" s="40"/>
      <c r="I103" s="45">
        <f>I102*0.3</f>
        <v>1590.750414000001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2"/>
  <sheetViews>
    <sheetView workbookViewId="0">
      <selection activeCell="L6" sqref="L6:M8"/>
    </sheetView>
  </sheetViews>
  <sheetFormatPr defaultRowHeight="15" x14ac:dyDescent="0.25"/>
  <cols>
    <col min="3" max="3" width="17.140625" bestFit="1" customWidth="1"/>
    <col min="4" max="4" width="13" customWidth="1"/>
    <col min="5" max="5" width="13.85546875" customWidth="1"/>
  </cols>
  <sheetData>
    <row r="4" spans="3:10" ht="15.75" thickBot="1" x14ac:dyDescent="0.3"/>
    <row r="5" spans="3:10" ht="45.75" thickBot="1" x14ac:dyDescent="0.3">
      <c r="C5" s="1" t="s">
        <v>0</v>
      </c>
      <c r="D5" s="2" t="s">
        <v>1</v>
      </c>
      <c r="E5" s="2" t="s">
        <v>2</v>
      </c>
      <c r="F5" s="3" t="s">
        <v>3</v>
      </c>
    </row>
    <row r="6" spans="3:10" ht="15.75" thickBot="1" x14ac:dyDescent="0.3">
      <c r="C6" s="4">
        <v>42752</v>
      </c>
      <c r="D6" s="6">
        <v>1</v>
      </c>
      <c r="E6" s="5">
        <v>0.04</v>
      </c>
      <c r="F6" s="7">
        <v>7.5200000000000003E-2</v>
      </c>
      <c r="G6">
        <v>181</v>
      </c>
      <c r="I6">
        <f>F6*G6</f>
        <v>13.6112</v>
      </c>
    </row>
    <row r="7" spans="3:10" ht="15.75" thickBot="1" x14ac:dyDescent="0.3">
      <c r="C7" s="4">
        <v>42933</v>
      </c>
      <c r="D7" s="6">
        <v>5</v>
      </c>
      <c r="E7" s="6">
        <v>0.2</v>
      </c>
      <c r="F7" s="8">
        <v>0.376</v>
      </c>
      <c r="G7">
        <v>184</v>
      </c>
      <c r="I7">
        <f>F7*G7</f>
        <v>69.183999999999997</v>
      </c>
      <c r="J7">
        <f>(I7+I6)/365</f>
        <v>0.22683616438356163</v>
      </c>
    </row>
    <row r="8" spans="3:10" ht="15.75" thickBot="1" x14ac:dyDescent="0.3">
      <c r="C8" s="4">
        <v>42753</v>
      </c>
      <c r="D8" s="6">
        <v>10</v>
      </c>
      <c r="E8" s="6">
        <v>0.4</v>
      </c>
      <c r="F8" s="8">
        <v>0.752</v>
      </c>
      <c r="G8">
        <v>181</v>
      </c>
      <c r="I8">
        <f>F8*G8</f>
        <v>136.11199999999999</v>
      </c>
    </row>
    <row r="9" spans="3:10" ht="15.75" thickBot="1" x14ac:dyDescent="0.3">
      <c r="C9" s="4">
        <v>42934</v>
      </c>
      <c r="D9" s="6">
        <v>15</v>
      </c>
      <c r="E9" s="6">
        <v>0.6</v>
      </c>
      <c r="F9" s="8">
        <v>1.1279999999999999</v>
      </c>
      <c r="G9">
        <v>184</v>
      </c>
      <c r="I9">
        <f>F9*G9</f>
        <v>207.55199999999999</v>
      </c>
      <c r="J9">
        <f>(I9+I8)/365</f>
        <v>0.94154520547945197</v>
      </c>
    </row>
    <row r="10" spans="3:10" ht="15.75" thickBot="1" x14ac:dyDescent="0.3">
      <c r="C10" s="4">
        <v>42754</v>
      </c>
      <c r="D10" s="6">
        <v>20</v>
      </c>
      <c r="E10" s="6">
        <v>0.8</v>
      </c>
      <c r="F10" s="8">
        <v>1.504</v>
      </c>
      <c r="G10">
        <v>151</v>
      </c>
      <c r="I10">
        <f t="shared" ref="I10:I12" si="0">F10*G10</f>
        <v>227.10400000000001</v>
      </c>
    </row>
    <row r="11" spans="3:10" ht="15.75" thickBot="1" x14ac:dyDescent="0.3">
      <c r="C11" s="4">
        <v>42905</v>
      </c>
      <c r="D11" s="6">
        <v>25</v>
      </c>
      <c r="E11" s="6">
        <v>1</v>
      </c>
      <c r="F11" s="8">
        <v>1.8</v>
      </c>
      <c r="G11">
        <f>365-G10-G12</f>
        <v>183</v>
      </c>
      <c r="I11">
        <f t="shared" si="0"/>
        <v>329.40000000000003</v>
      </c>
    </row>
    <row r="12" spans="3:10" ht="15.75" thickBot="1" x14ac:dyDescent="0.3">
      <c r="C12" s="4">
        <v>43088</v>
      </c>
      <c r="D12" s="6">
        <v>30</v>
      </c>
      <c r="E12" s="6">
        <v>1.2</v>
      </c>
      <c r="F12" s="8">
        <v>2.2559999999999998</v>
      </c>
      <c r="G12">
        <v>31</v>
      </c>
      <c r="I12">
        <f t="shared" si="0"/>
        <v>69.935999999999993</v>
      </c>
      <c r="J12">
        <f>(I12+I11+I10)/365</f>
        <v>1.7162739726027398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2017-07-17T12:16:24Z</dcterms:created>
  <dcterms:modified xsi:type="dcterms:W3CDTF">2017-07-18T16:25:49Z</dcterms:modified>
</cp:coreProperties>
</file>