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C03154D9-19FB-45FE-ADAE-E08A0098899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5" l="1"/>
  <c r="F153" i="5" l="1"/>
  <c r="F157" i="5"/>
  <c r="E144" i="5"/>
  <c r="F144" i="5" s="1"/>
  <c r="H144" i="5" s="1"/>
  <c r="E143" i="5"/>
  <c r="H142" i="5"/>
  <c r="J142" i="5" s="1"/>
  <c r="E142" i="5"/>
  <c r="E141" i="5"/>
  <c r="E137" i="5"/>
  <c r="F137" i="5" s="1"/>
  <c r="E135" i="5"/>
  <c r="E120" i="5"/>
  <c r="F120" i="5" s="1"/>
  <c r="H120" i="5" s="1"/>
  <c r="E119" i="5"/>
  <c r="H118" i="5"/>
  <c r="J118" i="5" s="1"/>
  <c r="E118" i="5"/>
  <c r="E117" i="5"/>
  <c r="E113" i="5"/>
  <c r="F113" i="5" s="1"/>
  <c r="E111" i="5"/>
  <c r="E95" i="5"/>
  <c r="F95" i="5" s="1"/>
  <c r="H95" i="5" s="1"/>
  <c r="E94" i="5"/>
  <c r="H93" i="5"/>
  <c r="J93" i="5" s="1"/>
  <c r="E93" i="5"/>
  <c r="E92" i="5"/>
  <c r="E88" i="5"/>
  <c r="F88" i="5" s="1"/>
  <c r="E86" i="5"/>
  <c r="E72" i="5"/>
  <c r="F72" i="5" s="1"/>
  <c r="H72" i="5" s="1"/>
  <c r="E71" i="5"/>
  <c r="H70" i="5"/>
  <c r="J70" i="5" s="1"/>
  <c r="E70" i="5"/>
  <c r="E69" i="5"/>
  <c r="E65" i="5"/>
  <c r="F65" i="5" s="1"/>
  <c r="E63" i="5"/>
  <c r="J29" i="5"/>
  <c r="Q39" i="5" l="1"/>
  <c r="Q46" i="5"/>
  <c r="H29" i="5"/>
  <c r="E28" i="5"/>
  <c r="E29" i="5"/>
  <c r="E30" i="5"/>
  <c r="E22" i="5"/>
  <c r="E24" i="5" l="1"/>
  <c r="F24" i="5" l="1"/>
  <c r="E31" i="5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<sst xmlns="http://schemas.openxmlformats.org/spreadsheetml/2006/main" count="448" uniqueCount="143">
  <si>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</si>
  <si>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</si>
  <si>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</si>
  <si>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</si>
  <si>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</si>
  <si>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</si>
  <si>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</si>
  <si>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</si>
  <si>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</si>
  <si>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</si>
  <si>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</si>
  <si>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</si>
  <si>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</si>
  <si>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</si>
  <si>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</si>
  <si>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</si>
  <si>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</si>
  <si>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</si>
  <si>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</si>
  <si>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</si>
  <si>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</si>
  <si>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</si>
  <si>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</si>
  <si>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</si>
  <si>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</si>
  <si>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</si>
  <si>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</si>
  <si>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</si>
  <si>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</si>
  <si>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</si>
  <si>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</si>
  <si>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</si>
  <si>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</si>
  <si>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</si>
  <si>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</si>
  <si>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</si>
  <si>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</si>
  <si>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</si>
  <si>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</si>
  <si>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</si>
  <si>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</si>
  <si>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</si>
  <si>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</si>
  <si>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</si>
  <si>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</si>
  <si>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</si>
  <si>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</si>
  <si>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</si>
  <si>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</si>
  <si>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</si>
  <si>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</si>
  <si>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</si>
  <si>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</si>
  <si>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</si>
  <si>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</si>
  <si>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</si>
  <si>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</si>
  <si>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</si>
  <si>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</si>
  <si>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</si>
  <si>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</si>
  <si>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</si>
  <si>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</si>
  <si>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</si>
  <si>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</si>
  <si>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</si>
  <si>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</si>
  <si>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</si>
  <si>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</si>
  <si>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</si>
  <si>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</si>
  <si>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</si>
  <si>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</si>
  <si>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</si>
  <si>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</si>
  <si>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</si>
  <si>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</si>
  <si>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</si>
  <si>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</si>
  <si>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</si>
  <si>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</si>
  <si>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</si>
  <si>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</si>
  <si>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</si>
  <si>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</si>
  <si>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</si>
  <si>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</si>
  <si>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</si>
  <si>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</si>
  <si>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</si>
  <si>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</si>
  <si>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</si>
  <si>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</si>
  <si>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</si>
  <si>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</si>
  <si>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</si>
  <si>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</si>
  <si>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</si>
  <si>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</si>
  <si>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</si>
  <si>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</si>
  <si>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</si>
  <si>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</si>
  <si>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</si>
  <si>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</si>
  <si>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</si>
  <si>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</si>
  <si>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</si>
  <si>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</si>
  <si>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</si>
  <si>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</si>
  <si>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</si>
  <si>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</si>
  <si>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</si>
  <si>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</si>
  <si>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</si>
  <si>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</si>
  <si>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</si>
  <si>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</si>
  <si>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</si>
  <si>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</si>
  <si>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</si>
  <si>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</si>
  <si>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</si>
  <si>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</si>
  <si>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</si>
  <si>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</si>
  <si>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</si>
  <si>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</si>
  <si>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</si>
  <si>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</si>
  <si>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</si>
  <si>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</si>
  <si>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</si>
  <si>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</si>
  <si>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</si>
  <si>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</si>
  <si>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FORCY 114S REPAIRS COMPLETED TO GAIN 0.08Kbopd by April 2024</t>
  </si>
  <si>
    <t>FORCY 113T REPAIRS COMPLETED TO GAIN 0.08Kbopd by April 2024</t>
  </si>
  <si>
    <t>FOCY25T gain Ex-cluster bulk line repire April 2024</t>
  </si>
  <si>
    <t>FOCY66L gain Ex-cluster bulk line repire April 2024</t>
  </si>
  <si>
    <t>FOCY22T gain Ex-ScSSSV repire April 2024</t>
  </si>
  <si>
    <t>DIY oil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</si>
</sst>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62</xdr:row>
      <xdr:rowOff>95250</xdr:rowOff>
    </xdr:from>
    <xdr:to>
      <xdr:col>3</xdr:col>
      <xdr:colOff>12700</xdr:colOff>
      <xdr:row>65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B55F958-6CC4-40F7-852E-951780D3F268}"/>
            </a:ext>
          </a:extLst>
        </xdr:cNvPr>
        <xdr:cNvCxnSpPr/>
      </xdr:nvCxnSpPr>
      <xdr:spPr>
        <a:xfrm flipV="1">
          <a:off x="5511426" y="1372721"/>
          <a:ext cx="903568" cy="518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64</xdr:row>
      <xdr:rowOff>114300</xdr:rowOff>
    </xdr:from>
    <xdr:to>
      <xdr:col>3</xdr:col>
      <xdr:colOff>57150</xdr:colOff>
      <xdr:row>66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72180D4-6AFD-452A-AFB2-15DA2C1111BC}"/>
            </a:ext>
          </a:extLst>
        </xdr:cNvPr>
        <xdr:cNvCxnSpPr/>
      </xdr:nvCxnSpPr>
      <xdr:spPr>
        <a:xfrm flipV="1">
          <a:off x="4292226" y="1772771"/>
          <a:ext cx="2167218" cy="537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68</xdr:row>
      <xdr:rowOff>57150</xdr:rowOff>
    </xdr:from>
    <xdr:to>
      <xdr:col>3</xdr:col>
      <xdr:colOff>76200</xdr:colOff>
      <xdr:row>69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A3DFC27-2E1A-4F2A-ADCD-DF20CBDAA6A8}"/>
            </a:ext>
          </a:extLst>
        </xdr:cNvPr>
        <xdr:cNvCxnSpPr/>
      </xdr:nvCxnSpPr>
      <xdr:spPr>
        <a:xfrm flipV="1">
          <a:off x="5581276" y="2634503"/>
          <a:ext cx="897218" cy="167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70</xdr:row>
      <xdr:rowOff>114300</xdr:rowOff>
    </xdr:from>
    <xdr:to>
      <xdr:col>3</xdr:col>
      <xdr:colOff>44450</xdr:colOff>
      <xdr:row>71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97E04F-574A-47E1-8150-DE4F278E37BB}"/>
            </a:ext>
          </a:extLst>
        </xdr:cNvPr>
        <xdr:cNvCxnSpPr/>
      </xdr:nvCxnSpPr>
      <xdr:spPr>
        <a:xfrm>
          <a:off x="4311276" y="3065182"/>
          <a:ext cx="2135468" cy="231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85</xdr:row>
      <xdr:rowOff>95250</xdr:rowOff>
    </xdr:from>
    <xdr:to>
      <xdr:col>3</xdr:col>
      <xdr:colOff>12700</xdr:colOff>
      <xdr:row>88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2211993-1E74-4AFB-84D1-96684E5D1833}"/>
            </a:ext>
          </a:extLst>
        </xdr:cNvPr>
        <xdr:cNvCxnSpPr/>
      </xdr:nvCxnSpPr>
      <xdr:spPr>
        <a:xfrm flipV="1">
          <a:off x="5511426" y="9560485"/>
          <a:ext cx="903568" cy="518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87</xdr:row>
      <xdr:rowOff>114300</xdr:rowOff>
    </xdr:from>
    <xdr:to>
      <xdr:col>3</xdr:col>
      <xdr:colOff>57150</xdr:colOff>
      <xdr:row>89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8A52990-1E7D-4E34-872B-9B820373EDD3}"/>
            </a:ext>
          </a:extLst>
        </xdr:cNvPr>
        <xdr:cNvCxnSpPr/>
      </xdr:nvCxnSpPr>
      <xdr:spPr>
        <a:xfrm flipV="1">
          <a:off x="4292226" y="9960535"/>
          <a:ext cx="2167218" cy="537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91</xdr:row>
      <xdr:rowOff>57150</xdr:rowOff>
    </xdr:from>
    <xdr:to>
      <xdr:col>3</xdr:col>
      <xdr:colOff>76200</xdr:colOff>
      <xdr:row>92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CA017F2-E897-4F07-8141-F5C6EA36ACAC}"/>
            </a:ext>
          </a:extLst>
        </xdr:cNvPr>
        <xdr:cNvCxnSpPr/>
      </xdr:nvCxnSpPr>
      <xdr:spPr>
        <a:xfrm flipV="1">
          <a:off x="5581276" y="10822268"/>
          <a:ext cx="897218" cy="167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93</xdr:row>
      <xdr:rowOff>114300</xdr:rowOff>
    </xdr:from>
    <xdr:to>
      <xdr:col>3</xdr:col>
      <xdr:colOff>44450</xdr:colOff>
      <xdr:row>94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5B2A826-5917-438D-9DD5-800EA895F9D2}"/>
            </a:ext>
          </a:extLst>
        </xdr:cNvPr>
        <xdr:cNvCxnSpPr/>
      </xdr:nvCxnSpPr>
      <xdr:spPr>
        <a:xfrm>
          <a:off x="4311276" y="11252947"/>
          <a:ext cx="2135468" cy="231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110</xdr:row>
      <xdr:rowOff>95250</xdr:rowOff>
    </xdr:from>
    <xdr:to>
      <xdr:col>3</xdr:col>
      <xdr:colOff>12700</xdr:colOff>
      <xdr:row>113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75A35F0-69CE-46C3-BB22-DBA3F3ED6D84}"/>
            </a:ext>
          </a:extLst>
        </xdr:cNvPr>
        <xdr:cNvCxnSpPr/>
      </xdr:nvCxnSpPr>
      <xdr:spPr>
        <a:xfrm flipV="1">
          <a:off x="5511426" y="14229603"/>
          <a:ext cx="903568" cy="518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112</xdr:row>
      <xdr:rowOff>114300</xdr:rowOff>
    </xdr:from>
    <xdr:to>
      <xdr:col>3</xdr:col>
      <xdr:colOff>57150</xdr:colOff>
      <xdr:row>114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D13E65F-2EDF-4AA5-9120-9D1AFA16E625}"/>
            </a:ext>
          </a:extLst>
        </xdr:cNvPr>
        <xdr:cNvCxnSpPr/>
      </xdr:nvCxnSpPr>
      <xdr:spPr>
        <a:xfrm flipV="1">
          <a:off x="4292226" y="14629653"/>
          <a:ext cx="2167218" cy="537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116</xdr:row>
      <xdr:rowOff>57150</xdr:rowOff>
    </xdr:from>
    <xdr:to>
      <xdr:col>3</xdr:col>
      <xdr:colOff>76200</xdr:colOff>
      <xdr:row>117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DBABABD-1DFD-4722-BF2A-0F1F44F3F85D}"/>
            </a:ext>
          </a:extLst>
        </xdr:cNvPr>
        <xdr:cNvCxnSpPr/>
      </xdr:nvCxnSpPr>
      <xdr:spPr>
        <a:xfrm flipV="1">
          <a:off x="5581276" y="15491385"/>
          <a:ext cx="897218" cy="167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118</xdr:row>
      <xdr:rowOff>114300</xdr:rowOff>
    </xdr:from>
    <xdr:to>
      <xdr:col>3</xdr:col>
      <xdr:colOff>44450</xdr:colOff>
      <xdr:row>119</xdr:row>
      <xdr:rowOff>158750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2467007-8FE8-40F4-BB90-35AFF9490B6D}"/>
            </a:ext>
          </a:extLst>
        </xdr:cNvPr>
        <xdr:cNvCxnSpPr/>
      </xdr:nvCxnSpPr>
      <xdr:spPr>
        <a:xfrm>
          <a:off x="4311276" y="15922065"/>
          <a:ext cx="2135468" cy="231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134</xdr:row>
      <xdr:rowOff>95250</xdr:rowOff>
    </xdr:from>
    <xdr:to>
      <xdr:col>3</xdr:col>
      <xdr:colOff>12700</xdr:colOff>
      <xdr:row>137</xdr:row>
      <xdr:rowOff>38100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C6B3786-EC38-4C7C-ADE8-22E000CCDB3E}"/>
            </a:ext>
          </a:extLst>
        </xdr:cNvPr>
        <xdr:cNvCxnSpPr/>
      </xdr:nvCxnSpPr>
      <xdr:spPr>
        <a:xfrm flipV="1">
          <a:off x="5511426" y="19272250"/>
          <a:ext cx="903568" cy="518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136</xdr:row>
      <xdr:rowOff>114300</xdr:rowOff>
    </xdr:from>
    <xdr:to>
      <xdr:col>3</xdr:col>
      <xdr:colOff>57150</xdr:colOff>
      <xdr:row>138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417AD6D-21CC-4938-9A71-2BB02CBAB950}"/>
            </a:ext>
          </a:extLst>
        </xdr:cNvPr>
        <xdr:cNvCxnSpPr/>
      </xdr:nvCxnSpPr>
      <xdr:spPr>
        <a:xfrm flipV="1">
          <a:off x="4292226" y="19672300"/>
          <a:ext cx="2167218" cy="537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140</xdr:row>
      <xdr:rowOff>57150</xdr:rowOff>
    </xdr:from>
    <xdr:to>
      <xdr:col>3</xdr:col>
      <xdr:colOff>76200</xdr:colOff>
      <xdr:row>141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89750A1-080D-4EAF-B656-E9323B5C9023}"/>
            </a:ext>
          </a:extLst>
        </xdr:cNvPr>
        <xdr:cNvCxnSpPr/>
      </xdr:nvCxnSpPr>
      <xdr:spPr>
        <a:xfrm flipV="1">
          <a:off x="5581276" y="20534032"/>
          <a:ext cx="897218" cy="167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142</xdr:row>
      <xdr:rowOff>114300</xdr:rowOff>
    </xdr:from>
    <xdr:to>
      <xdr:col>3</xdr:col>
      <xdr:colOff>44450</xdr:colOff>
      <xdr:row>143</xdr:row>
      <xdr:rowOff>158750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1052D61-68F9-4701-947E-A567C9566581}"/>
            </a:ext>
          </a:extLst>
        </xdr:cNvPr>
        <xdr:cNvCxnSpPr/>
      </xdr:nvCxnSpPr>
      <xdr:spPr>
        <a:xfrm>
          <a:off x="4311276" y="20964712"/>
          <a:ext cx="2135468" cy="231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57"/>
  <sheetViews>
    <sheetView tabSelected="1" topLeftCell="B123" zoomScale="85" zoomScaleNormal="85" workbookViewId="0">
      <selection activeCell="H156" sqref="H156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>
      <c r="C1" s="72" t="s">
        <v>137</v>
      </c>
    </row>
    <row r="2" spans="2:20" ht="25.5" thickBot="1">
      <c r="C2" s="155" t="s">
        <v>0</v>
      </c>
      <c r="D2" s="156"/>
      <c r="E2" s="156"/>
      <c r="F2" s="157"/>
    </row>
    <row r="3" spans="2:20" ht="15" hidden="1" thickBot="1">
      <c r="C3" s="72">
        <v>1</v>
      </c>
      <c r="D3" s="72">
        <v>2</v>
      </c>
      <c r="E3" s="72">
        <v>3</v>
      </c>
      <c r="F3" s="135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39" t="s">
        <v>24</v>
      </c>
      <c r="D10" s="140">
        <v>1</v>
      </c>
      <c r="E10" s="141">
        <v>1</v>
      </c>
      <c r="F10" s="142">
        <v>0.68</v>
      </c>
      <c r="G10" s="84"/>
      <c r="I10" s="73"/>
      <c r="J10" s="73"/>
      <c r="K10" s="87"/>
      <c r="M10" s="73" t="s">
        <v>25</v>
      </c>
      <c r="O10" s="139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5" t="s">
        <v>26</v>
      </c>
      <c r="D11" s="126">
        <v>0.75</v>
      </c>
      <c r="E11" s="117">
        <v>0.55000000000000004</v>
      </c>
      <c r="F11" s="127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7">
        <v>1</v>
      </c>
      <c r="Q11" s="118">
        <v>3.79</v>
      </c>
      <c r="R11" s="119">
        <v>0</v>
      </c>
      <c r="S11" s="120">
        <v>0.04</v>
      </c>
    </row>
    <row r="12" spans="2:20" hidden="1">
      <c r="B12" s="73"/>
      <c r="C12" s="125" t="s">
        <v>28</v>
      </c>
      <c r="D12" s="126">
        <v>0.75</v>
      </c>
      <c r="E12" s="117">
        <v>0.44</v>
      </c>
      <c r="F12" s="127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7">
        <v>1</v>
      </c>
      <c r="Q12" s="118">
        <v>0</v>
      </c>
      <c r="R12" s="119">
        <v>0</v>
      </c>
      <c r="S12" s="120">
        <v>0</v>
      </c>
    </row>
    <row r="13" spans="2:20" hidden="1">
      <c r="B13" s="73"/>
      <c r="C13" s="125" t="s">
        <v>30</v>
      </c>
      <c r="D13" s="126">
        <v>0.73</v>
      </c>
      <c r="E13" s="117">
        <v>1</v>
      </c>
      <c r="F13" s="127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7">
        <v>1</v>
      </c>
      <c r="Q13" s="118">
        <v>3.3</v>
      </c>
      <c r="R13" s="119">
        <v>0</v>
      </c>
      <c r="S13" s="120">
        <v>0</v>
      </c>
    </row>
    <row r="14" spans="2:20" ht="15" hidden="1" thickBot="1">
      <c r="B14" s="73"/>
      <c r="C14" s="128" t="s">
        <v>32</v>
      </c>
      <c r="D14" s="129">
        <v>1</v>
      </c>
      <c r="E14" s="121">
        <v>0.5</v>
      </c>
      <c r="F14" s="130">
        <v>1</v>
      </c>
      <c r="G14" s="84"/>
      <c r="I14" s="73"/>
      <c r="O14" s="89" t="s">
        <v>32</v>
      </c>
      <c r="P14" s="121">
        <v>0.5</v>
      </c>
      <c r="Q14" s="122">
        <v>0</v>
      </c>
      <c r="R14" s="123">
        <v>0</v>
      </c>
      <c r="S14" s="124">
        <v>0</v>
      </c>
    </row>
    <row r="15" spans="2:20" ht="15" hidden="1" thickBot="1">
      <c r="B15" s="73"/>
      <c r="C15" s="125" t="s">
        <v>33</v>
      </c>
      <c r="D15" s="131">
        <v>1</v>
      </c>
      <c r="E15" s="132">
        <v>0.33</v>
      </c>
      <c r="F15" s="133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5" t="s">
        <v>34</v>
      </c>
      <c r="D16" s="126">
        <v>1</v>
      </c>
      <c r="E16" s="117">
        <v>0.27800000000000002</v>
      </c>
      <c r="F16" s="134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5" t="s">
        <v>36</v>
      </c>
      <c r="D17" s="126">
        <v>0.5</v>
      </c>
      <c r="E17" s="117">
        <v>1</v>
      </c>
      <c r="F17" s="134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3" t="s">
        <v>40</v>
      </c>
      <c r="E20" s="90"/>
      <c r="F20" s="110"/>
    </row>
    <row r="21" spans="2:20">
      <c r="C21" s="69"/>
      <c r="D21" s="152"/>
      <c r="E21" s="153"/>
      <c r="F21" s="154"/>
      <c r="K21" s="72" t="s">
        <v>41</v>
      </c>
    </row>
    <row r="22" spans="2:20" ht="15" thickBot="1">
      <c r="C22" s="69" t="s">
        <v>42</v>
      </c>
      <c r="D22" s="114" t="s">
        <v>11</v>
      </c>
      <c r="E22" s="143">
        <f>IF(D22=$K$4,(VLOOKUP(D24,$C$5:$F$17,2,FALSE)),(VLOOKUP(D24,$C$5:$F$17,4,FALSE)))</f>
        <v>0.25</v>
      </c>
      <c r="F22" s="111">
        <v>0</v>
      </c>
      <c r="S22" s="136"/>
      <c r="T22" s="137"/>
    </row>
    <row r="23" spans="2:20">
      <c r="C23" s="70" t="s">
        <v>43</v>
      </c>
      <c r="D23" s="115" t="s">
        <v>44</v>
      </c>
      <c r="E23" s="82"/>
      <c r="F23" s="111">
        <v>0</v>
      </c>
      <c r="H23" s="148" t="s">
        <v>45</v>
      </c>
      <c r="I23" s="149"/>
      <c r="J23" s="93" t="s">
        <v>46</v>
      </c>
      <c r="M23" s="136"/>
      <c r="N23" s="138"/>
    </row>
    <row r="24" spans="2:20" ht="15" thickBot="1">
      <c r="C24" s="69" t="s">
        <v>47</v>
      </c>
      <c r="D24" s="116" t="s">
        <v>26</v>
      </c>
      <c r="E24" s="144">
        <f>VLOOKUP(D24,$C$4:$F$17,3,FALSE)</f>
        <v>0.55000000000000004</v>
      </c>
      <c r="F24" s="104">
        <f>(F22-F23)*E24*E22</f>
        <v>0</v>
      </c>
      <c r="H24" s="150"/>
      <c r="I24" s="151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5">
        <f>IF(D28=$K$7,(VLOOKUP(D31,$O$4:$S$16,3,FALSE)),IF(D28=$K$8,(VLOOKUP(D31,$O$4:S$16,4,FALSE)),(VLOOKUP(D31,$O$4:S$16,5,FALSE))))</f>
        <v>3.1</v>
      </c>
      <c r="F28" s="111">
        <v>0.126</v>
      </c>
    </row>
    <row r="29" spans="2:20">
      <c r="C29" s="69" t="s">
        <v>55</v>
      </c>
      <c r="D29" s="102" t="s">
        <v>56</v>
      </c>
      <c r="E29" s="146">
        <f>(VLOOKUP(D31,$C$5:$F$16,3,FALSE))</f>
        <v>0.3</v>
      </c>
      <c r="F29" s="111">
        <v>27</v>
      </c>
      <c r="H29" s="72">
        <f>354.87*1000</f>
        <v>354870</v>
      </c>
      <c r="J29" s="72">
        <f>H29/1000</f>
        <v>354.87</v>
      </c>
    </row>
    <row r="30" spans="2:20">
      <c r="C30" s="69" t="s">
        <v>57</v>
      </c>
      <c r="D30" s="99" t="s">
        <v>44</v>
      </c>
      <c r="E30" s="146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7">
        <f>VLOOKUP(D31,$O$4:$S$16,2,FALSE)</f>
        <v>0.3</v>
      </c>
      <c r="F31" s="103">
        <f>(((F29/365)*F28*E31*E28)*1000)-(F30*E30*E29)</f>
        <v>8.668109589041098</v>
      </c>
      <c r="G31" s="112"/>
      <c r="H31" s="138">
        <f>F31*1000</f>
        <v>8668.1095890410979</v>
      </c>
      <c r="J31" s="112"/>
      <c r="R31" s="136"/>
      <c r="S31" s="137"/>
      <c r="T31" s="137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8" t="s">
        <v>60</v>
      </c>
      <c r="F37" s="108"/>
      <c r="G37" s="88"/>
    </row>
    <row r="38" spans="3:17" ht="15" thickBot="1">
      <c r="C38" s="159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687.18*1000</f>
        <v>687180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 ht="15" thickBot="1">
      <c r="C42" s="72" t="s">
        <v>138</v>
      </c>
    </row>
    <row r="43" spans="3:17" ht="25.5" thickBot="1">
      <c r="C43" s="155" t="s">
        <v>0</v>
      </c>
      <c r="D43" s="156"/>
      <c r="E43" s="156"/>
      <c r="F43" s="157"/>
    </row>
    <row r="44" spans="3:17" ht="15" thickBot="1">
      <c r="C44" s="72">
        <v>1</v>
      </c>
      <c r="D44" s="72">
        <v>2</v>
      </c>
      <c r="E44" s="72">
        <v>3</v>
      </c>
      <c r="F44" s="135">
        <v>4</v>
      </c>
      <c r="G44" s="72">
        <v>5</v>
      </c>
      <c r="H44" s="72">
        <v>6</v>
      </c>
      <c r="I44" s="72">
        <v>7</v>
      </c>
    </row>
    <row r="45" spans="3:17">
      <c r="C45" s="74"/>
      <c r="D45" s="75" t="s">
        <v>1</v>
      </c>
      <c r="E45" s="76" t="s">
        <v>2</v>
      </c>
      <c r="F45" s="106" t="s">
        <v>3</v>
      </c>
      <c r="G45" s="106"/>
      <c r="H45" s="77"/>
      <c r="I45" s="78"/>
      <c r="J45" s="73"/>
      <c r="K45" s="79" t="s">
        <v>4</v>
      </c>
    </row>
    <row r="46" spans="3:17">
      <c r="C46" s="81" t="s">
        <v>10</v>
      </c>
      <c r="D46" s="82">
        <v>1</v>
      </c>
      <c r="E46" s="83">
        <v>0.3</v>
      </c>
      <c r="F46" s="107">
        <v>0.2</v>
      </c>
      <c r="G46" s="84"/>
      <c r="I46" s="73"/>
      <c r="J46" s="73"/>
      <c r="K46" s="79" t="s">
        <v>11</v>
      </c>
      <c r="Q46">
        <f>9.3-4.8</f>
        <v>4.5000000000000009</v>
      </c>
    </row>
    <row r="47" spans="3:17">
      <c r="C47" s="81" t="s">
        <v>13</v>
      </c>
      <c r="D47" s="82">
        <v>1</v>
      </c>
      <c r="E47" s="83">
        <v>0.66669999999999996</v>
      </c>
      <c r="F47" s="107">
        <v>0.2</v>
      </c>
      <c r="G47" s="84"/>
      <c r="I47" s="73"/>
      <c r="J47" s="73"/>
      <c r="K47" s="79" t="s">
        <v>14</v>
      </c>
    </row>
    <row r="48" spans="3:17">
      <c r="C48" s="86" t="s">
        <v>16</v>
      </c>
      <c r="D48" s="82">
        <v>1</v>
      </c>
      <c r="E48" s="83">
        <v>0.15</v>
      </c>
      <c r="F48" s="107">
        <v>0.2</v>
      </c>
      <c r="G48" s="84"/>
      <c r="I48" s="73"/>
      <c r="J48" s="73"/>
      <c r="K48" s="79" t="s">
        <v>17</v>
      </c>
    </row>
    <row r="49" spans="3:11">
      <c r="C49" s="86" t="s">
        <v>19</v>
      </c>
      <c r="D49" s="82">
        <v>1</v>
      </c>
      <c r="E49" s="83">
        <v>0.3</v>
      </c>
      <c r="F49" s="107">
        <v>0.2</v>
      </c>
      <c r="G49" s="84"/>
      <c r="I49" s="73"/>
      <c r="J49" s="73"/>
      <c r="K49" s="79" t="s">
        <v>20</v>
      </c>
    </row>
    <row r="50" spans="3:11">
      <c r="C50" s="86" t="s">
        <v>22</v>
      </c>
      <c r="D50" s="82">
        <v>1</v>
      </c>
      <c r="E50" s="83">
        <v>0.2767</v>
      </c>
      <c r="F50" s="107">
        <v>0.2</v>
      </c>
      <c r="G50" s="84"/>
      <c r="I50" s="73"/>
      <c r="K50" s="79" t="s">
        <v>23</v>
      </c>
    </row>
    <row r="51" spans="3:11">
      <c r="C51" s="139" t="s">
        <v>24</v>
      </c>
      <c r="D51" s="140">
        <v>1</v>
      </c>
      <c r="E51" s="141">
        <v>1</v>
      </c>
      <c r="F51" s="142">
        <v>0.68</v>
      </c>
      <c r="G51" s="84"/>
      <c r="I51" s="73"/>
      <c r="J51" s="73"/>
      <c r="K51" s="87"/>
    </row>
    <row r="52" spans="3:11">
      <c r="C52" s="125" t="s">
        <v>26</v>
      </c>
      <c r="D52" s="126">
        <v>0.75</v>
      </c>
      <c r="E52" s="117">
        <v>0.55000000000000004</v>
      </c>
      <c r="F52" s="127">
        <v>0.25</v>
      </c>
      <c r="G52" s="84"/>
      <c r="I52" s="73"/>
      <c r="J52" s="73"/>
      <c r="K52" s="85"/>
    </row>
    <row r="53" spans="3:11">
      <c r="C53" s="125" t="s">
        <v>28</v>
      </c>
      <c r="D53" s="126">
        <v>0.75</v>
      </c>
      <c r="E53" s="117">
        <v>0.44</v>
      </c>
      <c r="F53" s="127">
        <v>0.25</v>
      </c>
      <c r="G53" s="84"/>
      <c r="I53" s="73"/>
      <c r="J53" s="73"/>
      <c r="K53" s="85"/>
    </row>
    <row r="54" spans="3:11">
      <c r="C54" s="125" t="s">
        <v>30</v>
      </c>
      <c r="D54" s="126">
        <v>0.73</v>
      </c>
      <c r="E54" s="117">
        <v>1</v>
      </c>
      <c r="F54" s="127">
        <v>0.28000000000000003</v>
      </c>
      <c r="G54" s="84"/>
      <c r="I54" s="73"/>
      <c r="J54" s="73"/>
      <c r="K54" s="88"/>
    </row>
    <row r="55" spans="3:11" ht="15" thickBot="1">
      <c r="C55" s="128" t="s">
        <v>32</v>
      </c>
      <c r="D55" s="129">
        <v>1</v>
      </c>
      <c r="E55" s="121">
        <v>0.5</v>
      </c>
      <c r="F55" s="130">
        <v>1</v>
      </c>
      <c r="G55" s="84"/>
      <c r="I55" s="73"/>
    </row>
    <row r="56" spans="3:11">
      <c r="C56" s="125" t="s">
        <v>33</v>
      </c>
      <c r="D56" s="131">
        <v>1</v>
      </c>
      <c r="E56" s="132">
        <v>0.33</v>
      </c>
      <c r="F56" s="133">
        <v>1</v>
      </c>
      <c r="G56" s="84"/>
      <c r="I56" s="73"/>
    </row>
    <row r="57" spans="3:11">
      <c r="C57" s="125" t="s">
        <v>34</v>
      </c>
      <c r="D57" s="126">
        <v>1</v>
      </c>
      <c r="E57" s="117">
        <v>0.27800000000000002</v>
      </c>
      <c r="F57" s="134">
        <v>1</v>
      </c>
      <c r="G57" s="84"/>
      <c r="I57" s="73"/>
    </row>
    <row r="58" spans="3:11">
      <c r="C58" s="125" t="s">
        <v>36</v>
      </c>
      <c r="D58" s="126">
        <v>0.5</v>
      </c>
      <c r="E58" s="117">
        <v>1</v>
      </c>
      <c r="F58" s="134">
        <v>0.5</v>
      </c>
      <c r="G58" s="84"/>
      <c r="I58" s="73"/>
    </row>
    <row r="59" spans="3:11" ht="15" thickBot="1">
      <c r="C59" s="78"/>
      <c r="D59" s="73"/>
      <c r="E59" s="85"/>
      <c r="F59" s="108"/>
      <c r="G59" s="84"/>
      <c r="I59" s="73"/>
    </row>
    <row r="60" spans="3:11" ht="15" thickBot="1">
      <c r="C60" s="95" t="s">
        <v>37</v>
      </c>
      <c r="D60" s="96" t="s">
        <v>38</v>
      </c>
      <c r="E60" s="97"/>
      <c r="F60" s="109"/>
    </row>
    <row r="61" spans="3:11">
      <c r="C61" s="98" t="s">
        <v>39</v>
      </c>
      <c r="D61" s="113" t="s">
        <v>40</v>
      </c>
      <c r="E61" s="90"/>
      <c r="F61" s="110"/>
    </row>
    <row r="62" spans="3:11">
      <c r="C62" s="69"/>
      <c r="D62" s="152"/>
      <c r="E62" s="153"/>
      <c r="F62" s="154"/>
      <c r="K62" s="72" t="s">
        <v>41</v>
      </c>
    </row>
    <row r="63" spans="3:11" ht="15" thickBot="1">
      <c r="C63" s="69" t="s">
        <v>42</v>
      </c>
      <c r="D63" s="114" t="s">
        <v>11</v>
      </c>
      <c r="E63" s="143">
        <f>IF(D63=$K$4,(VLOOKUP(D65,$C$5:$F$17,2,FALSE)),(VLOOKUP(D65,$C$5:$F$17,4,FALSE)))</f>
        <v>0.25</v>
      </c>
      <c r="F63" s="111">
        <v>0</v>
      </c>
    </row>
    <row r="64" spans="3:11">
      <c r="C64" s="70" t="s">
        <v>43</v>
      </c>
      <c r="D64" s="115" t="s">
        <v>44</v>
      </c>
      <c r="E64" s="82"/>
      <c r="F64" s="111">
        <v>0</v>
      </c>
      <c r="H64" s="148" t="s">
        <v>45</v>
      </c>
      <c r="I64" s="149"/>
      <c r="J64" s="93" t="s">
        <v>46</v>
      </c>
    </row>
    <row r="65" spans="3:10" ht="15" thickBot="1">
      <c r="C65" s="69" t="s">
        <v>47</v>
      </c>
      <c r="D65" s="116" t="s">
        <v>26</v>
      </c>
      <c r="E65" s="144">
        <f>VLOOKUP(D65,$C$4:$F$17,3,FALSE)</f>
        <v>0.55000000000000004</v>
      </c>
      <c r="F65" s="104">
        <f>(F63-F64)*E65*E63</f>
        <v>0</v>
      </c>
      <c r="H65" s="150"/>
      <c r="I65" s="151"/>
      <c r="J65" s="94" t="s">
        <v>48</v>
      </c>
    </row>
    <row r="66" spans="3:10" ht="27" thickBot="1">
      <c r="C66" s="70" t="s">
        <v>49</v>
      </c>
    </row>
    <row r="67" spans="3:10" ht="15" thickBot="1">
      <c r="C67" s="69" t="s">
        <v>50</v>
      </c>
      <c r="D67" s="97" t="s">
        <v>51</v>
      </c>
      <c r="E67" s="97"/>
      <c r="F67" s="109"/>
    </row>
    <row r="68" spans="3:10">
      <c r="C68" s="69" t="s">
        <v>52</v>
      </c>
      <c r="D68" s="90" t="s">
        <v>53</v>
      </c>
      <c r="E68" s="90"/>
      <c r="F68" s="110"/>
    </row>
    <row r="69" spans="3:10">
      <c r="C69" s="69" t="s">
        <v>54</v>
      </c>
      <c r="D69" s="100" t="s">
        <v>17</v>
      </c>
      <c r="E69" s="145">
        <f>IF(D69=$K$7,(VLOOKUP(D72,$O$4:$S$16,3,FALSE)),IF(D69=$K$8,(VLOOKUP(D72,$O$4:S$16,4,FALSE)),(VLOOKUP(D72,$O$4:S$16,5,FALSE))))</f>
        <v>3.1</v>
      </c>
      <c r="F69" s="111">
        <v>0.78400000000000003</v>
      </c>
    </row>
    <row r="70" spans="3:10">
      <c r="C70" s="69" t="s">
        <v>55</v>
      </c>
      <c r="D70" s="102" t="s">
        <v>56</v>
      </c>
      <c r="E70" s="146">
        <f>(VLOOKUP(D72,$C$5:$F$16,3,FALSE))</f>
        <v>0.3</v>
      </c>
      <c r="F70" s="111">
        <v>15</v>
      </c>
      <c r="H70" s="72">
        <f>354.87*1000</f>
        <v>354870</v>
      </c>
      <c r="J70" s="72">
        <f>H70/1000</f>
        <v>354.87</v>
      </c>
    </row>
    <row r="71" spans="3:10">
      <c r="C71" s="69" t="s">
        <v>57</v>
      </c>
      <c r="D71" s="99" t="s">
        <v>44</v>
      </c>
      <c r="E71" s="146">
        <f>(VLOOKUP(D72,$C$5:$F$16,4,FALSE))</f>
        <v>0.2</v>
      </c>
      <c r="F71" s="111">
        <v>0</v>
      </c>
    </row>
    <row r="72" spans="3:10" ht="27" thickBot="1">
      <c r="C72" s="70" t="s">
        <v>58</v>
      </c>
      <c r="D72" s="101" t="s">
        <v>10</v>
      </c>
      <c r="E72" s="147">
        <f>VLOOKUP(D72,$O$4:$S$16,2,FALSE)</f>
        <v>0.3</v>
      </c>
      <c r="F72" s="103">
        <f>(((F70/365)*F69*E72*E69)*1000)-(F71*E71*E70)</f>
        <v>29.963835616438356</v>
      </c>
      <c r="G72" s="112"/>
      <c r="H72" s="138">
        <f>F72*1000</f>
        <v>29963.835616438355</v>
      </c>
      <c r="J72" s="112"/>
    </row>
    <row r="73" spans="3:10">
      <c r="C73" s="69" t="s">
        <v>59</v>
      </c>
    </row>
    <row r="74" spans="3:10" ht="15" thickBot="1">
      <c r="C74" s="71"/>
      <c r="D74" s="78"/>
      <c r="E74" s="73"/>
      <c r="F74" s="108"/>
      <c r="G74" s="87"/>
    </row>
    <row r="75" spans="3:10">
      <c r="D75" s="73"/>
      <c r="E75" s="73"/>
      <c r="F75" s="108"/>
      <c r="G75" s="85"/>
    </row>
    <row r="76" spans="3:10">
      <c r="D76" s="91"/>
      <c r="E76" s="73"/>
      <c r="F76" s="108"/>
      <c r="G76" s="85"/>
    </row>
    <row r="77" spans="3:10" ht="15" thickBot="1">
      <c r="D77" s="78"/>
      <c r="E77" s="78"/>
      <c r="F77" s="78"/>
      <c r="G77" s="78"/>
      <c r="H77" s="78"/>
    </row>
    <row r="78" spans="3:10">
      <c r="C78" s="158" t="s">
        <v>60</v>
      </c>
      <c r="F78" s="108"/>
      <c r="G78" s="88"/>
    </row>
    <row r="79" spans="3:10" ht="15" thickBot="1">
      <c r="C79" s="159"/>
      <c r="D79" s="78"/>
      <c r="E79" s="73"/>
      <c r="F79" s="108"/>
      <c r="G79" s="88"/>
    </row>
    <row r="80" spans="3:10">
      <c r="D80" s="73"/>
      <c r="E80" s="73"/>
      <c r="F80" s="108"/>
      <c r="G80" s="88"/>
    </row>
    <row r="82" spans="3:10" ht="15" thickBot="1">
      <c r="C82" s="72" t="s">
        <v>139</v>
      </c>
    </row>
    <row r="83" spans="3:10" ht="15" thickBot="1">
      <c r="C83" s="95" t="s">
        <v>37</v>
      </c>
      <c r="D83" s="96" t="s">
        <v>38</v>
      </c>
      <c r="E83" s="97"/>
      <c r="F83" s="109"/>
    </row>
    <row r="84" spans="3:10">
      <c r="C84" s="98" t="s">
        <v>39</v>
      </c>
      <c r="D84" s="113" t="s">
        <v>40</v>
      </c>
      <c r="E84" s="90"/>
      <c r="F84" s="110"/>
    </row>
    <row r="85" spans="3:10">
      <c r="C85" s="69"/>
      <c r="D85" s="152"/>
      <c r="E85" s="153"/>
      <c r="F85" s="154"/>
    </row>
    <row r="86" spans="3:10" ht="15" thickBot="1">
      <c r="C86" s="69" t="s">
        <v>42</v>
      </c>
      <c r="D86" s="114" t="s">
        <v>11</v>
      </c>
      <c r="E86" s="143">
        <f>IF(D86=$K$4,(VLOOKUP(D88,$C$5:$F$17,2,FALSE)),(VLOOKUP(D88,$C$5:$F$17,4,FALSE)))</f>
        <v>0.25</v>
      </c>
      <c r="F86" s="111">
        <v>0</v>
      </c>
    </row>
    <row r="87" spans="3:10">
      <c r="C87" s="70" t="s">
        <v>43</v>
      </c>
      <c r="D87" s="115" t="s">
        <v>44</v>
      </c>
      <c r="E87" s="82"/>
      <c r="F87" s="111">
        <v>0</v>
      </c>
      <c r="H87" s="148" t="s">
        <v>45</v>
      </c>
      <c r="I87" s="149"/>
      <c r="J87" s="93" t="s">
        <v>46</v>
      </c>
    </row>
    <row r="88" spans="3:10" ht="15" thickBot="1">
      <c r="C88" s="69" t="s">
        <v>47</v>
      </c>
      <c r="D88" s="116" t="s">
        <v>26</v>
      </c>
      <c r="E88" s="144">
        <f>VLOOKUP(D88,$C$4:$F$17,3,FALSE)</f>
        <v>0.55000000000000004</v>
      </c>
      <c r="F88" s="104">
        <f>(F86-F87)*E88*E86</f>
        <v>0</v>
      </c>
      <c r="H88" s="150"/>
      <c r="I88" s="151"/>
      <c r="J88" s="94" t="s">
        <v>48</v>
      </c>
    </row>
    <row r="89" spans="3:10" ht="27" thickBot="1">
      <c r="C89" s="70" t="s">
        <v>49</v>
      </c>
    </row>
    <row r="90" spans="3:10" ht="15" thickBot="1">
      <c r="C90" s="69" t="s">
        <v>50</v>
      </c>
      <c r="D90" s="97" t="s">
        <v>51</v>
      </c>
      <c r="E90" s="97"/>
      <c r="F90" s="109"/>
    </row>
    <row r="91" spans="3:10">
      <c r="C91" s="69" t="s">
        <v>52</v>
      </c>
      <c r="D91" s="90" t="s">
        <v>53</v>
      </c>
      <c r="E91" s="90"/>
      <c r="F91" s="110"/>
    </row>
    <row r="92" spans="3:10">
      <c r="C92" s="69" t="s">
        <v>54</v>
      </c>
      <c r="D92" s="100" t="s">
        <v>17</v>
      </c>
      <c r="E92" s="145">
        <f>IF(D92=$K$7,(VLOOKUP(D95,$O$4:$S$16,3,FALSE)),IF(D92=$K$8,(VLOOKUP(D95,$O$4:S$16,4,FALSE)),(VLOOKUP(D95,$O$4:S$16,5,FALSE))))</f>
        <v>3.1</v>
      </c>
      <c r="F92" s="111">
        <v>0.58099999999999996</v>
      </c>
    </row>
    <row r="93" spans="3:10">
      <c r="C93" s="69" t="s">
        <v>55</v>
      </c>
      <c r="D93" s="102" t="s">
        <v>56</v>
      </c>
      <c r="E93" s="146">
        <f>(VLOOKUP(D95,$C$5:$F$16,3,FALSE))</f>
        <v>0.3</v>
      </c>
      <c r="F93" s="111">
        <v>24</v>
      </c>
      <c r="H93" s="72">
        <f>354.87*1000</f>
        <v>354870</v>
      </c>
      <c r="J93" s="72">
        <f>H93/1000</f>
        <v>354.87</v>
      </c>
    </row>
    <row r="94" spans="3:10">
      <c r="C94" s="69" t="s">
        <v>57</v>
      </c>
      <c r="D94" s="99" t="s">
        <v>44</v>
      </c>
      <c r="E94" s="146">
        <f>(VLOOKUP(D95,$C$5:$F$16,4,FALSE))</f>
        <v>0.2</v>
      </c>
      <c r="F94" s="111">
        <v>0</v>
      </c>
    </row>
    <row r="95" spans="3:10" ht="27" thickBot="1">
      <c r="C95" s="70" t="s">
        <v>58</v>
      </c>
      <c r="D95" s="101" t="s">
        <v>10</v>
      </c>
      <c r="E95" s="147">
        <f>VLOOKUP(D95,$O$4:$S$16,2,FALSE)</f>
        <v>0.3</v>
      </c>
      <c r="F95" s="103">
        <f>(((F93/365)*F92*E95*E92)*1000)-(F94*E94*E93)</f>
        <v>35.528547945205467</v>
      </c>
      <c r="G95" s="112"/>
      <c r="H95" s="138">
        <f>F95*1000</f>
        <v>35528.547945205464</v>
      </c>
      <c r="J95" s="112"/>
    </row>
    <row r="96" spans="3:10">
      <c r="C96" s="69" t="s">
        <v>59</v>
      </c>
    </row>
    <row r="97" spans="3:10" ht="15" thickBot="1">
      <c r="C97" s="71"/>
      <c r="D97" s="78"/>
      <c r="E97" s="73"/>
      <c r="F97" s="108"/>
      <c r="G97" s="87"/>
    </row>
    <row r="98" spans="3:10">
      <c r="D98" s="73"/>
      <c r="E98" s="73"/>
      <c r="F98" s="108"/>
      <c r="G98" s="85"/>
    </row>
    <row r="99" spans="3:10">
      <c r="D99" s="91"/>
      <c r="E99" s="73"/>
      <c r="F99" s="108"/>
      <c r="G99" s="85"/>
    </row>
    <row r="100" spans="3:10" ht="15" thickBot="1">
      <c r="D100" s="78"/>
      <c r="E100" s="78"/>
      <c r="F100" s="78"/>
      <c r="G100" s="78"/>
      <c r="H100" s="78"/>
    </row>
    <row r="101" spans="3:10">
      <c r="C101" s="158" t="s">
        <v>60</v>
      </c>
      <c r="F101" s="108"/>
      <c r="G101" s="88"/>
    </row>
    <row r="102" spans="3:10" ht="15" thickBot="1">
      <c r="C102" s="159"/>
      <c r="D102" s="78"/>
      <c r="E102" s="73"/>
      <c r="F102" s="108"/>
      <c r="G102" s="88"/>
    </row>
    <row r="107" spans="3:10" ht="15" thickBot="1">
      <c r="C107" s="72" t="s">
        <v>140</v>
      </c>
    </row>
    <row r="108" spans="3:10" ht="15" thickBot="1">
      <c r="C108" s="95" t="s">
        <v>37</v>
      </c>
      <c r="D108" s="96" t="s">
        <v>38</v>
      </c>
      <c r="E108" s="97"/>
      <c r="F108" s="109"/>
    </row>
    <row r="109" spans="3:10">
      <c r="C109" s="98" t="s">
        <v>39</v>
      </c>
      <c r="D109" s="113" t="s">
        <v>40</v>
      </c>
      <c r="E109" s="90"/>
      <c r="F109" s="110"/>
    </row>
    <row r="110" spans="3:10">
      <c r="C110" s="69"/>
      <c r="D110" s="152"/>
      <c r="E110" s="153"/>
      <c r="F110" s="154"/>
    </row>
    <row r="111" spans="3:10" ht="15" thickBot="1">
      <c r="C111" s="69" t="s">
        <v>42</v>
      </c>
      <c r="D111" s="114" t="s">
        <v>11</v>
      </c>
      <c r="E111" s="143">
        <f>IF(D111=$K$4,(VLOOKUP(D113,$C$5:$F$17,2,FALSE)),(VLOOKUP(D113,$C$5:$F$17,4,FALSE)))</f>
        <v>0.25</v>
      </c>
      <c r="F111" s="111">
        <v>0</v>
      </c>
    </row>
    <row r="112" spans="3:10">
      <c r="C112" s="70" t="s">
        <v>43</v>
      </c>
      <c r="D112" s="115" t="s">
        <v>44</v>
      </c>
      <c r="E112" s="82"/>
      <c r="F112" s="111">
        <v>0</v>
      </c>
      <c r="H112" s="148" t="s">
        <v>45</v>
      </c>
      <c r="I112" s="149"/>
      <c r="J112" s="93" t="s">
        <v>46</v>
      </c>
    </row>
    <row r="113" spans="3:10" ht="15" thickBot="1">
      <c r="C113" s="69" t="s">
        <v>47</v>
      </c>
      <c r="D113" s="116" t="s">
        <v>26</v>
      </c>
      <c r="E113" s="144">
        <f>VLOOKUP(D113,$C$4:$F$17,3,FALSE)</f>
        <v>0.55000000000000004</v>
      </c>
      <c r="F113" s="104">
        <f>(F111-F112)*E113*E111</f>
        <v>0</v>
      </c>
      <c r="H113" s="150"/>
      <c r="I113" s="151"/>
      <c r="J113" s="94" t="s">
        <v>48</v>
      </c>
    </row>
    <row r="114" spans="3:10" ht="27" thickBot="1">
      <c r="C114" s="70" t="s">
        <v>49</v>
      </c>
    </row>
    <row r="115" spans="3:10" ht="15" thickBot="1">
      <c r="C115" s="69" t="s">
        <v>50</v>
      </c>
      <c r="D115" s="97" t="s">
        <v>51</v>
      </c>
      <c r="E115" s="97"/>
      <c r="F115" s="109"/>
    </row>
    <row r="116" spans="3:10">
      <c r="C116" s="69" t="s">
        <v>52</v>
      </c>
      <c r="D116" s="90" t="s">
        <v>53</v>
      </c>
      <c r="E116" s="90"/>
      <c r="F116" s="110"/>
    </row>
    <row r="117" spans="3:10">
      <c r="C117" s="69" t="s">
        <v>54</v>
      </c>
      <c r="D117" s="100" t="s">
        <v>17</v>
      </c>
      <c r="E117" s="145">
        <f>IF(D117=$K$7,(VLOOKUP(D120,$O$4:$S$16,3,FALSE)),IF(D117=$K$8,(VLOOKUP(D120,$O$4:S$16,4,FALSE)),(VLOOKUP(D120,$O$4:S$16,5,FALSE))))</f>
        <v>3.1</v>
      </c>
      <c r="F117" s="111">
        <v>0.29799999999999999</v>
      </c>
    </row>
    <row r="118" spans="3:10">
      <c r="C118" s="69" t="s">
        <v>55</v>
      </c>
      <c r="D118" s="102" t="s">
        <v>56</v>
      </c>
      <c r="E118" s="146">
        <f>(VLOOKUP(D120,$C$5:$F$16,3,FALSE))</f>
        <v>0.3</v>
      </c>
      <c r="F118" s="111">
        <v>30</v>
      </c>
      <c r="H118" s="72">
        <f>354.87*1000</f>
        <v>354870</v>
      </c>
      <c r="J118" s="72">
        <f>H118/1000</f>
        <v>354.87</v>
      </c>
    </row>
    <row r="119" spans="3:10">
      <c r="C119" s="69" t="s">
        <v>57</v>
      </c>
      <c r="D119" s="99" t="s">
        <v>44</v>
      </c>
      <c r="E119" s="146">
        <f>(VLOOKUP(D120,$C$5:$F$16,4,FALSE))</f>
        <v>0.2</v>
      </c>
      <c r="F119" s="111">
        <v>0</v>
      </c>
    </row>
    <row r="120" spans="3:10" ht="27" thickBot="1">
      <c r="C120" s="70" t="s">
        <v>58</v>
      </c>
      <c r="D120" s="101" t="s">
        <v>10</v>
      </c>
      <c r="E120" s="147">
        <f>VLOOKUP(D120,$O$4:$S$16,2,FALSE)</f>
        <v>0.3</v>
      </c>
      <c r="F120" s="103">
        <f>(((F118/365)*F117*E120*E117)*1000)-(F119*E119*E118)</f>
        <v>22.778630136986298</v>
      </c>
      <c r="G120" s="112"/>
      <c r="H120" s="138">
        <f>F120*1000</f>
        <v>22778.630136986296</v>
      </c>
      <c r="J120" s="112"/>
    </row>
    <row r="121" spans="3:10">
      <c r="C121" s="69" t="s">
        <v>59</v>
      </c>
    </row>
    <row r="122" spans="3:10" ht="15" thickBot="1">
      <c r="C122" s="71"/>
      <c r="D122" s="78"/>
      <c r="E122" s="73"/>
      <c r="F122" s="108"/>
      <c r="G122" s="87"/>
    </row>
    <row r="123" spans="3:10">
      <c r="D123" s="73"/>
      <c r="E123" s="73"/>
      <c r="F123" s="108"/>
      <c r="G123" s="85"/>
    </row>
    <row r="124" spans="3:10">
      <c r="D124" s="91"/>
      <c r="E124" s="73"/>
      <c r="F124" s="108"/>
      <c r="G124" s="85"/>
    </row>
    <row r="125" spans="3:10" ht="15" thickBot="1">
      <c r="D125" s="78"/>
      <c r="E125" s="78"/>
      <c r="F125" s="78"/>
      <c r="G125" s="78"/>
      <c r="H125" s="78"/>
    </row>
    <row r="126" spans="3:10">
      <c r="C126" s="158" t="s">
        <v>60</v>
      </c>
      <c r="F126" s="108"/>
      <c r="G126" s="88"/>
    </row>
    <row r="127" spans="3:10" ht="15" thickBot="1">
      <c r="C127" s="159"/>
      <c r="D127" s="78"/>
      <c r="E127" s="73"/>
      <c r="F127" s="108"/>
      <c r="G127" s="88"/>
    </row>
    <row r="131" spans="3:10" ht="15" thickBot="1">
      <c r="C131" s="72" t="s">
        <v>141</v>
      </c>
    </row>
    <row r="132" spans="3:10" ht="15" thickBot="1">
      <c r="C132" s="95" t="s">
        <v>37</v>
      </c>
      <c r="D132" s="96" t="s">
        <v>38</v>
      </c>
      <c r="E132" s="97"/>
      <c r="F132" s="109"/>
    </row>
    <row r="133" spans="3:10">
      <c r="C133" s="98" t="s">
        <v>39</v>
      </c>
      <c r="D133" s="113" t="s">
        <v>40</v>
      </c>
      <c r="E133" s="90"/>
      <c r="F133" s="110"/>
    </row>
    <row r="134" spans="3:10">
      <c r="C134" s="69"/>
      <c r="D134" s="152"/>
      <c r="E134" s="153"/>
      <c r="F134" s="154"/>
    </row>
    <row r="135" spans="3:10" ht="15" thickBot="1">
      <c r="C135" s="69" t="s">
        <v>42</v>
      </c>
      <c r="D135" s="114" t="s">
        <v>11</v>
      </c>
      <c r="E135" s="143">
        <f>IF(D135=$K$4,(VLOOKUP(D137,$C$5:$F$17,2,FALSE)),(VLOOKUP(D137,$C$5:$F$17,4,FALSE)))</f>
        <v>0.25</v>
      </c>
      <c r="F135" s="111">
        <v>0</v>
      </c>
    </row>
    <row r="136" spans="3:10">
      <c r="C136" s="70" t="s">
        <v>43</v>
      </c>
      <c r="D136" s="115" t="s">
        <v>44</v>
      </c>
      <c r="E136" s="82"/>
      <c r="F136" s="111">
        <v>0</v>
      </c>
      <c r="H136" s="148" t="s">
        <v>45</v>
      </c>
      <c r="I136" s="149"/>
      <c r="J136" s="93" t="s">
        <v>46</v>
      </c>
    </row>
    <row r="137" spans="3:10" ht="15" thickBot="1">
      <c r="C137" s="69" t="s">
        <v>47</v>
      </c>
      <c r="D137" s="116" t="s">
        <v>26</v>
      </c>
      <c r="E137" s="144">
        <f>VLOOKUP(D137,$C$4:$F$17,3,FALSE)</f>
        <v>0.55000000000000004</v>
      </c>
      <c r="F137" s="104">
        <f>(F135-F136)*E137*E135</f>
        <v>0</v>
      </c>
      <c r="H137" s="150"/>
      <c r="I137" s="151"/>
      <c r="J137" s="94" t="s">
        <v>48</v>
      </c>
    </row>
    <row r="138" spans="3:10" ht="27" thickBot="1">
      <c r="C138" s="70" t="s">
        <v>49</v>
      </c>
    </row>
    <row r="139" spans="3:10" ht="15" thickBot="1">
      <c r="C139" s="69" t="s">
        <v>50</v>
      </c>
      <c r="D139" s="97" t="s">
        <v>51</v>
      </c>
      <c r="E139" s="97"/>
      <c r="F139" s="109"/>
    </row>
    <row r="140" spans="3:10">
      <c r="C140" s="69" t="s">
        <v>52</v>
      </c>
      <c r="D140" s="90" t="s">
        <v>53</v>
      </c>
      <c r="E140" s="90"/>
      <c r="F140" s="110"/>
    </row>
    <row r="141" spans="3:10">
      <c r="C141" s="69" t="s">
        <v>54</v>
      </c>
      <c r="D141" s="100" t="s">
        <v>17</v>
      </c>
      <c r="E141" s="145">
        <f>IF(D141=$K$7,(VLOOKUP(D144,$O$4:$S$16,3,FALSE)),IF(D141=$K$8,(VLOOKUP(D144,$O$4:S$16,4,FALSE)),(VLOOKUP(D144,$O$4:S$16,5,FALSE))))</f>
        <v>3.1</v>
      </c>
      <c r="F141" s="111">
        <v>1.2889999999999999</v>
      </c>
    </row>
    <row r="142" spans="3:10">
      <c r="C142" s="69" t="s">
        <v>55</v>
      </c>
      <c r="D142" s="102" t="s">
        <v>56</v>
      </c>
      <c r="E142" s="146">
        <f>(VLOOKUP(D144,$C$5:$F$16,3,FALSE))</f>
        <v>0.3</v>
      </c>
      <c r="F142" s="111">
        <v>30</v>
      </c>
      <c r="H142" s="72">
        <f>354.87*1000</f>
        <v>354870</v>
      </c>
      <c r="J142" s="72">
        <f>H142/1000</f>
        <v>354.87</v>
      </c>
    </row>
    <row r="143" spans="3:10">
      <c r="C143" s="69" t="s">
        <v>57</v>
      </c>
      <c r="D143" s="99" t="s">
        <v>44</v>
      </c>
      <c r="E143" s="146">
        <f>(VLOOKUP(D144,$C$5:$F$16,4,FALSE))</f>
        <v>0.2</v>
      </c>
      <c r="F143" s="111">
        <v>0</v>
      </c>
    </row>
    <row r="144" spans="3:10" ht="27" thickBot="1">
      <c r="C144" s="70" t="s">
        <v>58</v>
      </c>
      <c r="D144" s="101" t="s">
        <v>10</v>
      </c>
      <c r="E144" s="147">
        <f>VLOOKUP(D144,$O$4:$S$16,2,FALSE)</f>
        <v>0.3</v>
      </c>
      <c r="F144" s="103">
        <f>(((F142/365)*F141*E144*E141)*1000)-(F143*E143*E142)</f>
        <v>98.529041095890406</v>
      </c>
      <c r="G144" s="112"/>
      <c r="H144" s="138">
        <f>F144*1000</f>
        <v>98529.04109589041</v>
      </c>
      <c r="J144" s="112"/>
    </row>
    <row r="145" spans="3:8">
      <c r="C145" s="69" t="s">
        <v>59</v>
      </c>
    </row>
    <row r="146" spans="3:8" ht="15" thickBot="1">
      <c r="C146" s="71"/>
      <c r="D146" s="78"/>
      <c r="E146" s="73"/>
      <c r="F146" s="108"/>
      <c r="G146" s="87"/>
    </row>
    <row r="147" spans="3:8">
      <c r="D147" s="73"/>
      <c r="E147" s="73"/>
      <c r="F147" s="108"/>
      <c r="G147" s="85"/>
    </row>
    <row r="148" spans="3:8">
      <c r="D148" s="91"/>
      <c r="E148" s="73"/>
      <c r="F148" s="108"/>
      <c r="G148" s="85"/>
    </row>
    <row r="149" spans="3:8" ht="15" thickBot="1">
      <c r="D149" s="78"/>
      <c r="E149" s="78"/>
      <c r="F149" s="78"/>
      <c r="G149" s="78"/>
      <c r="H149" s="78"/>
    </row>
    <row r="150" spans="3:8">
      <c r="C150" s="158" t="s">
        <v>60</v>
      </c>
      <c r="F150" s="108"/>
      <c r="G150" s="88"/>
    </row>
    <row r="151" spans="3:8" ht="15" thickBot="1">
      <c r="C151" s="159"/>
      <c r="D151" s="78"/>
      <c r="E151" s="73"/>
      <c r="F151" s="108"/>
      <c r="G151" s="88"/>
    </row>
    <row r="153" spans="3:8">
      <c r="F153" s="105">
        <f>H144+H120+H95+H72+H31</f>
        <v>195468.16438356161</v>
      </c>
    </row>
    <row r="154" spans="3:8">
      <c r="D154" s="72" t="s">
        <v>142</v>
      </c>
      <c r="F154" s="105">
        <v>77738.710000000006</v>
      </c>
    </row>
    <row r="155" spans="3:8">
      <c r="F155" s="105">
        <f>F154+F153</f>
        <v>273206.8743835616</v>
      </c>
    </row>
    <row r="157" spans="3:8">
      <c r="F157" s="105">
        <f>H1458</f>
        <v>0</v>
      </c>
    </row>
  </sheetData>
  <sheetProtection selectLockedCells="1"/>
  <mergeCells count="17">
    <mergeCell ref="H136:I137"/>
    <mergeCell ref="C150:C151"/>
    <mergeCell ref="C101:C102"/>
    <mergeCell ref="D110:F110"/>
    <mergeCell ref="H112:I113"/>
    <mergeCell ref="C126:C127"/>
    <mergeCell ref="D134:F134"/>
    <mergeCell ref="D62:F62"/>
    <mergeCell ref="H64:I65"/>
    <mergeCell ref="C78:C79"/>
    <mergeCell ref="D85:F85"/>
    <mergeCell ref="H87:I88"/>
    <mergeCell ref="H23:I24"/>
    <mergeCell ref="D21:F21"/>
    <mergeCell ref="C2:F2"/>
    <mergeCell ref="C37:C38"/>
    <mergeCell ref="C43:F43"/>
  </mergeCells>
  <phoneticPr fontId="9" type="noConversion"/>
  <dataValidations count="4">
    <dataValidation type="list" allowBlank="1" showInputMessage="1" showErrorMessage="1" sqref="D22 D63 D86 D111 D135" xr:uid="{FC255735-9DFB-4DE5-A268-500C8E3195F1}">
      <formula1>$K$4:$K$5</formula1>
    </dataValidation>
    <dataValidation type="list" allowBlank="1" showInputMessage="1" showErrorMessage="1" sqref="D31 D41 D36:H36 D72 D77:H77 D95 D100:H100 D120 D125:H125 D144 D149:H149" xr:uid="{063E312A-4BBC-43D0-A5B6-EC5751534FD6}">
      <formula1>$C$5:$C$16</formula1>
    </dataValidation>
    <dataValidation type="list" allowBlank="1" showInputMessage="1" showErrorMessage="1" sqref="D28 D69 D92 D117 D141" xr:uid="{497927B4-E0A0-447A-A352-6B47B48535F1}">
      <formula1>$K$7:$K$9</formula1>
    </dataValidation>
    <dataValidation type="list" allowBlank="1" showInputMessage="1" showErrorMessage="1" sqref="D24 D65 D88 D113 D137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2024-05-02T13:26:32Z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