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EF10B486-CFCF-4726-A506-612608BCEB3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" i="5" l="1"/>
  <c r="H114" i="5" s="1"/>
  <c r="E106" i="5"/>
  <c r="F106" i="5" s="1"/>
  <c r="J106" i="5" s="1"/>
  <c r="E105" i="5"/>
  <c r="E104" i="5"/>
  <c r="E103" i="5"/>
  <c r="E99" i="5"/>
  <c r="F99" i="5" s="1"/>
  <c r="E97" i="5"/>
  <c r="F89" i="5"/>
  <c r="H89" i="5" s="1"/>
  <c r="E81" i="5"/>
  <c r="F81" i="5" s="1"/>
  <c r="J81" i="5" s="1"/>
  <c r="E80" i="5"/>
  <c r="E79" i="5"/>
  <c r="E78" i="5"/>
  <c r="E74" i="5"/>
  <c r="F74" i="5" s="1"/>
  <c r="E72" i="5"/>
  <c r="F64" i="5"/>
  <c r="H64" i="5" s="1"/>
  <c r="E56" i="5"/>
  <c r="F56" i="5" s="1"/>
  <c r="J56" i="5" s="1"/>
  <c r="E55" i="5"/>
  <c r="E54" i="5"/>
  <c r="E53" i="5"/>
  <c r="E49" i="5"/>
  <c r="F49" i="5" s="1"/>
  <c r="E47" i="5"/>
  <c r="J31" i="5"/>
  <c r="F38" i="4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F39" i="5"/>
  <c r="H39" i="5" s="1"/>
  <c r="S31" i="5"/>
  <c r="T31" i="5" s="1"/>
  <c r="E31" i="5"/>
  <c r="F31" i="5" s="1"/>
  <c r="E30" i="5"/>
  <c r="E29" i="5"/>
  <c r="E28" i="5"/>
  <c r="T27" i="5"/>
  <c r="E24" i="5"/>
  <c r="F24" i="5" s="1"/>
  <c r="T23" i="5"/>
  <c r="N23" i="5"/>
  <c r="T22" i="5"/>
  <c r="E22" i="5"/>
  <c r="K80" i="5" l="1"/>
  <c r="K78" i="5" s="1"/>
  <c r="K55" i="5"/>
  <c r="K53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47" authorId="0" shapeId="0" xr:uid="{C3505A20-72D3-4EAF-A746-F52972636303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49" authorId="0" shapeId="0" xr:uid="{3B43F0B1-FB1C-47F5-9798-7AC948F0F87D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53" authorId="0" shapeId="0" xr:uid="{C4FDBF94-0B0F-4EAA-AFA7-07678664DEDC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54" authorId="0" shapeId="0" xr:uid="{63857AC9-9CE5-435F-8330-94FDC4A66402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55" authorId="0" shapeId="0" xr:uid="{901F7F62-E881-4122-BDAE-BC538FF8563A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56" authorId="0" shapeId="0" xr:uid="{86A453FA-7466-4008-816C-BA0A1DA8186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72" authorId="0" shapeId="0" xr:uid="{CDFDF9A1-D6C6-426C-A552-031286886AE7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74" authorId="0" shapeId="0" xr:uid="{A310BEAE-4C49-4354-932F-00FB61EC6CD7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78" authorId="0" shapeId="0" xr:uid="{B01D181E-4E85-4065-BC5E-C1FD3584EA54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79" authorId="0" shapeId="0" xr:uid="{DA271DE7-22DC-443F-A2BF-E6B4CD84EA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80" authorId="0" shapeId="0" xr:uid="{0C62EF5B-0FBA-44E5-BC66-02FDD33F4D7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81" authorId="0" shapeId="0" xr:uid="{80526FAA-7000-410C-8186-C8B87DDCEC8E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97" authorId="0" shapeId="0" xr:uid="{68DEB52C-932C-4294-B6C2-24CCEF44D189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99" authorId="0" shapeId="0" xr:uid="{B10B6AD8-ADD4-4B9C-940F-3F59B390CB61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103" authorId="0" shapeId="0" xr:uid="{FB128527-8709-433B-BB6C-FCF85280A898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104" authorId="0" shapeId="0" xr:uid="{F3CA707D-F0E0-4972-90B1-87A6A639D25B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105" authorId="0" shapeId="0" xr:uid="{ACE4EB5E-EDF4-4815-8D83-55A6007BC27E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106" authorId="0" shapeId="0" xr:uid="{18EEB0DA-1230-4F4F-BCBA-57759876DCBC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<sst xmlns="http://schemas.openxmlformats.org/spreadsheetml/2006/main" count="393" uniqueCount="140">
  <si>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</si>
  <si>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</si>
  <si>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</si>
  <si>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</si>
  <si>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</si>
  <si>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</si>
  <si>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</si>
  <si>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</si>
  <si>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</si>
  <si>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</si>
  <si>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</si>
  <si>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</si>
  <si>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</si>
  <si>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</si>
  <si>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</si>
  <si>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</si>
  <si>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</si>
  <si>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</si>
  <si>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</si>
  <si>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</si>
  <si>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</si>
  <si>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</si>
  <si>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</si>
  <si>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</si>
  <si>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</si>
  <si>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</si>
  <si>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</si>
  <si>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</si>
  <si>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</si>
  <si>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</si>
  <si>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</si>
  <si>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</si>
  <si>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</si>
  <si>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</si>
  <si>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</si>
  <si>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</si>
  <si>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</si>
  <si>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</si>
  <si>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</si>
  <si>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</si>
  <si>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</si>
  <si>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</si>
  <si>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</si>
  <si>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</si>
  <si>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</si>
  <si>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</si>
  <si>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</si>
  <si>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</si>
  <si>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</si>
  <si>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</si>
  <si>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</si>
  <si>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</si>
  <si>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</si>
  <si>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</si>
  <si>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</si>
  <si>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</si>
  <si>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</si>
  <si>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</si>
  <si>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</si>
  <si>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</si>
  <si>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</si>
  <si>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</si>
  <si>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</si>
  <si>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</si>
  <si>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</si>
  <si>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</si>
  <si>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</si>
  <si>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</si>
  <si>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</si>
  <si>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</si>
  <si>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</si>
  <si>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</si>
  <si>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</si>
  <si>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</si>
  <si>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</si>
  <si>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</si>
  <si>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</si>
  <si>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</si>
  <si>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</si>
  <si>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</si>
  <si>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</si>
  <si>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</si>
  <si>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</si>
  <si>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</si>
  <si>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</si>
  <si>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</si>
  <si>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</si>
  <si>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</si>
  <si>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</si>
  <si>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</si>
  <si>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</si>
  <si>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</si>
  <si>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</si>
  <si>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</si>
  <si>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</si>
  <si>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</si>
  <si>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</si>
  <si>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</si>
  <si>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</si>
  <si>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</si>
  <si>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</si>
  <si>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</si>
  <si>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</si>
  <si>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</si>
  <si>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</si>
  <si>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</si>
  <si>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</si>
  <si>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</si>
  <si>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</si>
  <si>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</si>
  <si>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</si>
  <si>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</si>
  <si>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</si>
  <si>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</si>
  <si>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</si>
  <si>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</si>
  <si>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</si>
  <si>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</si>
  <si>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</si>
  <si>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</si>
  <si>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</si>
  <si>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</si>
  <si>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</si>
  <si>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</si>
  <si>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</si>
  <si>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</si>
  <si>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</si>
  <si>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</si>
  <si>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</si>
  <si>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</si>
  <si>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</si>
  <si>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</si>
  <si>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</si>
  <si>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</si>
  <si>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</si>
  <si>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</si>
  <si>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Apply pumpline sample SG on lab result in calcutalting daily Production to gain Circa 0.5Kbopd Jan 2024.</t>
  </si>
  <si>
    <t>Apply pumpline sample SG on lab result in calcutalting daily Production to gain Circa 0.5Kbopd Feb 2024.</t>
  </si>
  <si>
    <t>Apply pumpline sample SG on lab result in calcutalting daily Production to gain Circa 0.5Kbopd March 2024.</t>
  </si>
  <si>
    <t>Apply pumpline sample SG on lab result in calcutalting daily Production to gain Circa 0.5Kbopd April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</si>
</sst>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4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5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"/>
  <sheetViews>
    <sheetView tabSelected="1" topLeftCell="A18" zoomScale="85" zoomScaleNormal="85" workbookViewId="0">
      <selection activeCell="J104" sqref="J104"/>
    </sheetView>
  </sheetViews>
  <sheetFormatPr defaultColWidth="9.1796875" defaultRowHeight="14.5"/>
  <cols>
    <col min="1" max="1" width="8.7265625" style="62"/>
    <col min="2" max="2" width="14.26953125" style="62" customWidth="1"/>
    <col min="3" max="3" width="68.7265625" style="62" customWidth="1"/>
    <col min="4" max="4" width="28.26953125" style="62" customWidth="1"/>
    <col min="5" max="5" width="10.54296875" style="62" customWidth="1"/>
    <col min="6" max="6" width="28.54296875" style="63" customWidth="1"/>
    <col min="7" max="7" width="4.26953125" style="62" customWidth="1"/>
    <col min="8" max="9" width="4.7265625" style="62" customWidth="1"/>
    <col min="10" max="10" width="18.54296875" style="62" customWidth="1"/>
    <col min="11" max="11" width="15.453125" style="62" customWidth="1"/>
    <col min="12" max="12" width="8.7265625" style="62"/>
    <col min="13" max="14" width="13.26953125" style="62" customWidth="1"/>
    <col min="15" max="15" width="31.54296875" style="62" customWidth="1"/>
    <col min="16" max="16" width="8.7265625" customWidth="1"/>
    <col min="18" max="18" width="13.26953125" customWidth="1"/>
    <col min="19" max="20" width="14.26953125" customWidth="1"/>
  </cols>
  <sheetData>
    <row r="1" spans="2:20" hidden="1"/>
    <row r="2" spans="2:20" ht="25.5" hidden="1">
      <c r="C2" s="162" t="s">
        <v>0</v>
      </c>
      <c r="D2" s="163"/>
      <c r="E2" s="163"/>
      <c r="F2" s="164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29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 ht="15" thickBot="1">
      <c r="B18" s="69"/>
      <c r="C18" s="92" t="s">
        <v>136</v>
      </c>
      <c r="D18" s="69"/>
      <c r="E18" s="93"/>
      <c r="F18" s="94"/>
      <c r="G18" s="74"/>
      <c r="I18" s="69"/>
      <c r="O18" s="92"/>
      <c r="P18" s="36"/>
      <c r="Q18" s="144"/>
      <c r="S18" s="4"/>
    </row>
    <row r="19" spans="2:20" ht="15.5" thickBot="1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3"/>
      <c r="E21" s="154"/>
      <c r="F21" s="155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>
        <v>0</v>
      </c>
      <c r="R22">
        <v>0.25</v>
      </c>
      <c r="S22" s="127">
        <v>0.8</v>
      </c>
      <c r="T22" s="145">
        <f>S22*R22</f>
        <v>0.2</v>
      </c>
    </row>
    <row r="23" spans="2:20" ht="27">
      <c r="C23" s="107" t="s">
        <v>42</v>
      </c>
      <c r="D23" s="108" t="s">
        <v>43</v>
      </c>
      <c r="E23" s="71"/>
      <c r="F23" s="106">
        <v>0</v>
      </c>
      <c r="H23" s="156" t="s">
        <v>44</v>
      </c>
      <c r="I23" s="157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58"/>
      <c r="I24" s="159"/>
      <c r="J24" s="129" t="s">
        <v>47</v>
      </c>
    </row>
    <row r="25" spans="2:20" ht="27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0.5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31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40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39.493150684931507</v>
      </c>
      <c r="G31" s="117"/>
      <c r="J31" s="117">
        <f>F31*1000</f>
        <v>39493.150684931505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10" ht="8.65" customHeight="1">
      <c r="C33" s="118"/>
      <c r="D33" s="92"/>
      <c r="E33" s="69"/>
      <c r="F33" s="94"/>
      <c r="G33" s="119"/>
    </row>
    <row r="34" spans="3:10" ht="7.5" customHeight="1">
      <c r="D34" s="69"/>
      <c r="E34" s="69"/>
      <c r="F34" s="94"/>
      <c r="G34" s="93"/>
    </row>
    <row r="35" spans="3:10" ht="10.9" customHeight="1">
      <c r="D35" s="120"/>
      <c r="E35" s="69"/>
      <c r="F35" s="94"/>
      <c r="G35" s="93"/>
    </row>
    <row r="36" spans="3:10" ht="8.65" customHeight="1">
      <c r="D36" s="92"/>
      <c r="E36" s="69"/>
      <c r="F36" s="94"/>
      <c r="G36" s="121"/>
    </row>
    <row r="37" spans="3:10" ht="12.65" customHeight="1">
      <c r="C37" s="160" t="s">
        <v>59</v>
      </c>
      <c r="F37" s="122"/>
    </row>
    <row r="38" spans="3:10">
      <c r="C38" s="161"/>
      <c r="D38" s="92"/>
      <c r="E38" s="69"/>
      <c r="F38" s="94"/>
      <c r="G38" s="119"/>
    </row>
    <row r="39" spans="3:10">
      <c r="D39" s="69"/>
      <c r="E39" s="69"/>
      <c r="F39" s="94">
        <f>317+334+231</f>
        <v>882</v>
      </c>
      <c r="G39" s="93"/>
      <c r="H39" s="62">
        <f>F39/F29</f>
        <v>28.451612903225808</v>
      </c>
    </row>
    <row r="40" spans="3:10">
      <c r="D40" s="120"/>
      <c r="E40" s="69"/>
      <c r="F40" s="94"/>
      <c r="G40" s="93"/>
    </row>
    <row r="41" spans="3:10">
      <c r="D41" s="92"/>
      <c r="E41" s="69"/>
      <c r="F41" s="94"/>
      <c r="G41" s="121"/>
    </row>
    <row r="42" spans="3:10">
      <c r="F42" s="122"/>
    </row>
    <row r="43" spans="3:10" ht="15" thickBot="1">
      <c r="C43" s="92" t="s">
        <v>137</v>
      </c>
      <c r="D43" s="69"/>
      <c r="E43" s="93"/>
      <c r="F43" s="94"/>
      <c r="G43" s="74"/>
      <c r="I43" s="69"/>
    </row>
    <row r="44" spans="3:10" ht="15.5" thickBot="1">
      <c r="C44" s="95" t="s">
        <v>37</v>
      </c>
      <c r="D44" s="96" t="s">
        <v>38</v>
      </c>
      <c r="E44" s="97"/>
      <c r="F44" s="98"/>
    </row>
    <row r="45" spans="3:10">
      <c r="C45" s="99" t="s">
        <v>39</v>
      </c>
      <c r="D45" s="100" t="s">
        <v>40</v>
      </c>
      <c r="E45" s="101"/>
      <c r="F45" s="102"/>
    </row>
    <row r="46" spans="3:10">
      <c r="C46" s="103"/>
      <c r="D46" s="153"/>
      <c r="E46" s="154"/>
      <c r="F46" s="155"/>
    </row>
    <row r="47" spans="3:10" ht="15" thickBot="1">
      <c r="C47" s="103" t="s">
        <v>41</v>
      </c>
      <c r="D47" s="104" t="s">
        <v>11</v>
      </c>
      <c r="E47" s="105">
        <f>IF(D47=$K$4,(VLOOKUP(D49,$C$5:$F$17,2,FALSE)),(VLOOKUP(D49,$C$5:$F$17,4,FALSE)))</f>
        <v>0.2</v>
      </c>
      <c r="F47" s="106">
        <v>0</v>
      </c>
    </row>
    <row r="48" spans="3:10" ht="27">
      <c r="C48" s="107" t="s">
        <v>42</v>
      </c>
      <c r="D48" s="108" t="s">
        <v>43</v>
      </c>
      <c r="E48" s="71"/>
      <c r="F48" s="106">
        <v>0</v>
      </c>
      <c r="H48" s="156" t="s">
        <v>44</v>
      </c>
      <c r="I48" s="157"/>
      <c r="J48" s="126" t="s">
        <v>45</v>
      </c>
    </row>
    <row r="49" spans="3:11" ht="15" thickBot="1">
      <c r="C49" s="103" t="s">
        <v>46</v>
      </c>
      <c r="D49" s="109" t="s">
        <v>10</v>
      </c>
      <c r="E49" s="110">
        <f>VLOOKUP(D49,$C$4:$F$17,3,FALSE)</f>
        <v>0.3</v>
      </c>
      <c r="F49" s="111">
        <f>(F47-F48)*E49*E47</f>
        <v>0</v>
      </c>
      <c r="H49" s="158"/>
      <c r="I49" s="159"/>
      <c r="J49" s="129" t="s">
        <v>47</v>
      </c>
    </row>
    <row r="50" spans="3:11" ht="27.5" thickBot="1">
      <c r="C50" s="107" t="s">
        <v>48</v>
      </c>
    </row>
    <row r="51" spans="3:11" ht="15" thickBot="1">
      <c r="C51" s="103" t="s">
        <v>49</v>
      </c>
      <c r="D51" s="97" t="s">
        <v>50</v>
      </c>
      <c r="E51" s="97"/>
      <c r="F51" s="98"/>
    </row>
    <row r="52" spans="3:11">
      <c r="C52" s="103" t="s">
        <v>51</v>
      </c>
      <c r="D52" s="101" t="s">
        <v>52</v>
      </c>
      <c r="E52" s="101"/>
      <c r="F52" s="102"/>
    </row>
    <row r="53" spans="3:11">
      <c r="C53" s="103" t="s">
        <v>53</v>
      </c>
      <c r="D53" s="112" t="s">
        <v>17</v>
      </c>
      <c r="E53" s="71">
        <f>IF(D53=$K$7,(VLOOKUP(D56,$O$4:$S$16,3,FALSE)),IF(D53=$K$8,(VLOOKUP(D56,$O$4:S$16,4,FALSE)),(VLOOKUP(D56,$O$4:S$16,5,FALSE))))</f>
        <v>3.1</v>
      </c>
      <c r="F53" s="106">
        <v>0.5</v>
      </c>
      <c r="K53" s="128">
        <f>F47*K55</f>
        <v>0</v>
      </c>
    </row>
    <row r="54" spans="3:11">
      <c r="C54" s="103" t="s">
        <v>54</v>
      </c>
      <c r="D54" s="113" t="s">
        <v>55</v>
      </c>
      <c r="E54" s="105">
        <f>(VLOOKUP(D56,$C$5:$F$16,3,FALSE))</f>
        <v>0.3</v>
      </c>
      <c r="F54" s="106">
        <v>29</v>
      </c>
    </row>
    <row r="55" spans="3:11">
      <c r="C55" s="103" t="s">
        <v>56</v>
      </c>
      <c r="D55" s="114" t="s">
        <v>43</v>
      </c>
      <c r="E55" s="105">
        <f>(VLOOKUP(D56,$C$5:$F$16,4,FALSE))</f>
        <v>0.2</v>
      </c>
      <c r="F55" s="106">
        <v>0</v>
      </c>
      <c r="K55" s="130">
        <f>E49*E47</f>
        <v>0.06</v>
      </c>
    </row>
    <row r="56" spans="3:11" ht="40.5" thickBot="1">
      <c r="C56" s="107" t="s">
        <v>57</v>
      </c>
      <c r="D56" s="115" t="s">
        <v>10</v>
      </c>
      <c r="E56" s="110">
        <f>VLOOKUP(D56,$O$4:$S$16,2,FALSE)</f>
        <v>0.3</v>
      </c>
      <c r="F56" s="116">
        <f>(((F54/365)*F53*E56*E53)*1000)-(F55*E55*E54)</f>
        <v>36.945205479452056</v>
      </c>
      <c r="G56" s="117"/>
      <c r="J56" s="117">
        <f>F56*1000</f>
        <v>36945.205479452059</v>
      </c>
    </row>
    <row r="57" spans="3:11">
      <c r="C57" s="103" t="s">
        <v>58</v>
      </c>
    </row>
    <row r="58" spans="3:11" ht="15" thickBot="1">
      <c r="C58" s="118"/>
      <c r="D58" s="92"/>
      <c r="E58" s="69"/>
      <c r="F58" s="94"/>
      <c r="G58" s="119"/>
    </row>
    <row r="59" spans="3:11">
      <c r="D59" s="69"/>
      <c r="E59" s="69"/>
      <c r="F59" s="94"/>
      <c r="G59" s="93"/>
    </row>
    <row r="60" spans="3:11">
      <c r="D60" s="120"/>
      <c r="E60" s="69"/>
      <c r="F60" s="94"/>
      <c r="G60" s="93"/>
    </row>
    <row r="61" spans="3:11" ht="15" thickBot="1">
      <c r="D61" s="92"/>
      <c r="E61" s="69"/>
      <c r="F61" s="94"/>
      <c r="G61" s="121"/>
    </row>
    <row r="62" spans="3:11">
      <c r="C62" s="160" t="s">
        <v>59</v>
      </c>
      <c r="F62" s="122"/>
    </row>
    <row r="63" spans="3:11" ht="15" thickBot="1">
      <c r="C63" s="161"/>
      <c r="D63" s="92"/>
      <c r="E63" s="69"/>
      <c r="F63" s="94"/>
      <c r="G63" s="119"/>
    </row>
    <row r="64" spans="3:11">
      <c r="D64" s="69"/>
      <c r="E64" s="69"/>
      <c r="F64" s="94">
        <f>317+334+231</f>
        <v>882</v>
      </c>
      <c r="G64" s="93"/>
      <c r="H64" s="62">
        <f>F64/F54</f>
        <v>30.413793103448278</v>
      </c>
    </row>
    <row r="68" spans="3:11" ht="15" thickBot="1">
      <c r="C68" s="92" t="s">
        <v>138</v>
      </c>
      <c r="D68" s="69"/>
      <c r="E68" s="93"/>
      <c r="F68" s="94"/>
      <c r="G68" s="74"/>
      <c r="I68" s="69"/>
    </row>
    <row r="69" spans="3:11" ht="15.5" thickBot="1">
      <c r="C69" s="95" t="s">
        <v>37</v>
      </c>
      <c r="D69" s="96" t="s">
        <v>38</v>
      </c>
      <c r="E69" s="97"/>
      <c r="F69" s="98"/>
    </row>
    <row r="70" spans="3:11">
      <c r="C70" s="99" t="s">
        <v>39</v>
      </c>
      <c r="D70" s="100" t="s">
        <v>40</v>
      </c>
      <c r="E70" s="101"/>
      <c r="F70" s="102"/>
    </row>
    <row r="71" spans="3:11">
      <c r="C71" s="103"/>
      <c r="D71" s="153"/>
      <c r="E71" s="154"/>
      <c r="F71" s="155"/>
    </row>
    <row r="72" spans="3:11" ht="15" thickBot="1">
      <c r="C72" s="103" t="s">
        <v>41</v>
      </c>
      <c r="D72" s="104" t="s">
        <v>11</v>
      </c>
      <c r="E72" s="105">
        <f>IF(D72=$K$4,(VLOOKUP(D74,$C$5:$F$17,2,FALSE)),(VLOOKUP(D74,$C$5:$F$17,4,FALSE)))</f>
        <v>0.2</v>
      </c>
      <c r="F72" s="106">
        <v>0</v>
      </c>
    </row>
    <row r="73" spans="3:11" ht="27">
      <c r="C73" s="107" t="s">
        <v>42</v>
      </c>
      <c r="D73" s="108" t="s">
        <v>43</v>
      </c>
      <c r="E73" s="71"/>
      <c r="F73" s="106">
        <v>0</v>
      </c>
      <c r="H73" s="156" t="s">
        <v>44</v>
      </c>
      <c r="I73" s="157"/>
      <c r="J73" s="126" t="s">
        <v>45</v>
      </c>
    </row>
    <row r="74" spans="3:11" ht="15" thickBot="1">
      <c r="C74" s="103" t="s">
        <v>46</v>
      </c>
      <c r="D74" s="109" t="s">
        <v>10</v>
      </c>
      <c r="E74" s="110">
        <f>VLOOKUP(D74,$C$4:$F$17,3,FALSE)</f>
        <v>0.3</v>
      </c>
      <c r="F74" s="111">
        <f>(F72-F73)*E74*E72</f>
        <v>0</v>
      </c>
      <c r="H74" s="158"/>
      <c r="I74" s="159"/>
      <c r="J74" s="129" t="s">
        <v>47</v>
      </c>
    </row>
    <row r="75" spans="3:11" ht="27.5" thickBot="1">
      <c r="C75" s="107" t="s">
        <v>48</v>
      </c>
    </row>
    <row r="76" spans="3:11" ht="15" thickBot="1">
      <c r="C76" s="103" t="s">
        <v>49</v>
      </c>
      <c r="D76" s="97" t="s">
        <v>50</v>
      </c>
      <c r="E76" s="97"/>
      <c r="F76" s="98"/>
    </row>
    <row r="77" spans="3:11">
      <c r="C77" s="103" t="s">
        <v>51</v>
      </c>
      <c r="D77" s="101" t="s">
        <v>52</v>
      </c>
      <c r="E77" s="101"/>
      <c r="F77" s="102"/>
    </row>
    <row r="78" spans="3:11">
      <c r="C78" s="103" t="s">
        <v>53</v>
      </c>
      <c r="D78" s="112" t="s">
        <v>17</v>
      </c>
      <c r="E78" s="71">
        <f>IF(D78=$K$7,(VLOOKUP(D81,$O$4:$S$16,3,FALSE)),IF(D78=$K$8,(VLOOKUP(D81,$O$4:S$16,4,FALSE)),(VLOOKUP(D81,$O$4:S$16,5,FALSE))))</f>
        <v>3.1</v>
      </c>
      <c r="F78" s="106">
        <v>0.5</v>
      </c>
      <c r="K78" s="128">
        <f>F72*K80</f>
        <v>0</v>
      </c>
    </row>
    <row r="79" spans="3:11">
      <c r="C79" s="103" t="s">
        <v>54</v>
      </c>
      <c r="D79" s="113" t="s">
        <v>55</v>
      </c>
      <c r="E79" s="105">
        <f>(VLOOKUP(D81,$C$5:$F$16,3,FALSE))</f>
        <v>0.3</v>
      </c>
      <c r="F79" s="106">
        <v>31</v>
      </c>
    </row>
    <row r="80" spans="3:11">
      <c r="C80" s="103" t="s">
        <v>56</v>
      </c>
      <c r="D80" s="114" t="s">
        <v>43</v>
      </c>
      <c r="E80" s="105">
        <f>(VLOOKUP(D81,$C$5:$F$16,4,FALSE))</f>
        <v>0.2</v>
      </c>
      <c r="F80" s="106">
        <v>0</v>
      </c>
      <c r="K80" s="130">
        <f>E74*E72</f>
        <v>0.06</v>
      </c>
    </row>
    <row r="81" spans="3:10" ht="40.5" thickBot="1">
      <c r="C81" s="107" t="s">
        <v>57</v>
      </c>
      <c r="D81" s="115" t="s">
        <v>10</v>
      </c>
      <c r="E81" s="110">
        <f>VLOOKUP(D81,$O$4:$S$16,2,FALSE)</f>
        <v>0.3</v>
      </c>
      <c r="F81" s="116">
        <f>(((F79/365)*F78*E81*E78)*1000)-(F80*E80*E79)</f>
        <v>39.493150684931507</v>
      </c>
      <c r="G81" s="117"/>
      <c r="J81" s="117">
        <f>F81*1000</f>
        <v>39493.150684931505</v>
      </c>
    </row>
    <row r="82" spans="3:10">
      <c r="C82" s="103" t="s">
        <v>58</v>
      </c>
    </row>
    <row r="83" spans="3:10" ht="15" thickBot="1">
      <c r="C83" s="118"/>
      <c r="D83" s="92"/>
      <c r="E83" s="69"/>
      <c r="F83" s="94"/>
      <c r="G83" s="119"/>
    </row>
    <row r="84" spans="3:10">
      <c r="D84" s="69"/>
      <c r="E84" s="69"/>
      <c r="F84" s="94"/>
      <c r="G84" s="93"/>
    </row>
    <row r="85" spans="3:10">
      <c r="D85" s="120"/>
      <c r="E85" s="69"/>
      <c r="F85" s="94"/>
      <c r="G85" s="93"/>
    </row>
    <row r="86" spans="3:10" ht="15" thickBot="1">
      <c r="D86" s="92"/>
      <c r="E86" s="69"/>
      <c r="F86" s="94"/>
      <c r="G86" s="121"/>
    </row>
    <row r="87" spans="3:10">
      <c r="C87" s="160" t="s">
        <v>59</v>
      </c>
      <c r="F87" s="122"/>
    </row>
    <row r="88" spans="3:10" ht="15" thickBot="1">
      <c r="C88" s="161"/>
      <c r="D88" s="92"/>
      <c r="E88" s="69"/>
      <c r="F88" s="94"/>
      <c r="G88" s="119"/>
    </row>
    <row r="89" spans="3:10">
      <c r="D89" s="69"/>
      <c r="E89" s="69"/>
      <c r="F89" s="94">
        <f>317+334+231</f>
        <v>882</v>
      </c>
      <c r="G89" s="93"/>
      <c r="H89" s="62">
        <f>F89/F79</f>
        <v>28.451612903225808</v>
      </c>
    </row>
    <row r="93" spans="3:10" ht="15" thickBot="1">
      <c r="C93" s="92" t="s">
        <v>139</v>
      </c>
      <c r="D93" s="69"/>
      <c r="E93" s="93"/>
      <c r="F93" s="94"/>
      <c r="G93" s="74"/>
      <c r="I93" s="69"/>
    </row>
    <row r="94" spans="3:10" ht="15.5" thickBot="1">
      <c r="C94" s="95" t="s">
        <v>37</v>
      </c>
      <c r="D94" s="96" t="s">
        <v>38</v>
      </c>
      <c r="E94" s="97"/>
      <c r="F94" s="98"/>
    </row>
    <row r="95" spans="3:10">
      <c r="C95" s="99" t="s">
        <v>39</v>
      </c>
      <c r="D95" s="100" t="s">
        <v>40</v>
      </c>
      <c r="E95" s="101"/>
      <c r="F95" s="102"/>
    </row>
    <row r="96" spans="3:10">
      <c r="C96" s="103"/>
      <c r="D96" s="153"/>
      <c r="E96" s="154"/>
      <c r="F96" s="155"/>
    </row>
    <row r="97" spans="3:10" ht="15" thickBot="1">
      <c r="C97" s="103" t="s">
        <v>41</v>
      </c>
      <c r="D97" s="104" t="s">
        <v>11</v>
      </c>
      <c r="E97" s="105">
        <f>IF(D97=$K$4,(VLOOKUP(D99,$C$5:$F$17,2,FALSE)),(VLOOKUP(D99,$C$5:$F$17,4,FALSE)))</f>
        <v>0.2</v>
      </c>
      <c r="F97" s="106">
        <v>0</v>
      </c>
    </row>
    <row r="98" spans="3:10" ht="27">
      <c r="C98" s="107" t="s">
        <v>42</v>
      </c>
      <c r="D98" s="108" t="s">
        <v>43</v>
      </c>
      <c r="E98" s="71"/>
      <c r="F98" s="106">
        <v>0</v>
      </c>
      <c r="H98" s="156" t="s">
        <v>44</v>
      </c>
      <c r="I98" s="157"/>
      <c r="J98" s="126" t="s">
        <v>45</v>
      </c>
    </row>
    <row r="99" spans="3:10" ht="15" thickBot="1">
      <c r="C99" s="103" t="s">
        <v>46</v>
      </c>
      <c r="D99" s="109" t="s">
        <v>10</v>
      </c>
      <c r="E99" s="110">
        <f>VLOOKUP(D99,$C$4:$F$17,3,FALSE)</f>
        <v>0.3</v>
      </c>
      <c r="F99" s="111">
        <f>(F97-F98)*E99*E97</f>
        <v>0</v>
      </c>
      <c r="H99" s="158"/>
      <c r="I99" s="159"/>
      <c r="J99" s="129" t="s">
        <v>47</v>
      </c>
    </row>
    <row r="100" spans="3:10" ht="27.5" thickBot="1">
      <c r="C100" s="107" t="s">
        <v>48</v>
      </c>
    </row>
    <row r="101" spans="3:10" ht="15" thickBot="1">
      <c r="C101" s="103" t="s">
        <v>49</v>
      </c>
      <c r="D101" s="97" t="s">
        <v>50</v>
      </c>
      <c r="E101" s="97"/>
      <c r="F101" s="98"/>
    </row>
    <row r="102" spans="3:10">
      <c r="C102" s="103" t="s">
        <v>51</v>
      </c>
      <c r="D102" s="101" t="s">
        <v>52</v>
      </c>
      <c r="E102" s="101"/>
      <c r="F102" s="102"/>
    </row>
    <row r="103" spans="3:10">
      <c r="C103" s="103" t="s">
        <v>53</v>
      </c>
      <c r="D103" s="112" t="s">
        <v>17</v>
      </c>
      <c r="E103" s="71">
        <f>IF(D103=$K$7,(VLOOKUP(D106,$O$4:$S$16,3,FALSE)),IF(D103=$K$8,(VLOOKUP(D106,$O$4:S$16,4,FALSE)),(VLOOKUP(D106,$O$4:S$16,5,FALSE))))</f>
        <v>3.1</v>
      </c>
      <c r="F103" s="106">
        <v>0.5</v>
      </c>
    </row>
    <row r="104" spans="3:10">
      <c r="C104" s="103" t="s">
        <v>54</v>
      </c>
      <c r="D104" s="113" t="s">
        <v>55</v>
      </c>
      <c r="E104" s="105">
        <f>(VLOOKUP(D106,$C$5:$F$16,3,FALSE))</f>
        <v>0.3</v>
      </c>
      <c r="F104" s="106">
        <v>30</v>
      </c>
    </row>
    <row r="105" spans="3:10">
      <c r="C105" s="103" t="s">
        <v>56</v>
      </c>
      <c r="D105" s="114" t="s">
        <v>43</v>
      </c>
      <c r="E105" s="105">
        <f>(VLOOKUP(D106,$C$5:$F$16,4,FALSE))</f>
        <v>0.2</v>
      </c>
      <c r="F105" s="106">
        <v>0</v>
      </c>
    </row>
    <row r="106" spans="3:10" ht="40.5" thickBot="1">
      <c r="C106" s="107" t="s">
        <v>57</v>
      </c>
      <c r="D106" s="115" t="s">
        <v>10</v>
      </c>
      <c r="E106" s="110">
        <f>VLOOKUP(D106,$O$4:$S$16,2,FALSE)</f>
        <v>0.3</v>
      </c>
      <c r="F106" s="116">
        <f>(((F104/365)*F103*E106*E103)*1000)-(F105*E105*E104)</f>
        <v>38.219178082191782</v>
      </c>
      <c r="G106" s="117"/>
      <c r="J106" s="117">
        <f>F106*1000</f>
        <v>38219.178082191778</v>
      </c>
    </row>
    <row r="107" spans="3:10">
      <c r="C107" s="103" t="s">
        <v>58</v>
      </c>
    </row>
    <row r="108" spans="3:10" ht="15" thickBot="1">
      <c r="C108" s="118"/>
      <c r="D108" s="92"/>
      <c r="E108" s="69"/>
      <c r="F108" s="94"/>
      <c r="G108" s="119"/>
    </row>
    <row r="109" spans="3:10">
      <c r="D109" s="69"/>
      <c r="E109" s="69"/>
      <c r="F109" s="94"/>
      <c r="G109" s="93"/>
    </row>
    <row r="110" spans="3:10">
      <c r="D110" s="120"/>
      <c r="E110" s="69"/>
      <c r="F110" s="94"/>
      <c r="G110" s="93"/>
    </row>
    <row r="111" spans="3:10" ht="15" thickBot="1">
      <c r="D111" s="92"/>
      <c r="E111" s="69"/>
      <c r="F111" s="94"/>
      <c r="G111" s="121"/>
    </row>
    <row r="112" spans="3:10">
      <c r="C112" s="160" t="s">
        <v>59</v>
      </c>
      <c r="F112" s="122"/>
    </row>
    <row r="113" spans="3:8" ht="15" thickBot="1">
      <c r="C113" s="161"/>
      <c r="D113" s="92"/>
      <c r="E113" s="69"/>
      <c r="F113" s="94"/>
      <c r="G113" s="119"/>
    </row>
    <row r="114" spans="3:8">
      <c r="D114" s="69"/>
      <c r="E114" s="69"/>
      <c r="F114" s="94">
        <f>317+334+231</f>
        <v>882</v>
      </c>
      <c r="G114" s="93"/>
      <c r="H114" s="62">
        <f>F114/F104</f>
        <v>29.4</v>
      </c>
    </row>
  </sheetData>
  <sheetProtection selectLockedCells="1"/>
  <mergeCells count="13">
    <mergeCell ref="C2:F2"/>
    <mergeCell ref="D21:F21"/>
    <mergeCell ref="C37:C38"/>
    <mergeCell ref="H23:I24"/>
    <mergeCell ref="D46:F46"/>
    <mergeCell ref="D96:F96"/>
    <mergeCell ref="H98:I99"/>
    <mergeCell ref="C112:C113"/>
    <mergeCell ref="H48:I49"/>
    <mergeCell ref="C62:C63"/>
    <mergeCell ref="D71:F71"/>
    <mergeCell ref="H73:I74"/>
    <mergeCell ref="C87:C88"/>
  </mergeCells>
  <dataValidations count="4">
    <dataValidation type="list" allowBlank="1" showInputMessage="1" showErrorMessage="1" sqref="D22 D47 D72 D97" xr:uid="{00000000-0002-0000-0000-000000000000}">
      <formula1>$K$4:$K$5</formula1>
    </dataValidation>
    <dataValidation type="list" allowBlank="1" showInputMessage="1" showErrorMessage="1" sqref="D24 D49 D74 D99" xr:uid="{00000000-0002-0000-0000-000001000000}">
      <formula1>$C$5:$C$17</formula1>
    </dataValidation>
    <dataValidation type="list" allowBlank="1" showInputMessage="1" showErrorMessage="1" sqref="D28 D53 D78 D103" xr:uid="{00000000-0002-0000-0000-000002000000}">
      <formula1>$K$7:$K$9</formula1>
    </dataValidation>
    <dataValidation type="list" allowBlank="1" showInputMessage="1" showErrorMessage="1" sqref="D31 D36 D41 D56 D61 D81 D86 D106 D111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265625" defaultRowHeight="13"/>
  <cols>
    <col min="1" max="1" width="8.7265625" style="4" customWidth="1"/>
    <col min="2" max="2" width="26.7265625" style="4" customWidth="1"/>
    <col min="3" max="3" width="12" style="4" customWidth="1"/>
    <col min="4" max="6" width="20.7265625" style="4"/>
    <col min="7" max="7" width="26.7265625" style="4" customWidth="1"/>
    <col min="8" max="8" width="20.7265625" style="4"/>
    <col min="9" max="9" width="15.26953125" style="4" customWidth="1"/>
    <col min="10" max="10" width="12.81640625" style="4" customWidth="1"/>
    <col min="11" max="16384" width="20.726562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6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6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6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6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2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6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6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6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6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6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6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6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6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6">
      <c r="G31" s="10" t="s">
        <v>71</v>
      </c>
      <c r="H31" s="6">
        <v>0.15</v>
      </c>
      <c r="I31" s="54">
        <f>I28*H31</f>
        <v>11.737499999999999</v>
      </c>
    </row>
    <row r="32" spans="2:9" ht="26">
      <c r="G32" s="10" t="s">
        <v>72</v>
      </c>
      <c r="H32" s="6">
        <v>0.3</v>
      </c>
      <c r="I32" s="54">
        <f>I28*H32</f>
        <v>23.474999999999998</v>
      </c>
    </row>
    <row r="33" spans="7:9" ht="26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265625" defaultRowHeight="13"/>
  <cols>
    <col min="1" max="1" width="8.7265625" style="4"/>
    <col min="2" max="2" width="25" style="4" customWidth="1"/>
    <col min="3" max="3" width="8.7265625" style="4"/>
    <col min="4" max="4" width="17.1796875" style="4" customWidth="1"/>
    <col min="5" max="5" width="6.81640625" style="4" customWidth="1"/>
    <col min="6" max="6" width="6.453125" style="4" customWidth="1"/>
    <col min="7" max="7" width="22.26953125" style="4" customWidth="1"/>
    <col min="8" max="8" width="8.7265625" style="4"/>
    <col min="9" max="9" width="12.1796875" style="4" customWidth="1"/>
    <col min="10" max="11" width="5.26953125" style="4" customWidth="1"/>
    <col min="12" max="12" width="25.81640625" style="4" customWidth="1"/>
    <col min="13" max="13" width="14" style="4" customWidth="1"/>
    <col min="14" max="14" width="10.81640625" style="4" customWidth="1"/>
    <col min="15" max="16384" width="8.726562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4.5"/>
  <cols>
    <col min="2" max="2" width="24.7265625" customWidth="1"/>
    <col min="3" max="3" width="14.8164062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27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7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7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7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/>
</ds:datastoreItem>
</file>

<file path=customXml/itemProps2.xml><?xml version="1.0" encoding="utf-8"?>
<ds:datastoreItem xmlns:ds="http://schemas.openxmlformats.org/officeDocument/2006/customXml" ds:itemID="{3A210914-9792-42B2-9FF6-31C0394FA283}">
  <ds:schemaRefs/>
</ds:datastoreItem>
</file>

<file path=customXml/itemProps3.xml><?xml version="1.0" encoding="utf-8"?>
<ds:datastoreItem xmlns:ds="http://schemas.openxmlformats.org/officeDocument/2006/customXml" ds:itemID="{0A97A245-9448-462D-AAAA-B89FB7F2AF44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2024-04-30T12:54:46Z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