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A80F5EB0-331B-4EEF-A32A-156E608C913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00000000-000D-0000-FFFF-FFFF00000000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4" l="1"/>
  <c r="G38" i="4" s="1"/>
  <c r="E38" i="4"/>
  <c r="F33" i="4"/>
  <c r="G33" i="4" s="1"/>
  <c r="E33" i="4"/>
  <c r="G28" i="4"/>
  <c r="F28" i="4"/>
  <c r="E28" i="4"/>
  <c r="F23" i="4"/>
  <c r="E23" i="4"/>
  <c r="G23" i="4" s="1"/>
  <c r="F19" i="4"/>
  <c r="G19" i="4" s="1"/>
  <c r="E19" i="4"/>
  <c r="D21" i="3"/>
  <c r="D22" i="3" s="1"/>
  <c r="D13" i="3"/>
  <c r="D12" i="3"/>
  <c r="D5" i="3"/>
  <c r="D4" i="3"/>
  <c r="N22" i="2"/>
  <c r="N23" i="2" s="1"/>
  <c r="I22" i="2"/>
  <c r="I23" i="2" s="1"/>
  <c r="D22" i="2"/>
  <c r="D24" i="2" s="1"/>
  <c r="D15" i="2"/>
  <c r="N14" i="2"/>
  <c r="N13" i="2"/>
  <c r="I13" i="2"/>
  <c r="I14" i="2" s="1"/>
  <c r="D13" i="2"/>
  <c r="D14" i="2" s="1"/>
  <c r="D7" i="2"/>
  <c r="N6" i="2"/>
  <c r="I6" i="2"/>
  <c r="N5" i="2"/>
  <c r="I5" i="2"/>
  <c r="D5" i="2"/>
  <c r="D6" i="2" s="1"/>
  <c r="I32" i="1"/>
  <c r="I31" i="1"/>
  <c r="I30" i="1"/>
  <c r="I29" i="1"/>
  <c r="I28" i="1"/>
  <c r="I33" i="1" s="1"/>
  <c r="I21" i="1"/>
  <c r="D20" i="1"/>
  <c r="I18" i="1"/>
  <c r="I17" i="1"/>
  <c r="I20" i="1" s="1"/>
  <c r="D15" i="1"/>
  <c r="D16" i="1" s="1"/>
  <c r="D9" i="1"/>
  <c r="D8" i="1"/>
  <c r="I7" i="1"/>
  <c r="I6" i="1"/>
  <c r="D6" i="1"/>
  <c r="I5" i="1"/>
  <c r="I10" i="1" s="1"/>
  <c r="D5" i="1"/>
  <c r="D4" i="1"/>
  <c r="D7" i="1" s="1"/>
  <c r="S31" i="5"/>
  <c r="T31" i="5" s="1"/>
  <c r="E31" i="5"/>
  <c r="E30" i="5"/>
  <c r="E29" i="5"/>
  <c r="E28" i="5"/>
  <c r="T27" i="5"/>
  <c r="E24" i="5"/>
  <c r="F24" i="5" s="1"/>
  <c r="T23" i="5"/>
  <c r="N23" i="5"/>
  <c r="T22" i="5"/>
  <c r="E22" i="5"/>
  <c r="F31" i="5" l="1"/>
  <c r="J31" i="5" s="1"/>
  <c r="I22" i="1"/>
  <c r="D23" i="2"/>
  <c r="K30" i="5"/>
  <c r="K28" i="5" s="1"/>
  <c r="I8" i="1"/>
  <c r="D18" i="1"/>
  <c r="D17" i="1"/>
  <c r="I9" i="1"/>
  <c r="D19" i="1"/>
  <c r="I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00000000-0006-0000-0000-000001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Rule of Thumb</t>
        </r>
      </text>
    </comment>
    <comment ref="E24" authorId="0" shapeId="0" xr:uid="{00000000-0006-0000-0000-000002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Shell Share</t>
        </r>
      </text>
    </comment>
    <comment ref="E28" authorId="0" shapeId="0" xr:uid="{00000000-0006-0000-0000-000003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Rule of Thumb</t>
        </r>
      </text>
    </comment>
    <comment ref="E29" authorId="0" shapeId="0" xr:uid="{00000000-0006-0000-0000-000004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Shell Share (applied to cost of implementation)</t>
        </r>
      </text>
    </comment>
    <comment ref="E30" authorId="0" shapeId="0" xr:uid="{00000000-0006-0000-0000-000005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RoT applied to Implementation Cost</t>
        </r>
      </text>
    </comment>
    <comment ref="E31" authorId="0" shapeId="0" xr:uid="{00000000-0006-0000-0000-000006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<sst xmlns="http://schemas.openxmlformats.org/spreadsheetml/2006/main" count="306" uniqueCount="137">
  <si>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</si>
  <si>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</si>
  <si>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</si>
  <si>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</si>
  <si>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</si>
  <si>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</si>
  <si>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</si>
  <si>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</si>
  <si>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</si>
  <si>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</si>
  <si>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</si>
  <si>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</si>
  <si>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</si>
  <si>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</si>
  <si>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</si>
  <si>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</si>
  <si>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</si>
  <si>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</si>
  <si>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</si>
  <si>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</si>
  <si>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</si>
  <si>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</si>
  <si>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</si>
  <si>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</si>
  <si>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</si>
  <si>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</si>
  <si>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</si>
  <si>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</si>
  <si>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</si>
  <si>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</si>
  <si>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</si>
  <si>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</si>
  <si>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</si>
  <si>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</si>
  <si>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</si>
  <si>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</si>
  <si>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</si>
  <si>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</si>
  <si>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</si>
  <si>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</si>
  <si>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</si>
  <si>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</si>
  <si>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</si>
  <si>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</si>
  <si>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</si>
  <si>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</si>
  <si>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</si>
  <si>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</si>
  <si>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</si>
  <si>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</si>
  <si>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</si>
  <si>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</si>
  <si>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</si>
  <si>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</si>
  <si>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</si>
  <si>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</si>
  <si>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</si>
  <si>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</si>
  <si>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</si>
  <si>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</si>
  <si>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</si>
  <si>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</si>
  <si>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</si>
  <si>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</si>
  <si>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</si>
  <si>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</si>
  <si>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</si>
  <si>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</si>
  <si>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</si>
  <si>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</si>
  <si>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</si>
  <si>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</si>
  <si>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</si>
  <si>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</si>
  <si>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</si>
  <si>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</si>
  <si>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</si>
  <si>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</si>
  <si>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</si>
  <si>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</si>
  <si>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</si>
  <si>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</si>
  <si>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</si>
  <si>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</si>
  <si>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</si>
  <si>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</si>
  <si>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</si>
  <si>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</si>
  <si>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</si>
  <si>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</si>
  <si>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</si>
  <si>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</si>
  <si>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</si>
  <si>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</si>
  <si>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</si>
  <si>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</si>
  <si>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</si>
  <si>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</si>
  <si>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</si>
  <si>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</si>
  <si>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</si>
  <si>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</si>
  <si>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</si>
  <si>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</si>
  <si>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</si>
  <si>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</si>
  <si>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</si>
  <si>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</si>
  <si>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</si>
  <si>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</si>
  <si>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</si>
  <si>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</si>
  <si>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</si>
  <si>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</si>
  <si>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</si>
  <si>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</si>
  <si>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</si>
  <si>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</si>
  <si>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</si>
  <si>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</si>
  <si>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</si>
  <si>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</si>
  <si>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</si>
  <si>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</si>
  <si>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</si>
  <si>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</si>
  <si>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</si>
  <si>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</si>
  <si>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</si>
  <si>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</si>
  <si>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</si>
  <si>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</si>
  <si>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</si>
  <si>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</si>
  <si>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</si>
  <si>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</si>
  <si>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Restore 33KVA line to SBNK &amp; NBNK in lieu of a contractor using Asset Resorces to gain 37.23Kbopd.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</si>
</sst>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11">
    <font>
      <sz val="11"/>
      <color theme="1"/>
      <name val="Calibri"/>
      <charset val="134"/>
      <scheme val="minor"/>
    </font>
    <font>
      <sz val="10"/>
      <color theme="1"/>
      <name val="Futura Medium"/>
      <charset val="134"/>
    </font>
    <font>
      <b/>
      <sz val="10"/>
      <color theme="1"/>
      <name val="Futura Medium"/>
      <charset val="134"/>
    </font>
    <font>
      <b/>
      <sz val="11"/>
      <color theme="1"/>
      <name val="Calibri"/>
      <charset val="134"/>
      <scheme val="minor"/>
    </font>
    <font>
      <b/>
      <sz val="20"/>
      <color theme="1"/>
      <name val="Futura Medium"/>
      <charset val="134"/>
    </font>
    <font>
      <b/>
      <sz val="11"/>
      <color theme="1"/>
      <name val="Futura Medium"/>
      <charset val="134"/>
    </font>
    <font>
      <b/>
      <sz val="10"/>
      <color theme="0"/>
      <name val="Futura Medium"/>
      <charset val="134"/>
    </font>
    <font>
      <b/>
      <sz val="10"/>
      <color rgb="FFC00000"/>
      <name val="Futura Medium"/>
      <charset val="134"/>
    </font>
    <font>
      <sz val="11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65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0" xfId="0" applyFont="1"/>
    <xf numFmtId="0" fontId="2" fillId="0" borderId="3" xfId="0" applyFont="1" applyBorder="1"/>
    <xf numFmtId="0" fontId="1" fillId="0" borderId="4" xfId="0" applyFont="1" applyBorder="1"/>
    <xf numFmtId="2" fontId="1" fillId="0" borderId="4" xfId="0" applyNumberFormat="1" applyFont="1" applyBorder="1"/>
    <xf numFmtId="2" fontId="0" fillId="0" borderId="4" xfId="0" applyNumberFormat="1" applyBorder="1"/>
    <xf numFmtId="0" fontId="0" fillId="0" borderId="4" xfId="0" applyBorder="1"/>
    <xf numFmtId="0" fontId="2" fillId="0" borderId="3" xfId="0" applyFont="1" applyBorder="1" applyAlignment="1">
      <alignment wrapText="1"/>
    </xf>
    <xf numFmtId="0" fontId="2" fillId="0" borderId="5" xfId="0" applyFont="1" applyBorder="1"/>
    <xf numFmtId="0" fontId="1" fillId="0" borderId="6" xfId="0" applyFont="1" applyBorder="1"/>
    <xf numFmtId="2" fontId="1" fillId="0" borderId="6" xfId="0" applyNumberFormat="1" applyFont="1" applyBorder="1"/>
    <xf numFmtId="2" fontId="0" fillId="0" borderId="6" xfId="0" applyNumberFormat="1" applyBorder="1"/>
    <xf numFmtId="0" fontId="0" fillId="0" borderId="6" xfId="0" applyBorder="1"/>
    <xf numFmtId="0" fontId="2" fillId="0" borderId="1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3" xfId="0" applyFont="1" applyBorder="1"/>
    <xf numFmtId="0" fontId="1" fillId="0" borderId="13" xfId="0" applyFont="1" applyBorder="1"/>
    <xf numFmtId="2" fontId="1" fillId="2" borderId="14" xfId="0" applyNumberFormat="1" applyFont="1" applyFill="1" applyBorder="1"/>
    <xf numFmtId="0" fontId="1" fillId="0" borderId="15" xfId="0" applyFont="1" applyBorder="1"/>
    <xf numFmtId="2" fontId="2" fillId="3" borderId="16" xfId="0" applyNumberFormat="1" applyFont="1" applyFill="1" applyBorder="1"/>
    <xf numFmtId="0" fontId="2" fillId="0" borderId="3" xfId="0" applyFont="1" applyBorder="1" applyAlignment="1">
      <alignment horizontal="left" wrapText="1"/>
    </xf>
    <xf numFmtId="0" fontId="1" fillId="0" borderId="17" xfId="0" applyFont="1" applyBorder="1"/>
    <xf numFmtId="0" fontId="1" fillId="0" borderId="18" xfId="0" applyFont="1" applyBorder="1"/>
    <xf numFmtId="2" fontId="1" fillId="2" borderId="19" xfId="0" applyNumberFormat="1" applyFont="1" applyFill="1" applyBorder="1"/>
    <xf numFmtId="0" fontId="2" fillId="0" borderId="8" xfId="0" applyFont="1" applyBorder="1"/>
    <xf numFmtId="0" fontId="2" fillId="0" borderId="0" xfId="0" applyFont="1"/>
    <xf numFmtId="0" fontId="1" fillId="0" borderId="14" xfId="0" applyFont="1" applyBorder="1"/>
    <xf numFmtId="2" fontId="1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16" xfId="0" applyFont="1" applyBorder="1"/>
    <xf numFmtId="0" fontId="1" fillId="0" borderId="20" xfId="0" applyFont="1" applyBorder="1"/>
    <xf numFmtId="0" fontId="1" fillId="2" borderId="21" xfId="0" applyFont="1" applyFill="1" applyBorder="1"/>
    <xf numFmtId="0" fontId="1" fillId="0" borderId="22" xfId="0" applyFont="1" applyBorder="1"/>
    <xf numFmtId="2" fontId="1" fillId="0" borderId="14" xfId="0" applyNumberFormat="1" applyFont="1" applyBorder="1"/>
    <xf numFmtId="0" fontId="1" fillId="2" borderId="4" xfId="0" applyFont="1" applyFill="1" applyBorder="1"/>
    <xf numFmtId="2" fontId="1" fillId="0" borderId="14" xfId="0" applyNumberFormat="1" applyFont="1" applyBorder="1" applyAlignment="1">
      <alignment horizontal="center"/>
    </xf>
    <xf numFmtId="0" fontId="1" fillId="0" borderId="23" xfId="0" applyFont="1" applyBorder="1"/>
    <xf numFmtId="0" fontId="1" fillId="3" borderId="24" xfId="0" applyFont="1" applyFill="1" applyBorder="1"/>
    <xf numFmtId="0" fontId="1" fillId="0" borderId="25" xfId="0" applyFont="1" applyBorder="1"/>
    <xf numFmtId="2" fontId="2" fillId="3" borderId="14" xfId="0" applyNumberFormat="1" applyFont="1" applyFill="1" applyBorder="1"/>
    <xf numFmtId="43" fontId="1" fillId="0" borderId="0" xfId="1" applyFont="1"/>
    <xf numFmtId="0" fontId="1" fillId="0" borderId="2" xfId="0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1" fillId="2" borderId="14" xfId="0" applyFont="1" applyFill="1" applyBorder="1"/>
    <xf numFmtId="0" fontId="2" fillId="3" borderId="14" xfId="0" applyFont="1" applyFill="1" applyBorder="1"/>
    <xf numFmtId="0" fontId="2" fillId="3" borderId="16" xfId="0" applyFont="1" applyFill="1" applyBorder="1"/>
    <xf numFmtId="0" fontId="1" fillId="0" borderId="2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right"/>
    </xf>
    <xf numFmtId="165" fontId="1" fillId="0" borderId="0" xfId="1" applyNumberFormat="1" applyFont="1"/>
    <xf numFmtId="43" fontId="1" fillId="0" borderId="0" xfId="0" applyNumberFormat="1" applyFont="1"/>
    <xf numFmtId="0" fontId="2" fillId="0" borderId="14" xfId="0" applyFont="1" applyBorder="1"/>
    <xf numFmtId="0" fontId="1" fillId="0" borderId="14" xfId="0" applyFont="1" applyBorder="1" applyAlignment="1">
      <alignment horizontal="center"/>
    </xf>
    <xf numFmtId="0" fontId="0" fillId="4" borderId="0" xfId="0" applyFill="1"/>
    <xf numFmtId="43" fontId="0" fillId="4" borderId="0" xfId="1" applyFont="1" applyFill="1"/>
    <xf numFmtId="165" fontId="0" fillId="4" borderId="0" xfId="1" applyNumberFormat="1" applyFont="1" applyFill="1"/>
    <xf numFmtId="0" fontId="1" fillId="4" borderId="1" xfId="0" applyFont="1" applyFill="1" applyBorder="1"/>
    <xf numFmtId="0" fontId="2" fillId="4" borderId="2" xfId="0" applyFont="1" applyFill="1" applyBorder="1" applyAlignment="1">
      <alignment horizontal="center"/>
    </xf>
    <xf numFmtId="43" fontId="2" fillId="4" borderId="8" xfId="1" applyFont="1" applyFill="1" applyBorder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2" fillId="4" borderId="3" xfId="0" applyFont="1" applyFill="1" applyBorder="1"/>
    <xf numFmtId="0" fontId="1" fillId="4" borderId="4" xfId="0" applyFont="1" applyFill="1" applyBorder="1"/>
    <xf numFmtId="2" fontId="1" fillId="4" borderId="4" xfId="0" applyNumberFormat="1" applyFont="1" applyFill="1" applyBorder="1"/>
    <xf numFmtId="43" fontId="1" fillId="4" borderId="14" xfId="1" applyFont="1" applyFill="1" applyBorder="1"/>
    <xf numFmtId="2" fontId="0" fillId="4" borderId="0" xfId="0" applyNumberFormat="1" applyFill="1"/>
    <xf numFmtId="0" fontId="2" fillId="4" borderId="3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1" fillId="6" borderId="4" xfId="0" applyFont="1" applyFill="1" applyBorder="1"/>
    <xf numFmtId="2" fontId="1" fillId="6" borderId="4" xfId="0" applyNumberFormat="1" applyFont="1" applyFill="1" applyBorder="1"/>
    <xf numFmtId="43" fontId="1" fillId="6" borderId="14" xfId="1" applyFont="1" applyFill="1" applyBorder="1"/>
    <xf numFmtId="0" fontId="2" fillId="7" borderId="3" xfId="0" applyFont="1" applyFill="1" applyBorder="1"/>
    <xf numFmtId="0" fontId="1" fillId="7" borderId="4" xfId="0" applyFont="1" applyFill="1" applyBorder="1"/>
    <xf numFmtId="2" fontId="1" fillId="7" borderId="4" xfId="0" applyNumberFormat="1" applyFont="1" applyFill="1" applyBorder="1"/>
    <xf numFmtId="43" fontId="1" fillId="7" borderId="14" xfId="1" applyFont="1" applyFill="1" applyBorder="1"/>
    <xf numFmtId="0" fontId="2" fillId="7" borderId="5" xfId="0" applyFont="1" applyFill="1" applyBorder="1"/>
    <xf numFmtId="0" fontId="1" fillId="7" borderId="6" xfId="0" applyFont="1" applyFill="1" applyBorder="1"/>
    <xf numFmtId="2" fontId="1" fillId="7" borderId="6" xfId="0" applyNumberFormat="1" applyFont="1" applyFill="1" applyBorder="1"/>
    <xf numFmtId="43" fontId="1" fillId="7" borderId="16" xfId="1" applyFont="1" applyFill="1" applyBorder="1"/>
    <xf numFmtId="0" fontId="1" fillId="7" borderId="17" xfId="0" applyFont="1" applyFill="1" applyBorder="1"/>
    <xf numFmtId="2" fontId="1" fillId="7" borderId="17" xfId="0" applyNumberFormat="1" applyFont="1" applyFill="1" applyBorder="1"/>
    <xf numFmtId="43" fontId="1" fillId="7" borderId="19" xfId="1" applyFont="1" applyFill="1" applyBorder="1"/>
    <xf numFmtId="43" fontId="1" fillId="7" borderId="4" xfId="1" applyFont="1" applyFill="1" applyBorder="1"/>
    <xf numFmtId="0" fontId="2" fillId="4" borderId="0" xfId="0" applyFont="1" applyFill="1"/>
    <xf numFmtId="2" fontId="1" fillId="4" borderId="0" xfId="0" applyNumberFormat="1" applyFont="1" applyFill="1"/>
    <xf numFmtId="43" fontId="1" fillId="4" borderId="0" xfId="1" applyFont="1" applyFill="1" applyBorder="1"/>
    <xf numFmtId="0" fontId="5" fillId="2" borderId="29" xfId="0" applyFont="1" applyFill="1" applyBorder="1"/>
    <xf numFmtId="0" fontId="3" fillId="2" borderId="26" xfId="0" applyFont="1" applyFill="1" applyBorder="1"/>
    <xf numFmtId="0" fontId="3" fillId="2" borderId="27" xfId="0" applyFont="1" applyFill="1" applyBorder="1"/>
    <xf numFmtId="43" fontId="3" fillId="2" borderId="28" xfId="1" applyFont="1" applyFill="1" applyBorder="1"/>
    <xf numFmtId="0" fontId="2" fillId="4" borderId="30" xfId="0" applyFont="1" applyFill="1" applyBorder="1"/>
    <xf numFmtId="0" fontId="2" fillId="4" borderId="31" xfId="0" applyFont="1" applyFill="1" applyBorder="1"/>
    <xf numFmtId="0" fontId="2" fillId="4" borderId="32" xfId="0" applyFont="1" applyFill="1" applyBorder="1"/>
    <xf numFmtId="43" fontId="2" fillId="4" borderId="33" xfId="1" applyFont="1" applyFill="1" applyBorder="1" applyAlignment="1"/>
    <xf numFmtId="0" fontId="2" fillId="4" borderId="34" xfId="0" applyFont="1" applyFill="1" applyBorder="1"/>
    <xf numFmtId="0" fontId="1" fillId="4" borderId="3" xfId="0" applyFont="1" applyFill="1" applyBorder="1" applyProtection="1">
      <protection locked="0"/>
    </xf>
    <xf numFmtId="0" fontId="1" fillId="4" borderId="17" xfId="0" applyFont="1" applyFill="1" applyBorder="1"/>
    <xf numFmtId="43" fontId="6" fillId="8" borderId="19" xfId="1" applyFont="1" applyFill="1" applyBorder="1" applyProtection="1">
      <protection locked="0"/>
    </xf>
    <xf numFmtId="0" fontId="2" fillId="4" borderId="34" xfId="0" applyFont="1" applyFill="1" applyBorder="1" applyAlignment="1">
      <alignment wrapText="1"/>
    </xf>
    <xf numFmtId="0" fontId="1" fillId="4" borderId="38" xfId="0" applyFont="1" applyFill="1" applyBorder="1"/>
    <xf numFmtId="0" fontId="2" fillId="4" borderId="5" xfId="0" applyFont="1" applyFill="1" applyBorder="1" applyProtection="1">
      <protection locked="0"/>
    </xf>
    <xf numFmtId="0" fontId="1" fillId="4" borderId="15" xfId="0" applyFont="1" applyFill="1" applyBorder="1"/>
    <xf numFmtId="43" fontId="2" fillId="9" borderId="16" xfId="1" applyFont="1" applyFill="1" applyBorder="1" applyProtection="1"/>
    <xf numFmtId="0" fontId="1" fillId="4" borderId="39" xfId="0" applyFont="1" applyFill="1" applyBorder="1" applyProtection="1">
      <protection locked="0"/>
    </xf>
    <xf numFmtId="0" fontId="1" fillId="4" borderId="39" xfId="0" applyFont="1" applyFill="1" applyBorder="1" applyAlignment="1">
      <alignment horizontal="left" wrapText="1"/>
    </xf>
    <xf numFmtId="0" fontId="1" fillId="4" borderId="40" xfId="0" applyFont="1" applyFill="1" applyBorder="1"/>
    <xf numFmtId="0" fontId="2" fillId="4" borderId="41" xfId="0" applyFont="1" applyFill="1" applyBorder="1" applyProtection="1">
      <protection locked="0"/>
    </xf>
    <xf numFmtId="43" fontId="2" fillId="9" borderId="16" xfId="1" applyFont="1" applyFill="1" applyBorder="1"/>
    <xf numFmtId="166" fontId="0" fillId="4" borderId="0" xfId="0" applyNumberFormat="1" applyFill="1"/>
    <xf numFmtId="0" fontId="0" fillId="4" borderId="42" xfId="0" applyFill="1" applyBorder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wrapText="1"/>
    </xf>
    <xf numFmtId="2" fontId="2" fillId="4" borderId="0" xfId="0" applyNumberFormat="1" applyFont="1" applyFill="1"/>
    <xf numFmtId="43" fontId="0" fillId="4" borderId="0" xfId="1" applyFont="1" applyFill="1" applyBorder="1"/>
    <xf numFmtId="0" fontId="1" fillId="4" borderId="39" xfId="0" applyFont="1" applyFill="1" applyBorder="1"/>
    <xf numFmtId="0" fontId="1" fillId="4" borderId="1" xfId="0" applyFont="1" applyFill="1" applyBorder="1" applyAlignment="1">
      <alignment wrapText="1"/>
    </xf>
    <xf numFmtId="0" fontId="2" fillId="4" borderId="5" xfId="0" applyFont="1" applyFill="1" applyBorder="1"/>
    <xf numFmtId="2" fontId="6" fillId="8" borderId="14" xfId="0" applyNumberFormat="1" applyFont="1" applyFill="1" applyBorder="1"/>
    <xf numFmtId="43" fontId="0" fillId="0" borderId="0" xfId="1" applyFont="1"/>
    <xf numFmtId="43" fontId="0" fillId="4" borderId="0" xfId="0" applyNumberFormat="1" applyFill="1"/>
    <xf numFmtId="2" fontId="2" fillId="9" borderId="16" xfId="0" applyNumberFormat="1" applyFont="1" applyFill="1" applyBorder="1"/>
    <xf numFmtId="0" fontId="0" fillId="7" borderId="0" xfId="0" applyFill="1"/>
    <xf numFmtId="0" fontId="3" fillId="0" borderId="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10" borderId="4" xfId="0" applyFill="1" applyBorder="1"/>
    <xf numFmtId="2" fontId="0" fillId="6" borderId="4" xfId="0" applyNumberFormat="1" applyFill="1" applyBorder="1"/>
    <xf numFmtId="0" fontId="0" fillId="6" borderId="4" xfId="0" applyFill="1" applyBorder="1"/>
    <xf numFmtId="0" fontId="1" fillId="6" borderId="14" xfId="0" applyFont="1" applyFill="1" applyBorder="1"/>
    <xf numFmtId="2" fontId="0" fillId="7" borderId="4" xfId="0" applyNumberFormat="1" applyFill="1" applyBorder="1"/>
    <xf numFmtId="0" fontId="0" fillId="7" borderId="4" xfId="0" applyFill="1" applyBorder="1"/>
    <xf numFmtId="0" fontId="1" fillId="7" borderId="14" xfId="0" applyFont="1" applyFill="1" applyBorder="1"/>
    <xf numFmtId="2" fontId="0" fillId="7" borderId="6" xfId="0" applyNumberFormat="1" applyFill="1" applyBorder="1"/>
    <xf numFmtId="0" fontId="0" fillId="7" borderId="6" xfId="0" applyFill="1" applyBorder="1"/>
    <xf numFmtId="0" fontId="1" fillId="7" borderId="16" xfId="0" applyFont="1" applyFill="1" applyBorder="1"/>
    <xf numFmtId="2" fontId="0" fillId="0" borderId="0" xfId="0" applyNumberFormat="1"/>
    <xf numFmtId="43" fontId="0" fillId="0" borderId="0" xfId="0" applyNumberFormat="1"/>
    <xf numFmtId="0" fontId="2" fillId="4" borderId="2" xfId="0" quotePrefix="1" applyFont="1" applyFill="1" applyBorder="1" applyAlignment="1">
      <alignment horizontal="center"/>
    </xf>
    <xf numFmtId="43" fontId="2" fillId="4" borderId="8" xfId="1" quotePrefix="1" applyFont="1" applyFill="1" applyBorder="1" applyAlignment="1">
      <alignment horizontal="center"/>
    </xf>
    <xf numFmtId="0" fontId="2" fillId="0" borderId="2" xfId="0" quotePrefix="1" applyFont="1" applyBorder="1" applyAlignment="1">
      <alignment horizontal="center" wrapText="1"/>
    </xf>
    <xf numFmtId="0" fontId="1" fillId="0" borderId="8" xfId="0" quotePrefix="1" applyFont="1" applyBorder="1" applyAlignment="1">
      <alignment horizontal="center"/>
    </xf>
    <xf numFmtId="0" fontId="1" fillId="0" borderId="8" xfId="0" quotePrefix="1" applyFont="1" applyBorder="1" applyAlignment="1">
      <alignment horizontal="center" wrapText="1"/>
    </xf>
    <xf numFmtId="2" fontId="1" fillId="0" borderId="8" xfId="0" quotePrefix="1" applyNumberFormat="1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4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7" fillId="4" borderId="30" xfId="0" applyFont="1" applyFill="1" applyBorder="1" applyAlignment="1">
      <alignment horizontal="left" wrapText="1"/>
    </xf>
    <xf numFmtId="0" fontId="7" fillId="4" borderId="42" xfId="0" applyFont="1" applyFill="1" applyBorder="1" applyAlignment="1">
      <alignment horizontal="left" wrapText="1"/>
    </xf>
    <xf numFmtId="0" fontId="2" fillId="4" borderId="20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18" zoomScale="85" zoomScaleNormal="85" workbookViewId="0">
      <selection activeCell="A21" sqref="A21"/>
    </sheetView>
  </sheetViews>
  <sheetFormatPr defaultColWidth="9.1796875" defaultRowHeight="14.5"/>
  <cols>
    <col min="1" max="1" width="8.7265625" style="62"/>
    <col min="2" max="2" width="14.26953125" style="62" customWidth="1"/>
    <col min="3" max="3" width="68.7265625" style="62" customWidth="1"/>
    <col min="4" max="4" width="28.26953125" style="62" customWidth="1"/>
    <col min="5" max="5" width="10.54296875" style="62" customWidth="1"/>
    <col min="6" max="6" width="28.54296875" style="63" customWidth="1"/>
    <col min="7" max="7" width="4.26953125" style="62" customWidth="1"/>
    <col min="8" max="9" width="4.7265625" style="62" customWidth="1"/>
    <col min="10" max="10" width="18.54296875" style="62" customWidth="1"/>
    <col min="11" max="11" width="15.453125" style="62" customWidth="1"/>
    <col min="12" max="12" width="8.7265625" style="62"/>
    <col min="13" max="14" width="13.26953125" style="62" customWidth="1"/>
    <col min="15" max="15" width="31.54296875" style="62" customWidth="1"/>
    <col min="16" max="16" width="8.7265625" customWidth="1"/>
    <col min="18" max="18" width="13.26953125" customWidth="1"/>
    <col min="19" max="20" width="14.26953125" customWidth="1"/>
  </cols>
  <sheetData>
    <row r="1" spans="2:20" hidden="1"/>
    <row r="2" spans="2:20" ht="25.5" hidden="1">
      <c r="C2" s="153" t="s">
        <v>0</v>
      </c>
      <c r="D2" s="154"/>
      <c r="E2" s="154"/>
      <c r="F2" s="155"/>
    </row>
    <row r="3" spans="2:20" hidden="1">
      <c r="C3" s="62">
        <v>1</v>
      </c>
      <c r="D3" s="62">
        <v>2</v>
      </c>
      <c r="E3" s="62">
        <v>3</v>
      </c>
      <c r="F3" s="64">
        <v>4</v>
      </c>
      <c r="G3" s="62">
        <v>5</v>
      </c>
      <c r="H3" s="62">
        <v>6</v>
      </c>
      <c r="I3" s="62">
        <v>7</v>
      </c>
    </row>
    <row r="4" spans="2:20" ht="29" hidden="1">
      <c r="C4" s="65"/>
      <c r="D4" s="66" t="s">
        <v>1</v>
      </c>
      <c r="E4" s="146" t="s">
        <v>2</v>
      </c>
      <c r="F4" s="147" t="s">
        <v>3</v>
      </c>
      <c r="G4" s="67"/>
      <c r="H4" s="68"/>
      <c r="I4" s="92"/>
      <c r="J4" s="69"/>
      <c r="K4" s="123" t="s">
        <v>4</v>
      </c>
      <c r="L4" s="69"/>
      <c r="M4" s="69" t="s">
        <v>5</v>
      </c>
      <c r="N4" s="92"/>
      <c r="O4" s="124" t="s">
        <v>6</v>
      </c>
      <c r="P4" s="148" t="s">
        <v>2</v>
      </c>
      <c r="Q4" s="131" t="s">
        <v>7</v>
      </c>
      <c r="R4" s="131" t="s">
        <v>8</v>
      </c>
      <c r="S4" s="132" t="s">
        <v>9</v>
      </c>
      <c r="T4" s="133"/>
    </row>
    <row r="5" spans="2:20" hidden="1">
      <c r="B5" s="69"/>
      <c r="C5" s="70" t="s">
        <v>10</v>
      </c>
      <c r="D5" s="71">
        <v>1</v>
      </c>
      <c r="E5" s="72">
        <v>0.3</v>
      </c>
      <c r="F5" s="73">
        <v>0.2</v>
      </c>
      <c r="G5" s="74"/>
      <c r="I5" s="69"/>
      <c r="J5" s="69"/>
      <c r="K5" s="123" t="s">
        <v>11</v>
      </c>
      <c r="L5" s="69"/>
      <c r="M5" s="69" t="s">
        <v>12</v>
      </c>
      <c r="N5" s="69"/>
      <c r="O5" s="70" t="s">
        <v>10</v>
      </c>
      <c r="P5" s="7">
        <v>0.3</v>
      </c>
      <c r="Q5" s="8">
        <v>3.1</v>
      </c>
      <c r="R5" s="9">
        <v>0.7</v>
      </c>
      <c r="S5" s="134">
        <v>0.41</v>
      </c>
      <c r="T5" s="4"/>
    </row>
    <row r="6" spans="2:20" hidden="1">
      <c r="B6" s="69"/>
      <c r="C6" s="70" t="s">
        <v>13</v>
      </c>
      <c r="D6" s="71">
        <v>1</v>
      </c>
      <c r="E6" s="72">
        <v>0.66669999999999996</v>
      </c>
      <c r="F6" s="73">
        <v>0.2</v>
      </c>
      <c r="G6" s="74"/>
      <c r="I6" s="69"/>
      <c r="J6" s="69"/>
      <c r="K6" s="123" t="s">
        <v>14</v>
      </c>
      <c r="L6" s="69"/>
      <c r="M6" s="69" t="s">
        <v>15</v>
      </c>
      <c r="N6" s="69"/>
      <c r="O6" s="70" t="s">
        <v>13</v>
      </c>
      <c r="P6" s="7">
        <v>0.66669999999999996</v>
      </c>
      <c r="Q6" s="8">
        <v>3.1</v>
      </c>
      <c r="R6" s="9">
        <v>0.7</v>
      </c>
      <c r="S6" s="134">
        <v>0.41</v>
      </c>
      <c r="T6" s="4"/>
    </row>
    <row r="7" spans="2:20" hidden="1">
      <c r="B7" s="69"/>
      <c r="C7" s="75" t="s">
        <v>16</v>
      </c>
      <c r="D7" s="71">
        <v>1</v>
      </c>
      <c r="E7" s="72">
        <v>0.15</v>
      </c>
      <c r="F7" s="73">
        <v>0.2</v>
      </c>
      <c r="G7" s="74"/>
      <c r="I7" s="69"/>
      <c r="J7" s="69"/>
      <c r="K7" s="123" t="s">
        <v>17</v>
      </c>
      <c r="L7" s="69"/>
      <c r="M7" s="69" t="s">
        <v>18</v>
      </c>
      <c r="N7" s="92"/>
      <c r="O7" s="75" t="s">
        <v>16</v>
      </c>
      <c r="P7" s="7">
        <v>0.15</v>
      </c>
      <c r="Q7" s="8">
        <v>3.1</v>
      </c>
      <c r="R7" s="9">
        <v>0.7</v>
      </c>
      <c r="S7" s="134">
        <v>0.41</v>
      </c>
      <c r="T7" s="4"/>
    </row>
    <row r="8" spans="2:20" hidden="1">
      <c r="B8" s="69"/>
      <c r="C8" s="75" t="s">
        <v>19</v>
      </c>
      <c r="D8" s="71">
        <v>1</v>
      </c>
      <c r="E8" s="72">
        <v>0.3</v>
      </c>
      <c r="F8" s="73">
        <v>0.2</v>
      </c>
      <c r="G8" s="74"/>
      <c r="I8" s="69"/>
      <c r="J8" s="69"/>
      <c r="K8" s="123" t="s">
        <v>20</v>
      </c>
      <c r="L8" s="69"/>
      <c r="M8" s="69" t="s">
        <v>21</v>
      </c>
      <c r="N8" s="69"/>
      <c r="O8" s="75" t="s">
        <v>19</v>
      </c>
      <c r="P8" s="7">
        <v>0.3</v>
      </c>
      <c r="Q8" s="8">
        <v>3.1</v>
      </c>
      <c r="R8" s="9">
        <v>0.7</v>
      </c>
      <c r="S8" s="134">
        <v>0.41</v>
      </c>
      <c r="T8" s="4"/>
    </row>
    <row r="9" spans="2:20" hidden="1">
      <c r="B9" s="69"/>
      <c r="C9" s="75" t="s">
        <v>22</v>
      </c>
      <c r="D9" s="71">
        <v>1</v>
      </c>
      <c r="E9" s="72">
        <v>0.2767</v>
      </c>
      <c r="F9" s="73">
        <v>0.2</v>
      </c>
      <c r="G9" s="74"/>
      <c r="I9" s="69"/>
      <c r="K9" s="123" t="s">
        <v>23</v>
      </c>
      <c r="M9" s="69" t="s">
        <v>24</v>
      </c>
      <c r="O9" s="75" t="s">
        <v>22</v>
      </c>
      <c r="P9" s="7">
        <v>0.2767</v>
      </c>
      <c r="Q9" s="8">
        <v>3.1</v>
      </c>
      <c r="R9" s="9">
        <v>0.7</v>
      </c>
      <c r="S9" s="134">
        <v>0.41</v>
      </c>
    </row>
    <row r="10" spans="2:20" hidden="1">
      <c r="B10" s="69"/>
      <c r="C10" s="76" t="s">
        <v>24</v>
      </c>
      <c r="D10" s="77">
        <v>1</v>
      </c>
      <c r="E10" s="78">
        <v>1</v>
      </c>
      <c r="F10" s="79">
        <v>0.68</v>
      </c>
      <c r="G10" s="74"/>
      <c r="I10" s="69"/>
      <c r="J10" s="69"/>
      <c r="K10" s="119"/>
      <c r="M10" s="69" t="s">
        <v>25</v>
      </c>
      <c r="O10" s="76" t="s">
        <v>24</v>
      </c>
      <c r="P10" s="78">
        <v>1</v>
      </c>
      <c r="Q10" s="135">
        <v>0</v>
      </c>
      <c r="R10" s="136">
        <v>0.41</v>
      </c>
      <c r="S10" s="137">
        <v>0</v>
      </c>
    </row>
    <row r="11" spans="2:20" hidden="1">
      <c r="B11" s="69"/>
      <c r="C11" s="80" t="s">
        <v>26</v>
      </c>
      <c r="D11" s="81">
        <v>0.75</v>
      </c>
      <c r="E11" s="82">
        <v>0.55000000000000004</v>
      </c>
      <c r="F11" s="83">
        <v>0.25</v>
      </c>
      <c r="G11" s="74"/>
      <c r="I11" s="69"/>
      <c r="J11" s="69"/>
      <c r="K11" s="93"/>
      <c r="M11" s="69" t="s">
        <v>27</v>
      </c>
      <c r="O11" s="70" t="s">
        <v>26</v>
      </c>
      <c r="P11" s="82">
        <v>1</v>
      </c>
      <c r="Q11" s="138">
        <v>3.79</v>
      </c>
      <c r="R11" s="139">
        <v>0</v>
      </c>
      <c r="S11" s="140">
        <v>0.04</v>
      </c>
    </row>
    <row r="12" spans="2:20" hidden="1">
      <c r="B12" s="69"/>
      <c r="C12" s="80" t="s">
        <v>28</v>
      </c>
      <c r="D12" s="81">
        <v>0.75</v>
      </c>
      <c r="E12" s="82">
        <v>0.44</v>
      </c>
      <c r="F12" s="83">
        <v>0.25</v>
      </c>
      <c r="G12" s="74"/>
      <c r="I12" s="69"/>
      <c r="J12" s="69"/>
      <c r="K12" s="93"/>
      <c r="M12" s="69" t="s">
        <v>29</v>
      </c>
      <c r="O12" s="70" t="s">
        <v>28</v>
      </c>
      <c r="P12" s="82">
        <v>1</v>
      </c>
      <c r="Q12" s="138">
        <v>0</v>
      </c>
      <c r="R12" s="139">
        <v>0</v>
      </c>
      <c r="S12" s="140">
        <v>0</v>
      </c>
    </row>
    <row r="13" spans="2:20" hidden="1">
      <c r="B13" s="69"/>
      <c r="C13" s="80" t="s">
        <v>30</v>
      </c>
      <c r="D13" s="81">
        <v>0.73</v>
      </c>
      <c r="E13" s="82">
        <v>1</v>
      </c>
      <c r="F13" s="83">
        <v>0.28000000000000003</v>
      </c>
      <c r="G13" s="74"/>
      <c r="I13" s="69"/>
      <c r="J13" s="69"/>
      <c r="K13" s="121"/>
      <c r="M13" s="69" t="s">
        <v>31</v>
      </c>
      <c r="O13" s="70" t="s">
        <v>30</v>
      </c>
      <c r="P13" s="82">
        <v>1</v>
      </c>
      <c r="Q13" s="138">
        <v>3.3</v>
      </c>
      <c r="R13" s="139">
        <v>0</v>
      </c>
      <c r="S13" s="140">
        <v>0</v>
      </c>
    </row>
    <row r="14" spans="2:20" hidden="1">
      <c r="B14" s="69"/>
      <c r="C14" s="84" t="s">
        <v>32</v>
      </c>
      <c r="D14" s="85">
        <v>1</v>
      </c>
      <c r="E14" s="86">
        <v>0.5</v>
      </c>
      <c r="F14" s="87">
        <v>1</v>
      </c>
      <c r="G14" s="74"/>
      <c r="I14" s="69"/>
      <c r="O14" s="125" t="s">
        <v>32</v>
      </c>
      <c r="P14" s="86">
        <v>0.5</v>
      </c>
      <c r="Q14" s="141">
        <v>0</v>
      </c>
      <c r="R14" s="142">
        <v>0</v>
      </c>
      <c r="S14" s="143">
        <v>0</v>
      </c>
    </row>
    <row r="15" spans="2:20" hidden="1">
      <c r="B15" s="69"/>
      <c r="C15" s="80" t="s">
        <v>33</v>
      </c>
      <c r="D15" s="88">
        <v>1</v>
      </c>
      <c r="E15" s="89">
        <v>0.33</v>
      </c>
      <c r="F15" s="90">
        <v>1</v>
      </c>
      <c r="G15" s="74"/>
      <c r="I15" s="69"/>
      <c r="O15" s="125"/>
      <c r="P15" s="13"/>
      <c r="Q15" s="14"/>
      <c r="R15" s="15"/>
      <c r="S15" s="39"/>
    </row>
    <row r="16" spans="2:20" hidden="1">
      <c r="B16" s="69"/>
      <c r="C16" s="80" t="s">
        <v>34</v>
      </c>
      <c r="D16" s="81">
        <v>1</v>
      </c>
      <c r="E16" s="82">
        <v>0.27800000000000002</v>
      </c>
      <c r="F16" s="91">
        <v>1</v>
      </c>
      <c r="G16" s="74"/>
      <c r="I16" s="69"/>
      <c r="O16" s="125" t="s">
        <v>35</v>
      </c>
      <c r="P16" s="13">
        <v>0.33</v>
      </c>
      <c r="Q16" s="14">
        <v>0</v>
      </c>
      <c r="R16" s="15">
        <v>0</v>
      </c>
      <c r="S16" s="39">
        <v>0</v>
      </c>
    </row>
    <row r="17" spans="2:20" hidden="1">
      <c r="B17" s="69"/>
      <c r="C17" s="80" t="s">
        <v>36</v>
      </c>
      <c r="D17" s="81">
        <v>0.5</v>
      </c>
      <c r="E17" s="82">
        <v>1</v>
      </c>
      <c r="F17" s="91">
        <v>0.5</v>
      </c>
      <c r="G17" s="74"/>
      <c r="I17" s="69"/>
      <c r="O17" s="92"/>
      <c r="P17" s="36"/>
      <c r="Q17" s="144"/>
      <c r="S17" s="4"/>
    </row>
    <row r="18" spans="2:20">
      <c r="B18" s="69"/>
      <c r="C18" s="92" t="s">
        <v>136</v>
      </c>
      <c r="D18" s="69"/>
      <c r="E18" s="93"/>
      <c r="F18" s="94"/>
      <c r="G18" s="74"/>
      <c r="I18" s="69"/>
      <c r="O18" s="92"/>
      <c r="P18" s="36"/>
      <c r="Q18" s="144"/>
      <c r="S18" s="4"/>
    </row>
    <row r="19" spans="2:20" ht="15">
      <c r="C19" s="95" t="s">
        <v>37</v>
      </c>
      <c r="D19" s="96" t="s">
        <v>38</v>
      </c>
      <c r="E19" s="97"/>
      <c r="F19" s="98"/>
    </row>
    <row r="20" spans="2:20">
      <c r="C20" s="99" t="s">
        <v>39</v>
      </c>
      <c r="D20" s="100" t="s">
        <v>40</v>
      </c>
      <c r="E20" s="101"/>
      <c r="F20" s="102"/>
    </row>
    <row r="21" spans="2:20" ht="15.4" customHeight="1">
      <c r="C21" s="103"/>
      <c r="D21" s="156"/>
      <c r="E21" s="157"/>
      <c r="F21" s="158"/>
    </row>
    <row r="22" spans="2:20">
      <c r="C22" s="103" t="s">
        <v>41</v>
      </c>
      <c r="D22" s="104" t="s">
        <v>11</v>
      </c>
      <c r="E22" s="105">
        <f>IF(D22=$K$4,(VLOOKUP(D24,$C$5:$F$17,2,FALSE)),(VLOOKUP(D24,$C$5:$F$17,4,FALSE)))</f>
        <v>0.2</v>
      </c>
      <c r="F22" s="106">
        <v>0</v>
      </c>
      <c r="R22">
        <v>0.25</v>
      </c>
      <c r="S22" s="127">
        <v>0.8</v>
      </c>
      <c r="T22" s="145">
        <f>S22*R22</f>
        <v>0.2</v>
      </c>
    </row>
    <row r="23" spans="2:20" ht="27">
      <c r="C23" s="107" t="s">
        <v>42</v>
      </c>
      <c r="D23" s="108" t="s">
        <v>43</v>
      </c>
      <c r="E23" s="71"/>
      <c r="F23" s="106">
        <v>0</v>
      </c>
      <c r="H23" s="161" t="s">
        <v>44</v>
      </c>
      <c r="I23" s="162"/>
      <c r="J23" s="126" t="s">
        <v>45</v>
      </c>
      <c r="M23" s="127">
        <v>6120468.8899999997</v>
      </c>
      <c r="N23" s="128">
        <f>M23*0.55*0.25</f>
        <v>841564.47237500001</v>
      </c>
      <c r="S23">
        <v>5.6</v>
      </c>
      <c r="T23">
        <f>S23/R22</f>
        <v>22.4</v>
      </c>
    </row>
    <row r="24" spans="2:20">
      <c r="C24" s="103" t="s">
        <v>46</v>
      </c>
      <c r="D24" s="109" t="s">
        <v>10</v>
      </c>
      <c r="E24" s="110">
        <f>VLOOKUP(D24,$C$4:$F$17,3,FALSE)</f>
        <v>0.3</v>
      </c>
      <c r="F24" s="111">
        <f>(F22-F23)*E24*E22</f>
        <v>0</v>
      </c>
      <c r="H24" s="163"/>
      <c r="I24" s="164"/>
      <c r="J24" s="129" t="s">
        <v>47</v>
      </c>
    </row>
    <row r="25" spans="2:20" ht="27">
      <c r="C25" s="107" t="s">
        <v>48</v>
      </c>
    </row>
    <row r="26" spans="2:20" ht="13.5" customHeight="1">
      <c r="C26" s="103" t="s">
        <v>49</v>
      </c>
      <c r="D26" s="97" t="s">
        <v>50</v>
      </c>
      <c r="E26" s="97"/>
      <c r="F26" s="98"/>
      <c r="S26">
        <v>0.55000000000000004</v>
      </c>
      <c r="T26">
        <v>5.8</v>
      </c>
    </row>
    <row r="27" spans="2:20">
      <c r="C27" s="103" t="s">
        <v>51</v>
      </c>
      <c r="D27" s="101" t="s">
        <v>52</v>
      </c>
      <c r="E27" s="101"/>
      <c r="F27" s="102"/>
      <c r="T27">
        <f>T26*S26</f>
        <v>3.19</v>
      </c>
    </row>
    <row r="28" spans="2:20">
      <c r="C28" s="103" t="s">
        <v>53</v>
      </c>
      <c r="D28" s="112" t="s">
        <v>17</v>
      </c>
      <c r="E28" s="71">
        <f>IF(D28=$K$7,(VLOOKUP(D31,$O$4:$S$16,3,FALSE)),IF(D28=$K$8,(VLOOKUP(D31,$O$4:S$16,4,FALSE)),(VLOOKUP(D31,$O$4:S$16,5,FALSE))))</f>
        <v>3.1</v>
      </c>
      <c r="F28" s="106">
        <v>37.229999999999997</v>
      </c>
      <c r="K28" s="128">
        <f>F22*K30</f>
        <v>0</v>
      </c>
    </row>
    <row r="29" spans="2:20">
      <c r="C29" s="103" t="s">
        <v>54</v>
      </c>
      <c r="D29" s="113" t="s">
        <v>55</v>
      </c>
      <c r="E29" s="105">
        <f>(VLOOKUP(D31,$C$5:$F$16,3,FALSE))</f>
        <v>0.3</v>
      </c>
      <c r="F29" s="106">
        <v>7</v>
      </c>
    </row>
    <row r="30" spans="2:20">
      <c r="C30" s="103" t="s">
        <v>56</v>
      </c>
      <c r="D30" s="114" t="s">
        <v>43</v>
      </c>
      <c r="E30" s="105">
        <f>(VLOOKUP(D31,$C$5:$F$16,4,FALSE))</f>
        <v>0.2</v>
      </c>
      <c r="F30" s="106">
        <v>0</v>
      </c>
      <c r="K30" s="130">
        <f>E24*E22</f>
        <v>0.06</v>
      </c>
    </row>
    <row r="31" spans="2:20" ht="40">
      <c r="C31" s="107" t="s">
        <v>57</v>
      </c>
      <c r="D31" s="115" t="s">
        <v>10</v>
      </c>
      <c r="E31" s="110">
        <f>VLOOKUP(D31,$O$4:$S$16,2,FALSE)</f>
        <v>0.3</v>
      </c>
      <c r="F31" s="116">
        <f>(((F29/365)*F28*E31*E28)*1000)-(F30*E30*E29)</f>
        <v>664.02</v>
      </c>
      <c r="G31" s="117"/>
      <c r="J31" s="117">
        <f>F31*1000</f>
        <v>664020</v>
      </c>
      <c r="R31" s="127">
        <v>2000000</v>
      </c>
      <c r="S31" s="145">
        <f>R31/0.25/0.55</f>
        <v>14545454.545454545</v>
      </c>
      <c r="T31" s="145">
        <f>S31*0.55</f>
        <v>8000000</v>
      </c>
    </row>
    <row r="32" spans="2:20" ht="13.5" customHeight="1">
      <c r="C32" s="103" t="s">
        <v>58</v>
      </c>
      <c r="N32">
        <v>6120468.8899999997</v>
      </c>
    </row>
    <row r="33" spans="3:7" ht="8.65" customHeight="1">
      <c r="C33" s="118"/>
      <c r="D33" s="92"/>
      <c r="E33" s="69"/>
      <c r="F33" s="94"/>
      <c r="G33" s="119"/>
    </row>
    <row r="34" spans="3:7" ht="7.5" customHeight="1">
      <c r="D34" s="69"/>
      <c r="E34" s="69"/>
      <c r="F34" s="94"/>
      <c r="G34" s="93"/>
    </row>
    <row r="35" spans="3:7" ht="10.9" customHeight="1">
      <c r="D35" s="120"/>
      <c r="E35" s="69"/>
      <c r="F35" s="94"/>
      <c r="G35" s="93"/>
    </row>
    <row r="36" spans="3:7" ht="8.65" customHeight="1">
      <c r="D36" s="92"/>
      <c r="E36" s="69"/>
      <c r="F36" s="94"/>
      <c r="G36" s="121"/>
    </row>
    <row r="37" spans="3:7" ht="12.65" customHeight="1">
      <c r="C37" s="159" t="s">
        <v>59</v>
      </c>
      <c r="F37" s="122"/>
    </row>
    <row r="38" spans="3:7">
      <c r="C38" s="160"/>
      <c r="D38" s="92"/>
      <c r="E38" s="69"/>
      <c r="F38" s="94"/>
      <c r="G38" s="119"/>
    </row>
    <row r="39" spans="3:7">
      <c r="D39" s="69"/>
      <c r="E39" s="69"/>
      <c r="F39" s="94"/>
      <c r="G39" s="93"/>
    </row>
    <row r="40" spans="3:7">
      <c r="D40" s="120"/>
      <c r="E40" s="69"/>
      <c r="F40" s="94"/>
      <c r="G40" s="93"/>
    </row>
    <row r="41" spans="3:7">
      <c r="D41" s="92"/>
      <c r="E41" s="69"/>
      <c r="F41" s="94"/>
      <c r="G41" s="121"/>
    </row>
    <row r="42" spans="3:7">
      <c r="D42" s="69"/>
      <c r="E42" s="69"/>
      <c r="F42" s="94"/>
      <c r="G42" s="93"/>
    </row>
  </sheetData>
  <sheetProtection selectLockedCells="1"/>
  <mergeCells count="4">
    <mergeCell ref="C2:F2"/>
    <mergeCell ref="D21:F21"/>
    <mergeCell ref="C37:C38"/>
    <mergeCell ref="H23:I24"/>
  </mergeCells>
  <dataValidations count="4">
    <dataValidation type="list" allowBlank="1" showInputMessage="1" showErrorMessage="1" sqref="D22" xr:uid="{00000000-0002-0000-0000-000000000000}">
      <formula1>$K$4:$K$5</formula1>
    </dataValidation>
    <dataValidation type="list" allowBlank="1" showInputMessage="1" showErrorMessage="1" sqref="D24" xr:uid="{00000000-0002-0000-0000-000001000000}">
      <formula1>$C$5:$C$17</formula1>
    </dataValidation>
    <dataValidation type="list" allowBlank="1" showInputMessage="1" showErrorMessage="1" sqref="D28" xr:uid="{00000000-0002-0000-0000-000002000000}">
      <formula1>$K$7:$K$9</formula1>
    </dataValidation>
    <dataValidation type="list" allowBlank="1" showInputMessage="1" showErrorMessage="1" sqref="D31 D36 D41" xr:uid="{00000000-0002-0000-0000-000003000000}">
      <formula1>$C$5:$C$16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6"/>
  <sheetViews>
    <sheetView topLeftCell="A10" zoomScale="70" zoomScaleNormal="70" workbookViewId="0">
      <selection activeCell="D56" sqref="D56"/>
    </sheetView>
  </sheetViews>
  <sheetFormatPr defaultColWidth="20.7265625" defaultRowHeight="13"/>
  <cols>
    <col min="1" max="1" width="8.7265625" style="4" customWidth="1"/>
    <col min="2" max="2" width="26.7265625" style="4" customWidth="1"/>
    <col min="3" max="3" width="12" style="4" customWidth="1"/>
    <col min="4" max="6" width="20.7265625" style="4"/>
    <col min="7" max="7" width="26.7265625" style="4" customWidth="1"/>
    <col min="8" max="8" width="20.7265625" style="4"/>
    <col min="9" max="9" width="15.26953125" style="4" customWidth="1"/>
    <col min="10" max="10" width="12.81640625" style="4" customWidth="1"/>
    <col min="11" max="16384" width="20.7265625" style="4"/>
  </cols>
  <sheetData>
    <row r="2" spans="2:11">
      <c r="B2" s="16" t="s">
        <v>60</v>
      </c>
      <c r="C2" s="51" t="s">
        <v>61</v>
      </c>
      <c r="D2" s="149" t="s">
        <v>62</v>
      </c>
      <c r="G2" s="16" t="s">
        <v>63</v>
      </c>
      <c r="H2" s="51" t="s">
        <v>61</v>
      </c>
      <c r="I2" s="149" t="s">
        <v>62</v>
      </c>
    </row>
    <row r="3" spans="2:11">
      <c r="B3" s="24" t="s">
        <v>64</v>
      </c>
      <c r="C3" s="6"/>
      <c r="D3" s="26">
        <v>5</v>
      </c>
      <c r="G3" s="24" t="s">
        <v>65</v>
      </c>
      <c r="H3" s="44">
        <v>1</v>
      </c>
      <c r="I3" s="35"/>
    </row>
    <row r="4" spans="2:11" ht="26">
      <c r="B4" s="24" t="s">
        <v>66</v>
      </c>
      <c r="C4" s="6">
        <v>0.97</v>
      </c>
      <c r="D4" s="43">
        <f>D3*C4</f>
        <v>4.8499999999999996</v>
      </c>
      <c r="G4" s="29" t="s">
        <v>67</v>
      </c>
      <c r="H4" s="44">
        <v>365</v>
      </c>
      <c r="I4" s="60"/>
    </row>
    <row r="5" spans="2:11">
      <c r="B5" s="5" t="s">
        <v>68</v>
      </c>
      <c r="C5" s="6">
        <v>0.3</v>
      </c>
      <c r="D5" s="49">
        <f>D4*C5</f>
        <v>1.4549999999999998</v>
      </c>
      <c r="G5" s="24" t="s">
        <v>69</v>
      </c>
      <c r="H5" s="6">
        <v>0.63</v>
      </c>
      <c r="I5" s="60">
        <f>(H4/365)*H5*H3</f>
        <v>0.63</v>
      </c>
    </row>
    <row r="6" spans="2:11">
      <c r="B6" s="5" t="s">
        <v>70</v>
      </c>
      <c r="C6" s="6">
        <v>0.66669999999999996</v>
      </c>
      <c r="D6" s="49">
        <f>D4*C6</f>
        <v>3.2334949999999996</v>
      </c>
      <c r="G6" s="5" t="s">
        <v>68</v>
      </c>
      <c r="H6" s="6">
        <v>0.3</v>
      </c>
      <c r="I6" s="54">
        <f>I5*H6</f>
        <v>0.189</v>
      </c>
    </row>
    <row r="7" spans="2:11" ht="26">
      <c r="B7" s="10" t="s">
        <v>71</v>
      </c>
      <c r="C7" s="6">
        <v>0.15</v>
      </c>
      <c r="D7" s="49">
        <f>D4*C7</f>
        <v>0.72749999999999992</v>
      </c>
      <c r="G7" s="5" t="s">
        <v>70</v>
      </c>
      <c r="H7" s="6">
        <v>0.66669999999999996</v>
      </c>
      <c r="I7" s="54">
        <f>I5*H7</f>
        <v>0.42002099999999998</v>
      </c>
      <c r="K7" s="5" t="s">
        <v>68</v>
      </c>
    </row>
    <row r="8" spans="2:11" ht="26">
      <c r="B8" s="10" t="s">
        <v>72</v>
      </c>
      <c r="C8" s="6">
        <v>0.3</v>
      </c>
      <c r="D8" s="49">
        <f>D4*C8</f>
        <v>1.4549999999999998</v>
      </c>
      <c r="G8" s="10" t="s">
        <v>71</v>
      </c>
      <c r="H8" s="6">
        <v>0.15</v>
      </c>
      <c r="I8" s="54">
        <f>I5*H8</f>
        <v>9.4500000000000001E-2</v>
      </c>
      <c r="K8" s="5" t="s">
        <v>70</v>
      </c>
    </row>
    <row r="9" spans="2:11" ht="26">
      <c r="B9" s="52" t="s">
        <v>73</v>
      </c>
      <c r="C9" s="12">
        <v>0.2767</v>
      </c>
      <c r="D9" s="28">
        <f>D4*C9</f>
        <v>1.3419949999999998</v>
      </c>
      <c r="G9" s="10" t="s">
        <v>72</v>
      </c>
      <c r="H9" s="6">
        <v>0.3</v>
      </c>
      <c r="I9" s="54">
        <f>I5*H9</f>
        <v>0.189</v>
      </c>
      <c r="K9" s="10" t="s">
        <v>71</v>
      </c>
    </row>
    <row r="10" spans="2:11" ht="26">
      <c r="B10" s="34"/>
      <c r="D10" s="34"/>
      <c r="G10" s="52" t="s">
        <v>73</v>
      </c>
      <c r="H10" s="12">
        <v>0.2767</v>
      </c>
      <c r="I10" s="55">
        <f>I5*H10</f>
        <v>0.174321</v>
      </c>
      <c r="K10" s="10" t="s">
        <v>72</v>
      </c>
    </row>
    <row r="11" spans="2:11" ht="26">
      <c r="K11" s="52" t="s">
        <v>73</v>
      </c>
    </row>
    <row r="13" spans="2:11">
      <c r="B13" s="16" t="s">
        <v>74</v>
      </c>
      <c r="C13" s="51" t="s">
        <v>61</v>
      </c>
      <c r="D13" s="149" t="s">
        <v>62</v>
      </c>
    </row>
    <row r="14" spans="2:11">
      <c r="B14" s="24" t="s">
        <v>75</v>
      </c>
      <c r="C14" s="6"/>
      <c r="D14" s="53">
        <v>39.6</v>
      </c>
      <c r="G14" s="16" t="s">
        <v>76</v>
      </c>
      <c r="H14" s="51" t="s">
        <v>61</v>
      </c>
      <c r="I14" s="149" t="s">
        <v>62</v>
      </c>
    </row>
    <row r="15" spans="2:11">
      <c r="B15" s="24" t="s">
        <v>77</v>
      </c>
      <c r="C15" s="6">
        <v>0.87</v>
      </c>
      <c r="D15" s="35">
        <f>D14*C15</f>
        <v>34.451999999999998</v>
      </c>
      <c r="G15" s="24" t="s">
        <v>78</v>
      </c>
      <c r="H15" s="44">
        <v>1</v>
      </c>
      <c r="I15" s="35"/>
    </row>
    <row r="16" spans="2:11" ht="26">
      <c r="B16" s="5" t="s">
        <v>68</v>
      </c>
      <c r="C16" s="6">
        <v>0.3</v>
      </c>
      <c r="D16" s="54">
        <f>D15*C16</f>
        <v>10.335599999999999</v>
      </c>
      <c r="G16" s="29" t="s">
        <v>67</v>
      </c>
      <c r="H16" s="44">
        <v>365</v>
      </c>
      <c r="I16" s="35"/>
    </row>
    <row r="17" spans="2:9">
      <c r="B17" s="5" t="s">
        <v>70</v>
      </c>
      <c r="C17" s="6">
        <v>0.66669999999999996</v>
      </c>
      <c r="D17" s="54">
        <f>D15*C17</f>
        <v>22.969148399999998</v>
      </c>
      <c r="G17" s="24" t="s">
        <v>79</v>
      </c>
      <c r="H17" s="6">
        <v>0.38800000000000001</v>
      </c>
      <c r="I17" s="60">
        <f>(H16/365)*H17*H15</f>
        <v>0.38800000000000001</v>
      </c>
    </row>
    <row r="18" spans="2:9" ht="26">
      <c r="B18" s="10" t="s">
        <v>71</v>
      </c>
      <c r="C18" s="6">
        <v>0.15</v>
      </c>
      <c r="D18" s="54">
        <f>D15*C18</f>
        <v>5.1677999999999997</v>
      </c>
      <c r="G18" s="5" t="s">
        <v>68</v>
      </c>
      <c r="H18" s="6">
        <v>0.3</v>
      </c>
      <c r="I18" s="54">
        <f>I17*H18</f>
        <v>0.1164</v>
      </c>
    </row>
    <row r="19" spans="2:9" ht="26">
      <c r="B19" s="10" t="s">
        <v>72</v>
      </c>
      <c r="C19" s="6">
        <v>0.3</v>
      </c>
      <c r="D19" s="54">
        <f>D15*C19</f>
        <v>10.335599999999999</v>
      </c>
      <c r="G19" s="5" t="s">
        <v>70</v>
      </c>
      <c r="H19" s="6">
        <v>0.66669999999999996</v>
      </c>
      <c r="I19" s="54">
        <f>I17*H19</f>
        <v>0.25867960000000001</v>
      </c>
    </row>
    <row r="20" spans="2:9" ht="26">
      <c r="B20" s="52" t="s">
        <v>73</v>
      </c>
      <c r="C20" s="12">
        <v>0.2767</v>
      </c>
      <c r="D20" s="55">
        <f>D15*C20</f>
        <v>9.5328683999999999</v>
      </c>
      <c r="G20" s="10" t="s">
        <v>71</v>
      </c>
      <c r="H20" s="6">
        <v>0.15</v>
      </c>
      <c r="I20" s="54">
        <f>I17*H20</f>
        <v>5.8200000000000002E-2</v>
      </c>
    </row>
    <row r="21" spans="2:9" ht="26">
      <c r="B21" s="34"/>
      <c r="D21" s="34"/>
      <c r="G21" s="10" t="s">
        <v>72</v>
      </c>
      <c r="H21" s="6">
        <v>0.3</v>
      </c>
      <c r="I21" s="54">
        <f>I17*H21</f>
        <v>0.1164</v>
      </c>
    </row>
    <row r="22" spans="2:9" ht="26">
      <c r="G22" s="52" t="s">
        <v>73</v>
      </c>
      <c r="H22" s="12">
        <v>0.2767</v>
      </c>
      <c r="I22" s="55">
        <f>I17*H22</f>
        <v>0.1073596</v>
      </c>
    </row>
    <row r="23" spans="2:9">
      <c r="B23" s="40" t="s">
        <v>44</v>
      </c>
      <c r="C23" s="41"/>
      <c r="D23" s="42" t="s">
        <v>80</v>
      </c>
    </row>
    <row r="24" spans="2:9">
      <c r="B24" s="46"/>
      <c r="C24" s="47"/>
      <c r="D24" s="48" t="s">
        <v>47</v>
      </c>
    </row>
    <row r="25" spans="2:9">
      <c r="G25" s="16" t="s">
        <v>81</v>
      </c>
      <c r="H25" s="56" t="s">
        <v>61</v>
      </c>
      <c r="I25" s="150" t="s">
        <v>62</v>
      </c>
    </row>
    <row r="26" spans="2:9">
      <c r="G26" s="5" t="s">
        <v>82</v>
      </c>
      <c r="H26" s="57">
        <v>5</v>
      </c>
      <c r="I26" s="61"/>
    </row>
    <row r="27" spans="2:9" ht="26">
      <c r="G27" s="29" t="s">
        <v>67</v>
      </c>
      <c r="H27" s="57">
        <v>365</v>
      </c>
      <c r="I27" s="61"/>
    </row>
    <row r="28" spans="2:9">
      <c r="G28" s="5" t="s">
        <v>83</v>
      </c>
      <c r="H28" s="6">
        <v>15.65</v>
      </c>
      <c r="I28" s="60">
        <f>(H27/365)*H28*H26</f>
        <v>78.25</v>
      </c>
    </row>
    <row r="29" spans="2:9">
      <c r="G29" s="5" t="s">
        <v>84</v>
      </c>
      <c r="H29" s="6">
        <v>0.3</v>
      </c>
      <c r="I29" s="54">
        <f>I28*H29</f>
        <v>23.474999999999998</v>
      </c>
    </row>
    <row r="30" spans="2:9">
      <c r="G30" s="5" t="s">
        <v>70</v>
      </c>
      <c r="H30" s="6">
        <v>0.66669999999999996</v>
      </c>
      <c r="I30" s="54">
        <f>I28*H30</f>
        <v>52.169274999999999</v>
      </c>
    </row>
    <row r="31" spans="2:9" ht="26">
      <c r="G31" s="10" t="s">
        <v>71</v>
      </c>
      <c r="H31" s="6">
        <v>0.15</v>
      </c>
      <c r="I31" s="54">
        <f>I28*H31</f>
        <v>11.737499999999999</v>
      </c>
    </row>
    <row r="32" spans="2:9" ht="26">
      <c r="G32" s="10" t="s">
        <v>72</v>
      </c>
      <c r="H32" s="6">
        <v>0.3</v>
      </c>
      <c r="I32" s="54">
        <f>I28*H32</f>
        <v>23.474999999999998</v>
      </c>
    </row>
    <row r="33" spans="7:9" ht="26">
      <c r="G33" s="52" t="s">
        <v>73</v>
      </c>
      <c r="H33" s="12">
        <v>0.2767</v>
      </c>
      <c r="I33" s="55">
        <f>I28*H33</f>
        <v>21.651775000000001</v>
      </c>
    </row>
    <row r="35" spans="7:9">
      <c r="G35" s="58"/>
      <c r="H35" s="59"/>
    </row>
    <row r="36" spans="7:9">
      <c r="G36" s="59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29"/>
  <sheetViews>
    <sheetView zoomScale="80" zoomScaleNormal="80" workbookViewId="0">
      <selection activeCell="D56" sqref="D56"/>
    </sheetView>
  </sheetViews>
  <sheetFormatPr defaultColWidth="8.7265625" defaultRowHeight="13"/>
  <cols>
    <col min="1" max="1" width="8.7265625" style="4"/>
    <col min="2" max="2" width="25" style="4" customWidth="1"/>
    <col min="3" max="3" width="8.7265625" style="4"/>
    <col min="4" max="4" width="17.1796875" style="4" customWidth="1"/>
    <col min="5" max="5" width="6.81640625" style="4" customWidth="1"/>
    <col min="6" max="6" width="6.453125" style="4" customWidth="1"/>
    <col min="7" max="7" width="22.26953125" style="4" customWidth="1"/>
    <col min="8" max="8" width="8.7265625" style="4"/>
    <col min="9" max="9" width="12.1796875" style="4" customWidth="1"/>
    <col min="10" max="11" width="5.26953125" style="4" customWidth="1"/>
    <col min="12" max="12" width="25.81640625" style="4" customWidth="1"/>
    <col min="13" max="13" width="14" style="4" customWidth="1"/>
    <col min="14" max="14" width="10.81640625" style="4" customWidth="1"/>
    <col min="15" max="16384" width="8.7265625" style="4"/>
  </cols>
  <sheetData>
    <row r="3" spans="2:14">
      <c r="B3" s="16" t="s">
        <v>85</v>
      </c>
      <c r="C3" s="17" t="s">
        <v>61</v>
      </c>
      <c r="D3" s="149" t="s">
        <v>62</v>
      </c>
      <c r="G3" s="16" t="s">
        <v>86</v>
      </c>
      <c r="H3" s="17" t="s">
        <v>61</v>
      </c>
      <c r="I3" s="149" t="s">
        <v>62</v>
      </c>
      <c r="L3" s="16" t="s">
        <v>87</v>
      </c>
      <c r="M3" s="17" t="s">
        <v>61</v>
      </c>
      <c r="N3" s="149" t="s">
        <v>62</v>
      </c>
    </row>
    <row r="4" spans="2:14">
      <c r="B4" s="24" t="s">
        <v>64</v>
      </c>
      <c r="C4" s="6"/>
      <c r="D4" s="26">
        <v>1</v>
      </c>
      <c r="G4" s="24" t="s">
        <v>64</v>
      </c>
      <c r="H4" s="6"/>
      <c r="I4" s="26">
        <v>547.5</v>
      </c>
      <c r="L4" s="24" t="s">
        <v>64</v>
      </c>
      <c r="M4" s="6"/>
      <c r="N4" s="26">
        <v>547.5</v>
      </c>
    </row>
    <row r="5" spans="2:14">
      <c r="B5" s="24" t="s">
        <v>88</v>
      </c>
      <c r="C5" s="6">
        <v>0.67</v>
      </c>
      <c r="D5" s="43">
        <f>D4*C5</f>
        <v>0.67</v>
      </c>
      <c r="G5" s="24" t="s">
        <v>89</v>
      </c>
      <c r="H5" s="6">
        <v>0.61</v>
      </c>
      <c r="I5" s="43">
        <f>I4*H5</f>
        <v>333.97499999999997</v>
      </c>
      <c r="L5" s="24" t="s">
        <v>90</v>
      </c>
      <c r="M5" s="6">
        <v>1</v>
      </c>
      <c r="N5" s="43">
        <f>N4*M5</f>
        <v>547.5</v>
      </c>
    </row>
    <row r="6" spans="2:14">
      <c r="B6" s="5" t="s">
        <v>91</v>
      </c>
      <c r="C6" s="6">
        <v>0.55000000000000004</v>
      </c>
      <c r="D6" s="49">
        <f>D5*C6</f>
        <v>0.36850000000000005</v>
      </c>
      <c r="G6" s="11" t="s">
        <v>92</v>
      </c>
      <c r="H6" s="12">
        <v>0.4375</v>
      </c>
      <c r="I6" s="28">
        <f>I5*H6</f>
        <v>146.11406249999999</v>
      </c>
      <c r="L6" s="11" t="s">
        <v>92</v>
      </c>
      <c r="M6" s="12">
        <v>0.4375</v>
      </c>
      <c r="N6" s="28">
        <f>N5*M6</f>
        <v>239.53125</v>
      </c>
    </row>
    <row r="7" spans="2:14">
      <c r="B7" s="11" t="s">
        <v>93</v>
      </c>
      <c r="C7" s="12">
        <v>0.44</v>
      </c>
      <c r="D7" s="28">
        <f>D5*C7</f>
        <v>0.29480000000000001</v>
      </c>
      <c r="I7" s="36"/>
      <c r="N7" s="36"/>
    </row>
    <row r="8" spans="2:14">
      <c r="D8" s="36"/>
      <c r="I8" s="36"/>
      <c r="N8" s="36"/>
    </row>
    <row r="9" spans="2:14">
      <c r="D9" s="36"/>
      <c r="I9" s="36"/>
      <c r="N9" s="36"/>
    </row>
    <row r="10" spans="2:14">
      <c r="D10" s="36"/>
      <c r="I10" s="36"/>
      <c r="N10" s="36"/>
    </row>
    <row r="11" spans="2:14">
      <c r="B11" s="16" t="s">
        <v>94</v>
      </c>
      <c r="C11" s="17" t="s">
        <v>61</v>
      </c>
      <c r="D11" s="151" t="s">
        <v>62</v>
      </c>
      <c r="G11" s="16" t="s">
        <v>95</v>
      </c>
      <c r="H11" s="17" t="s">
        <v>61</v>
      </c>
      <c r="I11" s="151" t="s">
        <v>62</v>
      </c>
      <c r="L11" s="16" t="s">
        <v>96</v>
      </c>
      <c r="M11" s="17" t="s">
        <v>61</v>
      </c>
      <c r="N11" s="151" t="s">
        <v>62</v>
      </c>
    </row>
    <row r="12" spans="2:14">
      <c r="B12" s="24" t="s">
        <v>75</v>
      </c>
      <c r="C12" s="6"/>
      <c r="D12" s="26">
        <v>1</v>
      </c>
      <c r="G12" s="24" t="s">
        <v>75</v>
      </c>
      <c r="H12" s="6"/>
      <c r="I12" s="26">
        <v>94.5</v>
      </c>
      <c r="L12" s="24" t="s">
        <v>75</v>
      </c>
      <c r="M12" s="6"/>
      <c r="N12" s="26">
        <v>94.5</v>
      </c>
    </row>
    <row r="13" spans="2:14">
      <c r="B13" s="24" t="s">
        <v>97</v>
      </c>
      <c r="C13" s="6">
        <v>0.28000000000000003</v>
      </c>
      <c r="D13" s="43">
        <f>D12*C13</f>
        <v>0.28000000000000003</v>
      </c>
      <c r="G13" s="24" t="s">
        <v>98</v>
      </c>
      <c r="H13" s="6">
        <v>0.33</v>
      </c>
      <c r="I13" s="43">
        <f>I12*H13</f>
        <v>31.185000000000002</v>
      </c>
      <c r="L13" s="24" t="s">
        <v>99</v>
      </c>
      <c r="M13" s="6">
        <v>1</v>
      </c>
      <c r="N13" s="43">
        <f>N12*M13</f>
        <v>94.5</v>
      </c>
    </row>
    <row r="14" spans="2:14">
      <c r="B14" s="5" t="s">
        <v>92</v>
      </c>
      <c r="C14" s="6">
        <v>0.55000000000000004</v>
      </c>
      <c r="D14" s="49">
        <f>D13*C14</f>
        <v>0.15400000000000003</v>
      </c>
      <c r="G14" s="11" t="s">
        <v>92</v>
      </c>
      <c r="H14" s="12">
        <v>0.4375</v>
      </c>
      <c r="I14" s="28">
        <f>I13*H14</f>
        <v>13.643437500000001</v>
      </c>
      <c r="L14" s="11" t="s">
        <v>92</v>
      </c>
      <c r="M14" s="12">
        <v>0.4375</v>
      </c>
      <c r="N14" s="28">
        <f>N13*M14</f>
        <v>41.34375</v>
      </c>
    </row>
    <row r="15" spans="2:14">
      <c r="B15" s="11" t="s">
        <v>93</v>
      </c>
      <c r="C15" s="12">
        <v>0.44</v>
      </c>
      <c r="D15" s="28">
        <f>D13*C15</f>
        <v>0.12320000000000002</v>
      </c>
      <c r="I15" s="36"/>
      <c r="N15" s="36"/>
    </row>
    <row r="16" spans="2:14">
      <c r="D16" s="36"/>
      <c r="I16" s="36"/>
      <c r="N16" s="36"/>
    </row>
    <row r="17" spans="2:14">
      <c r="D17" s="36"/>
      <c r="I17" s="36"/>
      <c r="N17" s="36"/>
    </row>
    <row r="18" spans="2:14">
      <c r="D18" s="36"/>
      <c r="I18" s="36"/>
      <c r="N18" s="36"/>
    </row>
    <row r="19" spans="2:14">
      <c r="B19" s="16" t="s">
        <v>100</v>
      </c>
      <c r="C19" s="17" t="s">
        <v>61</v>
      </c>
      <c r="D19" s="151" t="s">
        <v>62</v>
      </c>
      <c r="G19" s="16" t="s">
        <v>101</v>
      </c>
      <c r="H19" s="17" t="s">
        <v>61</v>
      </c>
      <c r="I19" s="151" t="s">
        <v>62</v>
      </c>
      <c r="L19" s="16" t="s">
        <v>102</v>
      </c>
      <c r="M19" s="17" t="s">
        <v>61</v>
      </c>
      <c r="N19" s="151" t="s">
        <v>62</v>
      </c>
    </row>
    <row r="20" spans="2:14">
      <c r="B20" s="24" t="s">
        <v>103</v>
      </c>
      <c r="C20" s="44">
        <v>1</v>
      </c>
      <c r="D20" s="45"/>
      <c r="G20" s="24" t="s">
        <v>103</v>
      </c>
      <c r="H20" s="44">
        <v>1</v>
      </c>
      <c r="I20" s="45"/>
      <c r="L20" s="24" t="s">
        <v>103</v>
      </c>
      <c r="M20" s="44">
        <v>1</v>
      </c>
      <c r="N20" s="45"/>
    </row>
    <row r="21" spans="2:14" ht="14.65" customHeight="1">
      <c r="B21" s="29" t="s">
        <v>67</v>
      </c>
      <c r="C21" s="44">
        <v>365</v>
      </c>
      <c r="D21" s="45"/>
      <c r="G21" s="29" t="s">
        <v>67</v>
      </c>
      <c r="H21" s="44">
        <v>365</v>
      </c>
      <c r="I21" s="45"/>
      <c r="L21" s="29" t="s">
        <v>67</v>
      </c>
      <c r="M21" s="44">
        <v>365</v>
      </c>
      <c r="N21" s="45"/>
    </row>
    <row r="22" spans="2:14">
      <c r="B22" s="5" t="s">
        <v>104</v>
      </c>
      <c r="C22" s="6">
        <v>3.18</v>
      </c>
      <c r="D22" s="43">
        <f>(C21/365)*C20*C22</f>
        <v>3.18</v>
      </c>
      <c r="G22" s="5" t="s">
        <v>105</v>
      </c>
      <c r="H22" s="6">
        <v>2.97</v>
      </c>
      <c r="I22" s="43">
        <f>(H21/365)*H20*H22</f>
        <v>2.97</v>
      </c>
      <c r="L22" s="5" t="s">
        <v>106</v>
      </c>
      <c r="M22" s="6"/>
      <c r="N22" s="43">
        <f>(M21/365)*M20*M22</f>
        <v>0</v>
      </c>
    </row>
    <row r="23" spans="2:14">
      <c r="B23" s="5" t="s">
        <v>107</v>
      </c>
      <c r="C23" s="6">
        <v>3.59</v>
      </c>
      <c r="D23" s="49">
        <f>D22*C23</f>
        <v>11.4162</v>
      </c>
      <c r="G23" s="11" t="s">
        <v>108</v>
      </c>
      <c r="H23" s="12">
        <v>0.4375</v>
      </c>
      <c r="I23" s="28">
        <f>I22*H23</f>
        <v>1.2993750000000002</v>
      </c>
      <c r="L23" s="11" t="s">
        <v>109</v>
      </c>
      <c r="M23" s="12">
        <v>0.5</v>
      </c>
      <c r="N23" s="28">
        <f>N22*M23</f>
        <v>0</v>
      </c>
    </row>
    <row r="24" spans="2:14">
      <c r="B24" s="11" t="s">
        <v>93</v>
      </c>
      <c r="C24" s="12">
        <v>0.44</v>
      </c>
      <c r="D24" s="28">
        <f>D22*C24</f>
        <v>1.3992</v>
      </c>
    </row>
    <row r="26" spans="2:14">
      <c r="B26" s="40" t="s">
        <v>44</v>
      </c>
      <c r="C26" s="41"/>
      <c r="D26" s="42" t="s">
        <v>80</v>
      </c>
    </row>
    <row r="27" spans="2:14">
      <c r="B27" s="46"/>
      <c r="C27" s="47"/>
      <c r="D27" s="48" t="s">
        <v>47</v>
      </c>
    </row>
    <row r="28" spans="2:14">
      <c r="K28" s="50"/>
    </row>
    <row r="29" spans="2:14">
      <c r="K29" s="50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26"/>
  <sheetViews>
    <sheetView workbookViewId="0">
      <selection activeCell="D56" sqref="D56"/>
    </sheetView>
  </sheetViews>
  <sheetFormatPr defaultColWidth="9" defaultRowHeight="14.5"/>
  <cols>
    <col min="2" max="2" width="24.7265625" customWidth="1"/>
    <col min="3" max="3" width="14.81640625" customWidth="1"/>
    <col min="4" max="4" width="16" customWidth="1"/>
  </cols>
  <sheetData>
    <row r="2" spans="2:4">
      <c r="B2" s="16" t="s">
        <v>110</v>
      </c>
      <c r="C2" s="17" t="s">
        <v>61</v>
      </c>
      <c r="D2" s="149" t="s">
        <v>62</v>
      </c>
    </row>
    <row r="3" spans="2:4">
      <c r="B3" s="24" t="s">
        <v>64</v>
      </c>
      <c r="C3" s="6"/>
      <c r="D3" s="26">
        <v>1</v>
      </c>
    </row>
    <row r="4" spans="2:4">
      <c r="B4" s="24" t="s">
        <v>111</v>
      </c>
      <c r="C4" s="6">
        <v>0.94</v>
      </c>
      <c r="D4" s="43">
        <f>D3*C4</f>
        <v>0.94</v>
      </c>
    </row>
    <row r="5" spans="2:4">
      <c r="B5" s="11" t="s">
        <v>92</v>
      </c>
      <c r="C5" s="12">
        <v>1</v>
      </c>
      <c r="D5" s="28">
        <f>D4*C5</f>
        <v>0.94</v>
      </c>
    </row>
    <row r="6" spans="2:4">
      <c r="B6" s="4"/>
      <c r="C6" s="4"/>
      <c r="D6" s="36"/>
    </row>
    <row r="7" spans="2:4">
      <c r="B7" s="4"/>
      <c r="C7" s="4"/>
      <c r="D7" s="36"/>
    </row>
    <row r="8" spans="2:4">
      <c r="B8" s="4"/>
      <c r="C8" s="4"/>
      <c r="D8" s="36"/>
    </row>
    <row r="9" spans="2:4">
      <c r="B9" s="4"/>
      <c r="C9" s="4"/>
      <c r="D9" s="36"/>
    </row>
    <row r="10" spans="2:4">
      <c r="B10" s="16" t="s">
        <v>112</v>
      </c>
      <c r="C10" s="17" t="s">
        <v>61</v>
      </c>
      <c r="D10" s="151" t="s">
        <v>62</v>
      </c>
    </row>
    <row r="11" spans="2:4">
      <c r="B11" s="24" t="s">
        <v>75</v>
      </c>
      <c r="C11" s="6"/>
      <c r="D11" s="26">
        <v>1</v>
      </c>
    </row>
    <row r="12" spans="2:4">
      <c r="B12" s="24" t="s">
        <v>113</v>
      </c>
      <c r="C12" s="6">
        <v>0.7</v>
      </c>
      <c r="D12" s="43">
        <f>D11*C12</f>
        <v>0.7</v>
      </c>
    </row>
    <row r="13" spans="2:4">
      <c r="B13" s="11" t="s">
        <v>92</v>
      </c>
      <c r="C13" s="12">
        <v>1</v>
      </c>
      <c r="D13" s="28">
        <f>D12*C13</f>
        <v>0.7</v>
      </c>
    </row>
    <row r="14" spans="2:4">
      <c r="B14" s="4"/>
      <c r="C14" s="4"/>
      <c r="D14" s="36"/>
    </row>
    <row r="15" spans="2:4">
      <c r="B15" s="4"/>
      <c r="C15" s="4"/>
      <c r="D15" s="36"/>
    </row>
    <row r="16" spans="2:4">
      <c r="B16" s="4"/>
      <c r="C16" s="4"/>
      <c r="D16" s="36"/>
    </row>
    <row r="17" spans="2:4">
      <c r="B17" s="4"/>
      <c r="C17" s="4"/>
      <c r="D17" s="36"/>
    </row>
    <row r="18" spans="2:4">
      <c r="B18" s="16" t="s">
        <v>114</v>
      </c>
      <c r="C18" s="17" t="s">
        <v>61</v>
      </c>
      <c r="D18" s="151" t="s">
        <v>62</v>
      </c>
    </row>
    <row r="19" spans="2:4">
      <c r="B19" s="24" t="s">
        <v>115</v>
      </c>
      <c r="C19" s="44">
        <v>1</v>
      </c>
      <c r="D19" s="45"/>
    </row>
    <row r="20" spans="2:4" ht="16.899999999999999" customHeight="1">
      <c r="B20" s="29" t="s">
        <v>67</v>
      </c>
      <c r="C20" s="44">
        <v>365</v>
      </c>
      <c r="D20" s="45"/>
    </row>
    <row r="21" spans="2:4">
      <c r="B21" s="5" t="s">
        <v>116</v>
      </c>
      <c r="C21" s="6">
        <v>0.16</v>
      </c>
      <c r="D21" s="43">
        <f>(C20/365)*C19*C21</f>
        <v>0.16</v>
      </c>
    </row>
    <row r="22" spans="2:4">
      <c r="B22" s="11" t="s">
        <v>117</v>
      </c>
      <c r="C22" s="12">
        <v>1</v>
      </c>
      <c r="D22" s="28">
        <f>D21*C22</f>
        <v>0.16</v>
      </c>
    </row>
    <row r="25" spans="2:4">
      <c r="B25" s="40" t="s">
        <v>44</v>
      </c>
      <c r="C25" s="41"/>
      <c r="D25" s="42" t="s">
        <v>80</v>
      </c>
    </row>
    <row r="26" spans="2:4">
      <c r="B26" s="46"/>
      <c r="C26" s="47"/>
      <c r="D26" s="48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T38"/>
  <sheetViews>
    <sheetView topLeftCell="A11" zoomScale="65" zoomScaleNormal="65" workbookViewId="0">
      <selection activeCell="G59" sqref="G59"/>
    </sheetView>
  </sheetViews>
  <sheetFormatPr defaultColWidth="9"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1" t="s">
        <v>6</v>
      </c>
      <c r="D4" s="2" t="s">
        <v>1</v>
      </c>
      <c r="E4" s="152" t="s">
        <v>2</v>
      </c>
      <c r="F4" s="152" t="s">
        <v>3</v>
      </c>
      <c r="G4" s="3"/>
      <c r="H4" s="3"/>
      <c r="I4" s="33"/>
      <c r="J4" s="4"/>
      <c r="K4" s="24" t="s">
        <v>118</v>
      </c>
      <c r="L4" s="4"/>
      <c r="M4" s="4" t="s">
        <v>5</v>
      </c>
      <c r="N4" s="34"/>
      <c r="O4" s="1" t="s">
        <v>6</v>
      </c>
      <c r="P4" s="152" t="s">
        <v>2</v>
      </c>
      <c r="Q4" s="3" t="s">
        <v>7</v>
      </c>
      <c r="R4" s="3" t="s">
        <v>8</v>
      </c>
      <c r="S4" s="33" t="s">
        <v>9</v>
      </c>
      <c r="T4" s="4"/>
    </row>
    <row r="5" spans="2:20">
      <c r="B5" s="4" t="s">
        <v>5</v>
      </c>
      <c r="C5" s="5" t="s">
        <v>119</v>
      </c>
      <c r="D5" s="6">
        <v>0.97</v>
      </c>
      <c r="E5" s="7">
        <v>0.3</v>
      </c>
      <c r="F5" s="7">
        <v>0.87</v>
      </c>
      <c r="G5" s="8"/>
      <c r="H5" s="9"/>
      <c r="I5" s="35"/>
      <c r="J5" s="4"/>
      <c r="K5" s="24" t="s">
        <v>120</v>
      </c>
      <c r="L5" s="4"/>
      <c r="M5" s="4" t="s">
        <v>12</v>
      </c>
      <c r="N5" s="4"/>
      <c r="O5" s="5" t="s">
        <v>119</v>
      </c>
      <c r="P5" s="7">
        <v>0.3</v>
      </c>
      <c r="Q5" s="8">
        <v>15.65</v>
      </c>
      <c r="R5" s="9">
        <v>0.63</v>
      </c>
      <c r="S5" s="35">
        <v>0.36</v>
      </c>
      <c r="T5" s="4"/>
    </row>
    <row r="6" spans="2:20">
      <c r="B6" s="4" t="s">
        <v>12</v>
      </c>
      <c r="C6" s="5" t="s">
        <v>121</v>
      </c>
      <c r="D6" s="6">
        <v>0.97</v>
      </c>
      <c r="E6" s="7">
        <v>0.66669999999999996</v>
      </c>
      <c r="F6" s="7">
        <v>0.87</v>
      </c>
      <c r="G6" s="8"/>
      <c r="H6" s="9"/>
      <c r="I6" s="35"/>
      <c r="J6" s="4"/>
      <c r="K6" s="36"/>
      <c r="L6" s="4"/>
      <c r="M6" s="4" t="s">
        <v>15</v>
      </c>
      <c r="N6" s="4"/>
      <c r="O6" s="5" t="s">
        <v>121</v>
      </c>
      <c r="P6" s="7">
        <v>0.66669999999999996</v>
      </c>
      <c r="Q6" s="8">
        <v>15.65</v>
      </c>
      <c r="R6" s="9">
        <v>0.63</v>
      </c>
      <c r="S6" s="35">
        <v>0.36</v>
      </c>
      <c r="T6" s="4"/>
    </row>
    <row r="7" spans="2:20" ht="30" customHeight="1">
      <c r="B7" s="4" t="s">
        <v>15</v>
      </c>
      <c r="C7" s="10" t="s">
        <v>122</v>
      </c>
      <c r="D7" s="6">
        <v>0.97</v>
      </c>
      <c r="E7" s="7">
        <v>0.15</v>
      </c>
      <c r="F7" s="7">
        <v>0.87</v>
      </c>
      <c r="G7" s="8"/>
      <c r="H7" s="9"/>
      <c r="I7" s="35"/>
      <c r="J7" s="4"/>
      <c r="K7" s="37"/>
      <c r="L7" s="4"/>
      <c r="M7" s="4" t="s">
        <v>18</v>
      </c>
      <c r="N7" s="34"/>
      <c r="O7" s="10" t="s">
        <v>122</v>
      </c>
      <c r="P7" s="7">
        <v>0.15</v>
      </c>
      <c r="Q7" s="8">
        <v>15.65</v>
      </c>
      <c r="R7" s="9">
        <v>0.63</v>
      </c>
      <c r="S7" s="35">
        <v>0.36</v>
      </c>
      <c r="T7" s="4"/>
    </row>
    <row r="8" spans="2:20" ht="32.65" customHeight="1">
      <c r="B8" s="4" t="s">
        <v>18</v>
      </c>
      <c r="C8" s="10" t="s">
        <v>123</v>
      </c>
      <c r="D8" s="6">
        <v>0.97</v>
      </c>
      <c r="E8" s="7">
        <v>0.3</v>
      </c>
      <c r="F8" s="7">
        <v>0.87</v>
      </c>
      <c r="G8" s="8"/>
      <c r="H8" s="9"/>
      <c r="I8" s="35"/>
      <c r="J8" s="4"/>
      <c r="K8" s="37"/>
      <c r="L8" s="4"/>
      <c r="M8" s="4" t="s">
        <v>21</v>
      </c>
      <c r="N8" s="4"/>
      <c r="O8" s="10" t="s">
        <v>123</v>
      </c>
      <c r="P8" s="7">
        <v>0.3</v>
      </c>
      <c r="Q8" s="8">
        <v>15.65</v>
      </c>
      <c r="R8" s="9">
        <v>0.63</v>
      </c>
      <c r="S8" s="35">
        <v>0.36</v>
      </c>
      <c r="T8" s="4"/>
    </row>
    <row r="9" spans="2:20" ht="27">
      <c r="B9" s="4" t="s">
        <v>21</v>
      </c>
      <c r="C9" s="10" t="s">
        <v>124</v>
      </c>
      <c r="D9" s="6">
        <v>0.97</v>
      </c>
      <c r="E9" s="7">
        <v>0.2767</v>
      </c>
      <c r="F9" s="7">
        <v>0.87</v>
      </c>
      <c r="G9" s="8"/>
      <c r="H9" s="9"/>
      <c r="I9" s="35"/>
      <c r="M9" s="4" t="s">
        <v>24</v>
      </c>
      <c r="O9" s="10" t="s">
        <v>124</v>
      </c>
      <c r="P9" s="7">
        <v>0.2767</v>
      </c>
      <c r="Q9" s="8">
        <v>15.65</v>
      </c>
      <c r="R9" s="9">
        <v>0.63</v>
      </c>
      <c r="S9" s="35">
        <v>0.36</v>
      </c>
    </row>
    <row r="10" spans="2:20">
      <c r="B10" s="4" t="s">
        <v>24</v>
      </c>
      <c r="C10" s="10" t="s">
        <v>125</v>
      </c>
      <c r="D10" s="6">
        <v>0.94</v>
      </c>
      <c r="E10" s="7">
        <v>1</v>
      </c>
      <c r="F10" s="7">
        <v>0.7</v>
      </c>
      <c r="G10" s="8"/>
      <c r="H10" s="9"/>
      <c r="I10" s="35"/>
      <c r="J10" s="4"/>
      <c r="K10" s="38"/>
      <c r="M10" s="4" t="s">
        <v>25</v>
      </c>
      <c r="O10" s="10" t="s">
        <v>125</v>
      </c>
      <c r="P10" s="7">
        <v>1</v>
      </c>
      <c r="Q10" s="8">
        <v>0</v>
      </c>
      <c r="R10" s="9">
        <v>0.16</v>
      </c>
      <c r="S10" s="35">
        <v>0</v>
      </c>
    </row>
    <row r="11" spans="2:20">
      <c r="B11" s="4" t="s">
        <v>25</v>
      </c>
      <c r="C11" s="5" t="s">
        <v>126</v>
      </c>
      <c r="D11" s="6">
        <v>0.67</v>
      </c>
      <c r="E11" s="7">
        <v>0.55000000000000004</v>
      </c>
      <c r="F11" s="7">
        <v>0.28000000000000003</v>
      </c>
      <c r="G11" s="8"/>
      <c r="H11" s="9"/>
      <c r="I11" s="35"/>
      <c r="J11" s="4"/>
      <c r="K11" s="36"/>
      <c r="M11" s="4" t="s">
        <v>27</v>
      </c>
      <c r="O11" s="5" t="s">
        <v>126</v>
      </c>
      <c r="P11" s="7">
        <v>1</v>
      </c>
      <c r="Q11" s="8">
        <v>3.18</v>
      </c>
      <c r="R11" s="9">
        <v>0</v>
      </c>
      <c r="S11" s="35">
        <v>0</v>
      </c>
    </row>
    <row r="12" spans="2:20">
      <c r="B12" s="4" t="s">
        <v>27</v>
      </c>
      <c r="C12" s="5" t="s">
        <v>127</v>
      </c>
      <c r="D12" s="6">
        <v>0.67</v>
      </c>
      <c r="E12" s="7">
        <v>0.44</v>
      </c>
      <c r="F12" s="7">
        <v>0.28000000000000003</v>
      </c>
      <c r="G12" s="8"/>
      <c r="H12" s="9"/>
      <c r="I12" s="35"/>
      <c r="J12" s="4"/>
      <c r="K12" s="36"/>
      <c r="M12" s="4" t="s">
        <v>29</v>
      </c>
      <c r="O12" s="5" t="s">
        <v>127</v>
      </c>
      <c r="P12" s="7">
        <v>1</v>
      </c>
      <c r="Q12" s="8">
        <v>3.18</v>
      </c>
      <c r="R12" s="9">
        <v>0</v>
      </c>
      <c r="S12" s="35">
        <v>0</v>
      </c>
    </row>
    <row r="13" spans="2:20">
      <c r="B13" s="4" t="s">
        <v>29</v>
      </c>
      <c r="C13" s="5" t="s">
        <v>128</v>
      </c>
      <c r="D13" s="6">
        <v>0.61</v>
      </c>
      <c r="E13" s="7">
        <v>0.4375</v>
      </c>
      <c r="F13" s="7">
        <v>0.33</v>
      </c>
      <c r="G13" s="8"/>
      <c r="H13" s="9"/>
      <c r="I13" s="35"/>
      <c r="J13" s="4"/>
      <c r="K13" s="37"/>
      <c r="M13" s="4" t="s">
        <v>31</v>
      </c>
      <c r="O13" s="5" t="s">
        <v>128</v>
      </c>
      <c r="P13" s="7">
        <v>1</v>
      </c>
      <c r="Q13" s="8">
        <v>2.97</v>
      </c>
      <c r="R13" s="9">
        <v>0</v>
      </c>
      <c r="S13" s="35">
        <v>0</v>
      </c>
    </row>
    <row r="14" spans="2:20">
      <c r="B14" s="4" t="s">
        <v>31</v>
      </c>
      <c r="C14" s="11" t="s">
        <v>129</v>
      </c>
      <c r="D14" s="12">
        <v>1</v>
      </c>
      <c r="E14" s="13">
        <v>0.5</v>
      </c>
      <c r="F14" s="13">
        <v>1</v>
      </c>
      <c r="G14" s="14"/>
      <c r="H14" s="15"/>
      <c r="I14" s="39"/>
      <c r="O14" s="11" t="s">
        <v>129</v>
      </c>
      <c r="P14" s="13">
        <v>0.5</v>
      </c>
      <c r="Q14" s="14">
        <v>0</v>
      </c>
      <c r="R14" s="15">
        <v>0</v>
      </c>
      <c r="S14" s="39">
        <v>0</v>
      </c>
    </row>
    <row r="16" spans="2:20">
      <c r="D16" s="16" t="s">
        <v>130</v>
      </c>
      <c r="E16" s="17" t="s">
        <v>61</v>
      </c>
      <c r="F16" s="18" t="s">
        <v>131</v>
      </c>
      <c r="G16" s="19"/>
      <c r="I16" s="40" t="s">
        <v>44</v>
      </c>
      <c r="J16" s="41"/>
      <c r="K16" s="42" t="s">
        <v>45</v>
      </c>
    </row>
    <row r="17" spans="4:7">
      <c r="D17" s="20"/>
      <c r="E17" s="21"/>
      <c r="F17" s="22"/>
      <c r="G17" s="23"/>
    </row>
    <row r="18" spans="4:7">
      <c r="D18" s="24" t="s">
        <v>120</v>
      </c>
      <c r="E18" s="6"/>
      <c r="F18" s="25"/>
      <c r="G18" s="26">
        <v>1</v>
      </c>
    </row>
    <row r="19" spans="4:7">
      <c r="D19" s="11" t="s">
        <v>124</v>
      </c>
      <c r="E19" s="12">
        <f>VLOOKUP(D19,$C$5:$F$14,2,FALSE)</f>
        <v>0.97</v>
      </c>
      <c r="F19" s="27">
        <f>VLOOKUP(D19,$C$4:$F$14,3,FALSE)</f>
        <v>0.2767</v>
      </c>
      <c r="G19" s="28">
        <f>G18*F19*E19</f>
        <v>0.268399</v>
      </c>
    </row>
    <row r="21" spans="4:7">
      <c r="D21" s="16" t="s">
        <v>132</v>
      </c>
      <c r="E21" s="17" t="s">
        <v>61</v>
      </c>
      <c r="F21" s="18" t="s">
        <v>131</v>
      </c>
      <c r="G21" s="19"/>
    </row>
    <row r="22" spans="4:7">
      <c r="D22" s="24" t="s">
        <v>120</v>
      </c>
      <c r="E22" s="6"/>
      <c r="F22" s="25"/>
      <c r="G22" s="26">
        <v>1</v>
      </c>
    </row>
    <row r="23" spans="4:7">
      <c r="D23" s="11" t="s">
        <v>127</v>
      </c>
      <c r="E23" s="12">
        <f>VLOOKUP(D23,$C$5:$I$14,4,FALSE)</f>
        <v>0.28000000000000003</v>
      </c>
      <c r="F23" s="27">
        <f>VLOOKUP(D23,$C$4:$I$14,3,FALSE)</f>
        <v>0.44</v>
      </c>
      <c r="G23" s="28">
        <f>G22*F23*E23</f>
        <v>0.12320000000000002</v>
      </c>
    </row>
    <row r="25" spans="4:7" ht="16.5" customHeight="1">
      <c r="D25" s="16" t="s">
        <v>133</v>
      </c>
      <c r="E25" s="17" t="s">
        <v>61</v>
      </c>
      <c r="F25" s="18" t="s">
        <v>131</v>
      </c>
      <c r="G25" s="149" t="s">
        <v>62</v>
      </c>
    </row>
    <row r="26" spans="4:7">
      <c r="D26" s="24" t="s">
        <v>17</v>
      </c>
      <c r="E26" s="6"/>
      <c r="F26" s="25"/>
      <c r="G26" s="26">
        <v>1</v>
      </c>
    </row>
    <row r="27" spans="4:7" ht="27">
      <c r="D27" s="29" t="s">
        <v>67</v>
      </c>
      <c r="E27" s="30"/>
      <c r="F27" s="31"/>
      <c r="G27" s="32">
        <v>365</v>
      </c>
    </row>
    <row r="28" spans="4:7">
      <c r="D28" s="11" t="s">
        <v>119</v>
      </c>
      <c r="E28" s="12">
        <f>VLOOKUP(D28,$C$4:$I$14,5,FALSE)</f>
        <v>0</v>
      </c>
      <c r="F28" s="27">
        <f>VLOOKUP(D28,$C$4:$F$14,4,FALSE)</f>
        <v>0.87</v>
      </c>
      <c r="G28" s="28">
        <f>(G27/365)*G26*F28*E28</f>
        <v>0</v>
      </c>
    </row>
    <row r="30" spans="4:7">
      <c r="D30" s="16" t="s">
        <v>134</v>
      </c>
      <c r="E30" s="17" t="s">
        <v>61</v>
      </c>
      <c r="F30" s="18" t="s">
        <v>131</v>
      </c>
      <c r="G30" s="19"/>
    </row>
    <row r="31" spans="4:7">
      <c r="D31" s="24" t="s">
        <v>20</v>
      </c>
      <c r="E31" s="6"/>
      <c r="F31" s="25"/>
      <c r="G31" s="26">
        <v>1</v>
      </c>
    </row>
    <row r="32" spans="4:7" ht="27">
      <c r="D32" s="29" t="s">
        <v>67</v>
      </c>
      <c r="E32" s="30"/>
      <c r="F32" s="31"/>
      <c r="G32" s="32">
        <v>365</v>
      </c>
    </row>
    <row r="33" spans="4:7">
      <c r="D33" s="11" t="s">
        <v>128</v>
      </c>
      <c r="E33" s="12">
        <f>VLOOKUP(D33,$C$4:$I$14,6,FALSE)</f>
        <v>0</v>
      </c>
      <c r="F33" s="27">
        <f>VLOOKUP(D33,$C$4:$F$14,4,FALSE)</f>
        <v>0.33</v>
      </c>
      <c r="G33" s="28">
        <f>(G32/365)*G31*F33*E33</f>
        <v>0</v>
      </c>
    </row>
    <row r="35" spans="4:7">
      <c r="D35" s="16" t="s">
        <v>135</v>
      </c>
      <c r="E35" s="17" t="s">
        <v>61</v>
      </c>
      <c r="F35" s="18" t="s">
        <v>131</v>
      </c>
      <c r="G35" s="19"/>
    </row>
    <row r="36" spans="4:7">
      <c r="D36" s="24" t="s">
        <v>23</v>
      </c>
      <c r="E36" s="6"/>
      <c r="F36" s="25"/>
      <c r="G36" s="26">
        <v>1</v>
      </c>
    </row>
    <row r="37" spans="4:7" ht="27">
      <c r="D37" s="29" t="s">
        <v>67</v>
      </c>
      <c r="E37" s="30"/>
      <c r="F37" s="31"/>
      <c r="G37" s="32">
        <v>365</v>
      </c>
    </row>
    <row r="38" spans="4:7">
      <c r="D38" s="11" t="s">
        <v>119</v>
      </c>
      <c r="E38" s="12">
        <f>VLOOKUP(D38,$C$4:$I$14,7,FALSE)</f>
        <v>0</v>
      </c>
      <c r="F38" s="27">
        <f>VLOOKUP(D38,$C$4:$F$14,4,FALSE)</f>
        <v>0.87</v>
      </c>
      <c r="G38" s="28">
        <f>(G37/365)*G36*F38*E38</f>
        <v>0</v>
      </c>
    </row>
  </sheetData>
  <dataValidations count="2">
    <dataValidation type="list" allowBlank="1" showInputMessage="1" showErrorMessage="1" sqref="D18" xr:uid="{00000000-0002-0000-0400-000000000000}">
      <formula1>$K$4:$K$5</formula1>
    </dataValidation>
    <dataValidation type="list" allowBlank="1" showInputMessage="1" showErrorMessage="1" sqref="D19 D23 D28 D33 D38" xr:uid="{00000000-0002-0000-0400-000001000000}">
      <formula1>$C$5:$C$14</formula1>
    </dataValidation>
  </dataValidation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/>
</ds:datastoreItem>
</file>

<file path=customXml/itemProps2.xml><?xml version="1.0" encoding="utf-8"?>
<ds:datastoreItem xmlns:ds="http://schemas.openxmlformats.org/officeDocument/2006/customXml" ds:itemID="{0A97A245-9448-462D-AAAA-B89FB7F2AF44}">
  <ds:schemaRefs/>
</ds:datastoreItem>
</file>

<file path=customXml/itemProps3.xml><?xml version="1.0" encoding="utf-8"?>
<ds:datastoreItem xmlns:ds="http://schemas.openxmlformats.org/officeDocument/2006/customXml" ds:itemID="{3A210914-9792-42B2-9FF6-31C0394FA283}">
  <ds:schemaRefs/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Odien, Nelson N SPDC-IUC/G/UWF</cp:lastModifiedBy>
  <dcterms:created xsi:type="dcterms:W3CDTF">2019-03-08T09:08:00Z</dcterms:created>
  <dcterms:modified xsi:type="dcterms:W3CDTF">2024-04-30T12:56:26Z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ICV">
    <vt:lpwstr>E3E791EFD598487CA70BE77A8730FD54_13</vt:lpwstr>
  </property>
  <property fmtid="{D5CDD505-2E9C-101B-9397-08002B2CF9AE}" pid="6" name="KSOProductBuildVer">
    <vt:lpwstr>1033-12.2.0.13431</vt:lpwstr>
  </property>
</Properties>
</file>