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8FCF1C52-0763-4E4E-B3A9-6A973BF587E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0" i="5" l="1"/>
  <c r="H190" i="5" s="1"/>
  <c r="J187" i="5"/>
  <c r="E182" i="5"/>
  <c r="F182" i="5" s="1"/>
  <c r="E181" i="5"/>
  <c r="E180" i="5"/>
  <c r="E179" i="5"/>
  <c r="L177" i="5"/>
  <c r="E175" i="5"/>
  <c r="E173" i="5"/>
  <c r="F175" i="5" s="1"/>
  <c r="H164" i="5"/>
  <c r="F164" i="5"/>
  <c r="J161" i="5"/>
  <c r="E156" i="5"/>
  <c r="F156" i="5" s="1"/>
  <c r="E155" i="5"/>
  <c r="E154" i="5"/>
  <c r="E153" i="5"/>
  <c r="L151" i="5"/>
  <c r="E149" i="5"/>
  <c r="F149" i="5" s="1"/>
  <c r="E147" i="5"/>
  <c r="F140" i="5"/>
  <c r="H140" i="5" s="1"/>
  <c r="J137" i="5"/>
  <c r="E132" i="5"/>
  <c r="E131" i="5"/>
  <c r="E130" i="5"/>
  <c r="E129" i="5"/>
  <c r="F132" i="5" s="1"/>
  <c r="L127" i="5"/>
  <c r="E125" i="5"/>
  <c r="F125" i="5" s="1"/>
  <c r="E123" i="5"/>
  <c r="F116" i="5"/>
  <c r="H116" i="5" s="1"/>
  <c r="J113" i="5"/>
  <c r="E108" i="5"/>
  <c r="F108" i="5" s="1"/>
  <c r="E107" i="5"/>
  <c r="E106" i="5"/>
  <c r="E105" i="5"/>
  <c r="L103" i="5"/>
  <c r="E101" i="5"/>
  <c r="F101" i="5" s="1"/>
  <c r="E99" i="5"/>
  <c r="F92" i="5"/>
  <c r="H92" i="5" s="1"/>
  <c r="J89" i="5"/>
  <c r="E84" i="5"/>
  <c r="E83" i="5"/>
  <c r="E82" i="5"/>
  <c r="E81" i="5"/>
  <c r="F84" i="5" s="1"/>
  <c r="L79" i="5"/>
  <c r="E77" i="5"/>
  <c r="E75" i="5"/>
  <c r="F77" i="5" s="1"/>
  <c r="H65" i="5"/>
  <c r="F65" i="5"/>
  <c r="J62" i="5"/>
  <c r="E57" i="5"/>
  <c r="F57" i="5" s="1"/>
  <c r="E56" i="5"/>
  <c r="E55" i="5"/>
  <c r="E54" i="5"/>
  <c r="L52" i="5"/>
  <c r="E50" i="5"/>
  <c r="F50" i="5" s="1"/>
  <c r="E48" i="5"/>
  <c r="L26" i="5"/>
  <c r="J36" i="5"/>
  <c r="H39" i="5"/>
  <c r="F39" i="5"/>
  <c r="E22" i="5"/>
  <c r="F24" i="5" s="1"/>
  <c r="E24" i="5"/>
  <c r="J182" i="5" l="1"/>
  <c r="F185" i="5"/>
  <c r="J156" i="5"/>
  <c r="F159" i="5"/>
  <c r="J132" i="5"/>
  <c r="F135" i="5"/>
  <c r="J108" i="5"/>
  <c r="F111" i="5"/>
  <c r="J84" i="5"/>
  <c r="F87" i="5"/>
  <c r="J57" i="5"/>
  <c r="F60" i="5"/>
  <c r="E31" i="5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8" authorId="0" shapeId="0" xr:uid="{44CCEB31-0F2B-4318-BF1D-9D4884C92D9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50" authorId="0" shapeId="0" xr:uid="{E6DC213A-9750-4397-A029-9F4F59A1A95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4" authorId="0" shapeId="0" xr:uid="{B52483A0-122E-4434-8817-C19D00C8791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5" authorId="0" shapeId="0" xr:uid="{C1F372DB-A9BD-47EE-9A03-A9D29E82228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6" authorId="0" shapeId="0" xr:uid="{63455E24-F627-495C-BFDE-AC47A045FE8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7" authorId="0" shapeId="0" xr:uid="{F7069094-4F3F-44F2-A846-6B46A1CA6591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5" authorId="0" shapeId="0" xr:uid="{DF3FE747-A4D0-4552-BF09-FA823F02541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7" authorId="0" shapeId="0" xr:uid="{68185909-06A3-4B23-8BCA-F6B1342DFEA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81" authorId="0" shapeId="0" xr:uid="{E015363B-A9A0-453C-822E-899CABCE979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82" authorId="0" shapeId="0" xr:uid="{B9760943-8535-4648-A9C3-6D024DBA772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83" authorId="0" shapeId="0" xr:uid="{8D2982B6-C47D-4D23-921B-513906F7CDF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4" authorId="0" shapeId="0" xr:uid="{9DBBB72D-1E91-4CBD-8A0E-7096E4CADE9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99" authorId="0" shapeId="0" xr:uid="{674AD752-8FD6-49C2-819E-617EFD7625B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101" authorId="0" shapeId="0" xr:uid="{90EA869A-3711-49F4-A6FE-F47747E49B0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105" authorId="0" shapeId="0" xr:uid="{E576AEF3-A9BF-461C-8A58-C44A9E3668A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06" authorId="0" shapeId="0" xr:uid="{78C8E417-085C-4442-BD02-AB7018F1846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07" authorId="0" shapeId="0" xr:uid="{28204712-E707-4370-BDE5-C0FD0F53E6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08" authorId="0" shapeId="0" xr:uid="{64B5443F-5747-4828-894F-29038C2F8DD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123" authorId="0" shapeId="0" xr:uid="{7D71A316-F63B-4403-82C0-05A33828676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125" authorId="0" shapeId="0" xr:uid="{C5C8066F-572A-40CE-B222-50924DFF5393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129" authorId="0" shapeId="0" xr:uid="{EDA73E30-B0A5-45E7-A937-C4983B47B0B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30" authorId="0" shapeId="0" xr:uid="{9F527DC7-1751-430C-8157-A7A50CD34AF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31" authorId="0" shapeId="0" xr:uid="{900D4793-4FA2-4940-9F82-9DFD55BFFA2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32" authorId="0" shapeId="0" xr:uid="{E2F7E3F9-565B-4B46-ACCB-FD3D1577528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147" authorId="0" shapeId="0" xr:uid="{8808E322-F033-43F6-86AC-5818511D5C0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149" authorId="0" shapeId="0" xr:uid="{B88B0BE4-514C-47A8-B8BE-6486274D964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153" authorId="0" shapeId="0" xr:uid="{8D37057D-B9C2-4E5D-85E4-6D7A1DF1C21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54" authorId="0" shapeId="0" xr:uid="{E094268D-190A-42E4-9D16-F6F3C772DC8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55" authorId="0" shapeId="0" xr:uid="{75D1CCCD-1882-4321-89E2-F6CDCC333EE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56" authorId="0" shapeId="0" xr:uid="{3964B34D-7A6B-4263-B439-2E4E9008BF3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173" authorId="0" shapeId="0" xr:uid="{2B0250DC-B34C-47B4-AA7B-1824AD0DB2E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175" authorId="0" shapeId="0" xr:uid="{F28BA0B9-0127-471A-B56F-6B81868DC19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179" authorId="0" shapeId="0" xr:uid="{0964901B-06EF-42FC-BA88-C0B062D6136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80" authorId="0" shapeId="0" xr:uid="{D17AE1A9-0918-42B2-B636-0F06526FA79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81" authorId="0" shapeId="0" xr:uid="{8366550D-3B8A-450B-8866-6BB11BBABEB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82" authorId="0" shapeId="0" xr:uid="{C94C8569-444B-4F19-9594-50367CD2B6A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<sst xmlns="http://schemas.openxmlformats.org/spreadsheetml/2006/main" count="480" uniqueCount="143">
  <si>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</si>
  <si>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</si>
  <si>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</si>
  <si>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</si>
  <si>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</si>
  <si>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</si>
  <si>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</si>
  <si>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</si>
  <si>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</si>
  <si>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</si>
  <si>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</si>
  <si>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</si>
  <si>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</si>
  <si>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</si>
  <si>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</si>
  <si>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</si>
  <si>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</si>
  <si>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</si>
  <si>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</si>
  <si>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</si>
  <si>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</si>
  <si>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</si>
  <si>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</si>
  <si>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</si>
  <si>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</si>
  <si>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</si>
  <si>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</si>
  <si>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</si>
  <si>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</si>
  <si>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</si>
  <si>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</si>
  <si>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</si>
  <si>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</si>
  <si>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</si>
  <si>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</si>
  <si>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</si>
  <si>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</si>
  <si>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</si>
  <si>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</si>
  <si>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</si>
  <si>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</si>
  <si>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</si>
  <si>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</si>
  <si>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</si>
  <si>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</si>
  <si>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</si>
  <si>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</si>
  <si>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</si>
  <si>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</si>
  <si>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</si>
  <si>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</si>
  <si>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</si>
  <si>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</si>
  <si>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</si>
  <si>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</si>
  <si>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</si>
  <si>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</si>
  <si>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</si>
  <si>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</si>
  <si>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</si>
  <si>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</si>
  <si>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</si>
  <si>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</si>
  <si>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</si>
  <si>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</si>
  <si>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</si>
  <si>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</si>
  <si>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</si>
  <si>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</si>
  <si>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</si>
  <si>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</si>
  <si>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</si>
  <si>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</si>
  <si>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</si>
  <si>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</si>
  <si>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</si>
  <si>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</si>
  <si>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</si>
  <si>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</si>
  <si>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</si>
  <si>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</si>
  <si>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</si>
  <si>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</si>
  <si>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</si>
  <si>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</si>
  <si>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</si>
  <si>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</si>
  <si>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</si>
  <si>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</si>
  <si>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</si>
  <si>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</si>
  <si>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</si>
  <si>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</si>
  <si>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</si>
  <si>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</si>
  <si>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</si>
  <si>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</si>
  <si>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</si>
  <si>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</si>
  <si>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</si>
  <si>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</si>
  <si>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</si>
  <si>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</si>
  <si>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</si>
  <si>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</si>
  <si>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</si>
  <si>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</si>
  <si>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</si>
  <si>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</si>
  <si>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</si>
  <si>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</si>
  <si>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</si>
  <si>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</si>
  <si>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</si>
  <si>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</si>
  <si>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</si>
  <si>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</si>
  <si>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</si>
  <si>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</si>
  <si>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</si>
  <si>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</si>
  <si>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</si>
  <si>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</si>
  <si>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</si>
  <si>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</si>
  <si>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</si>
  <si>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</si>
  <si>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</si>
  <si>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</si>
  <si>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</si>
  <si>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</si>
  <si>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</si>
  <si>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</si>
  <si>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</si>
  <si>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</si>
  <si>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</si>
  <si>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Swapped Faulty SBNK Cluster 3A Bulkline 4 ligament valve with a spare ligament plug valve in lieu of a contractor to save $4k. 17/7/23</t>
  </si>
  <si>
    <t>Replaced cluster 2 bulk 1 &amp; 5 passing plug at Estuary in lieu of a contractor to save $4500.</t>
  </si>
  <si>
    <t>Swapped faulty W/134S Bean Box with that of suspended W/135S in lieu of a contractor to save        $3000.</t>
  </si>
  <si>
    <t>Swapped faulty W/122L Bean Box with that of suspended W/132L in lieu of a contractor to save        $4000.</t>
  </si>
  <si>
    <t>Clamped W/152T flowline to gain 1.7Bopd by July 2023.</t>
  </si>
  <si>
    <t>Clamped W/152T flowline to gain 1.7Bopd by Aug. 2023.</t>
  </si>
  <si>
    <t xml:space="preserve">Repaired Yokri ICG Radiator on DIY in lieu of workshop and logistics to save $8000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</si>
</sst>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47</xdr:row>
      <xdr:rowOff>95250</xdr:rowOff>
    </xdr:from>
    <xdr:to>
      <xdr:col>3</xdr:col>
      <xdr:colOff>12700</xdr:colOff>
      <xdr:row>50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AA009F9-10CE-47C6-AF80-D7EB442D4B5C}"/>
            </a:ext>
          </a:extLst>
        </xdr:cNvPr>
        <xdr:cNvCxnSpPr/>
      </xdr:nvCxnSpPr>
      <xdr:spPr>
        <a:xfrm flipV="1">
          <a:off x="5440456" y="1025338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49</xdr:row>
      <xdr:rowOff>114300</xdr:rowOff>
    </xdr:from>
    <xdr:to>
      <xdr:col>3</xdr:col>
      <xdr:colOff>57150</xdr:colOff>
      <xdr:row>51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2DA069-01FB-4F4F-B88E-125C658EE566}"/>
            </a:ext>
          </a:extLst>
        </xdr:cNvPr>
        <xdr:cNvCxnSpPr/>
      </xdr:nvCxnSpPr>
      <xdr:spPr>
        <a:xfrm flipV="1">
          <a:off x="4221256" y="1436594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53</xdr:row>
      <xdr:rowOff>57150</xdr:rowOff>
    </xdr:from>
    <xdr:to>
      <xdr:col>3</xdr:col>
      <xdr:colOff>76200</xdr:colOff>
      <xdr:row>54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4CDA777-FE32-48A2-B793-2D1332D2D54C}"/>
            </a:ext>
          </a:extLst>
        </xdr:cNvPr>
        <xdr:cNvCxnSpPr/>
      </xdr:nvCxnSpPr>
      <xdr:spPr>
        <a:xfrm flipV="1">
          <a:off x="5510306" y="2287121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55</xdr:row>
      <xdr:rowOff>114300</xdr:rowOff>
    </xdr:from>
    <xdr:to>
      <xdr:col>3</xdr:col>
      <xdr:colOff>44450</xdr:colOff>
      <xdr:row>56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69CDBDE-F7DD-4451-98B0-1BD367D96FC7}"/>
            </a:ext>
          </a:extLst>
        </xdr:cNvPr>
        <xdr:cNvCxnSpPr/>
      </xdr:nvCxnSpPr>
      <xdr:spPr>
        <a:xfrm>
          <a:off x="4240306" y="2725271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74</xdr:row>
      <xdr:rowOff>95250</xdr:rowOff>
    </xdr:from>
    <xdr:to>
      <xdr:col>3</xdr:col>
      <xdr:colOff>12700</xdr:colOff>
      <xdr:row>77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0FA0603-32E7-45C5-AAAF-1A2574837647}"/>
            </a:ext>
          </a:extLst>
        </xdr:cNvPr>
        <xdr:cNvCxnSpPr/>
      </xdr:nvCxnSpPr>
      <xdr:spPr>
        <a:xfrm flipV="1">
          <a:off x="5440456" y="6381750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76</xdr:row>
      <xdr:rowOff>114300</xdr:rowOff>
    </xdr:from>
    <xdr:to>
      <xdr:col>3</xdr:col>
      <xdr:colOff>57150</xdr:colOff>
      <xdr:row>78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4C3DB1E-41D4-4C7D-8A0D-2D4D55B0CE28}"/>
            </a:ext>
          </a:extLst>
        </xdr:cNvPr>
        <xdr:cNvCxnSpPr/>
      </xdr:nvCxnSpPr>
      <xdr:spPr>
        <a:xfrm flipV="1">
          <a:off x="4221256" y="6793006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80</xdr:row>
      <xdr:rowOff>57150</xdr:rowOff>
    </xdr:from>
    <xdr:to>
      <xdr:col>3</xdr:col>
      <xdr:colOff>76200</xdr:colOff>
      <xdr:row>81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69BEDB6-952C-4326-BD2D-9EC9BCD5408A}"/>
            </a:ext>
          </a:extLst>
        </xdr:cNvPr>
        <xdr:cNvCxnSpPr/>
      </xdr:nvCxnSpPr>
      <xdr:spPr>
        <a:xfrm flipV="1">
          <a:off x="5510306" y="7677150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82</xdr:row>
      <xdr:rowOff>114300</xdr:rowOff>
    </xdr:from>
    <xdr:to>
      <xdr:col>3</xdr:col>
      <xdr:colOff>44450</xdr:colOff>
      <xdr:row>83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3409412-7BAC-44FB-8FAB-D4B81FF7FC20}"/>
            </a:ext>
          </a:extLst>
        </xdr:cNvPr>
        <xdr:cNvCxnSpPr/>
      </xdr:nvCxnSpPr>
      <xdr:spPr>
        <a:xfrm>
          <a:off x="4240306" y="8115300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98</xdr:row>
      <xdr:rowOff>95250</xdr:rowOff>
    </xdr:from>
    <xdr:to>
      <xdr:col>3</xdr:col>
      <xdr:colOff>12700</xdr:colOff>
      <xdr:row>101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8EE410-010D-4B7D-AF6C-E0C1243C530D}"/>
            </a:ext>
          </a:extLst>
        </xdr:cNvPr>
        <xdr:cNvCxnSpPr/>
      </xdr:nvCxnSpPr>
      <xdr:spPr>
        <a:xfrm flipV="1">
          <a:off x="5440456" y="12074338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100</xdr:row>
      <xdr:rowOff>114300</xdr:rowOff>
    </xdr:from>
    <xdr:to>
      <xdr:col>3</xdr:col>
      <xdr:colOff>57150</xdr:colOff>
      <xdr:row>102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03915A6-7202-4922-AAB8-8FE59A9E7AC3}"/>
            </a:ext>
          </a:extLst>
        </xdr:cNvPr>
        <xdr:cNvCxnSpPr/>
      </xdr:nvCxnSpPr>
      <xdr:spPr>
        <a:xfrm flipV="1">
          <a:off x="4221256" y="12485594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104</xdr:row>
      <xdr:rowOff>57150</xdr:rowOff>
    </xdr:from>
    <xdr:to>
      <xdr:col>3</xdr:col>
      <xdr:colOff>76200</xdr:colOff>
      <xdr:row>105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B67F6E3-6F8F-47ED-8B82-305A405A3846}"/>
            </a:ext>
          </a:extLst>
        </xdr:cNvPr>
        <xdr:cNvCxnSpPr/>
      </xdr:nvCxnSpPr>
      <xdr:spPr>
        <a:xfrm flipV="1">
          <a:off x="5510306" y="13369738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106</xdr:row>
      <xdr:rowOff>114300</xdr:rowOff>
    </xdr:from>
    <xdr:to>
      <xdr:col>3</xdr:col>
      <xdr:colOff>44450</xdr:colOff>
      <xdr:row>107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420609B-2BE0-4B2B-80A8-44617D7C4244}"/>
            </a:ext>
          </a:extLst>
        </xdr:cNvPr>
        <xdr:cNvCxnSpPr/>
      </xdr:nvCxnSpPr>
      <xdr:spPr>
        <a:xfrm>
          <a:off x="4240306" y="13807888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122</xdr:row>
      <xdr:rowOff>95250</xdr:rowOff>
    </xdr:from>
    <xdr:to>
      <xdr:col>3</xdr:col>
      <xdr:colOff>12700</xdr:colOff>
      <xdr:row>125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80DBB6-E2A0-4ED4-8848-F1AB5CBE8AA6}"/>
            </a:ext>
          </a:extLst>
        </xdr:cNvPr>
        <xdr:cNvCxnSpPr/>
      </xdr:nvCxnSpPr>
      <xdr:spPr>
        <a:xfrm flipV="1">
          <a:off x="5440456" y="17195426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124</xdr:row>
      <xdr:rowOff>114300</xdr:rowOff>
    </xdr:from>
    <xdr:to>
      <xdr:col>3</xdr:col>
      <xdr:colOff>57150</xdr:colOff>
      <xdr:row>126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835ACBE-F09C-4A6A-AD41-B30D0FFA49B9}"/>
            </a:ext>
          </a:extLst>
        </xdr:cNvPr>
        <xdr:cNvCxnSpPr/>
      </xdr:nvCxnSpPr>
      <xdr:spPr>
        <a:xfrm flipV="1">
          <a:off x="4221256" y="17606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128</xdr:row>
      <xdr:rowOff>57150</xdr:rowOff>
    </xdr:from>
    <xdr:to>
      <xdr:col>3</xdr:col>
      <xdr:colOff>76200</xdr:colOff>
      <xdr:row>129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0A12757-1BEF-48E3-AB4E-EAE45119D89A}"/>
            </a:ext>
          </a:extLst>
        </xdr:cNvPr>
        <xdr:cNvCxnSpPr/>
      </xdr:nvCxnSpPr>
      <xdr:spPr>
        <a:xfrm flipV="1">
          <a:off x="5510306" y="18490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130</xdr:row>
      <xdr:rowOff>114300</xdr:rowOff>
    </xdr:from>
    <xdr:to>
      <xdr:col>3</xdr:col>
      <xdr:colOff>44450</xdr:colOff>
      <xdr:row>131</xdr:row>
      <xdr:rowOff>158750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338380A-7F36-4FE4-9889-B7B3D9D64987}"/>
            </a:ext>
          </a:extLst>
        </xdr:cNvPr>
        <xdr:cNvCxnSpPr/>
      </xdr:nvCxnSpPr>
      <xdr:spPr>
        <a:xfrm>
          <a:off x="4240306" y="18928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146</xdr:row>
      <xdr:rowOff>95250</xdr:rowOff>
    </xdr:from>
    <xdr:to>
      <xdr:col>3</xdr:col>
      <xdr:colOff>12700</xdr:colOff>
      <xdr:row>149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7C79E34-6AC9-400A-A035-F74F52781CA2}"/>
            </a:ext>
          </a:extLst>
        </xdr:cNvPr>
        <xdr:cNvCxnSpPr/>
      </xdr:nvCxnSpPr>
      <xdr:spPr>
        <a:xfrm flipV="1">
          <a:off x="5440456" y="22170838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148</xdr:row>
      <xdr:rowOff>114300</xdr:rowOff>
    </xdr:from>
    <xdr:to>
      <xdr:col>3</xdr:col>
      <xdr:colOff>57150</xdr:colOff>
      <xdr:row>150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5D7ABD6-D1BF-43AC-AC4A-D34C6276C772}"/>
            </a:ext>
          </a:extLst>
        </xdr:cNvPr>
        <xdr:cNvCxnSpPr/>
      </xdr:nvCxnSpPr>
      <xdr:spPr>
        <a:xfrm flipV="1">
          <a:off x="4221256" y="22582094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152</xdr:row>
      <xdr:rowOff>57150</xdr:rowOff>
    </xdr:from>
    <xdr:to>
      <xdr:col>3</xdr:col>
      <xdr:colOff>76200</xdr:colOff>
      <xdr:row>153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7C83DA4-0BA2-4A61-BBCE-AA9AC5CCD399}"/>
            </a:ext>
          </a:extLst>
        </xdr:cNvPr>
        <xdr:cNvCxnSpPr/>
      </xdr:nvCxnSpPr>
      <xdr:spPr>
        <a:xfrm flipV="1">
          <a:off x="5510306" y="23466238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154</xdr:row>
      <xdr:rowOff>114300</xdr:rowOff>
    </xdr:from>
    <xdr:to>
      <xdr:col>3</xdr:col>
      <xdr:colOff>44450</xdr:colOff>
      <xdr:row>155</xdr:row>
      <xdr:rowOff>158750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33C5FD7-B65B-40DB-9993-755F496F5C06}"/>
            </a:ext>
          </a:extLst>
        </xdr:cNvPr>
        <xdr:cNvCxnSpPr/>
      </xdr:nvCxnSpPr>
      <xdr:spPr>
        <a:xfrm>
          <a:off x="4240306" y="23904388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172</xdr:row>
      <xdr:rowOff>95250</xdr:rowOff>
    </xdr:from>
    <xdr:to>
      <xdr:col>3</xdr:col>
      <xdr:colOff>12700</xdr:colOff>
      <xdr:row>175</xdr:row>
      <xdr:rowOff>38100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17B2068-8F6A-49D5-8AD5-56B64479A38F}"/>
            </a:ext>
          </a:extLst>
        </xdr:cNvPr>
        <xdr:cNvCxnSpPr/>
      </xdr:nvCxnSpPr>
      <xdr:spPr>
        <a:xfrm flipV="1">
          <a:off x="5440456" y="27146250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174</xdr:row>
      <xdr:rowOff>114300</xdr:rowOff>
    </xdr:from>
    <xdr:to>
      <xdr:col>3</xdr:col>
      <xdr:colOff>57150</xdr:colOff>
      <xdr:row>176</xdr:row>
      <xdr:rowOff>114300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568D80C-24A4-4CAF-B511-FE9FED0B8743}"/>
            </a:ext>
          </a:extLst>
        </xdr:cNvPr>
        <xdr:cNvCxnSpPr/>
      </xdr:nvCxnSpPr>
      <xdr:spPr>
        <a:xfrm flipV="1">
          <a:off x="4221256" y="27557506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178</xdr:row>
      <xdr:rowOff>57150</xdr:rowOff>
    </xdr:from>
    <xdr:to>
      <xdr:col>3</xdr:col>
      <xdr:colOff>76200</xdr:colOff>
      <xdr:row>179</xdr:row>
      <xdr:rowOff>38100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F63B206-C0F4-4431-8AF6-26AA80090D3B}"/>
            </a:ext>
          </a:extLst>
        </xdr:cNvPr>
        <xdr:cNvCxnSpPr/>
      </xdr:nvCxnSpPr>
      <xdr:spPr>
        <a:xfrm flipV="1">
          <a:off x="5510306" y="28441650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180</xdr:row>
      <xdr:rowOff>114300</xdr:rowOff>
    </xdr:from>
    <xdr:to>
      <xdr:col>3</xdr:col>
      <xdr:colOff>44450</xdr:colOff>
      <xdr:row>181</xdr:row>
      <xdr:rowOff>158750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823A2A-F10A-4347-9C66-F0832E2FF3C9}"/>
            </a:ext>
          </a:extLst>
        </xdr:cNvPr>
        <xdr:cNvCxnSpPr/>
      </xdr:nvCxnSpPr>
      <xdr:spPr>
        <a:xfrm>
          <a:off x="4240306" y="28879800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90"/>
  <sheetViews>
    <sheetView tabSelected="1" topLeftCell="C18" zoomScale="85" zoomScaleNormal="85" workbookViewId="0">
      <selection activeCell="C169" sqref="C169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27" thickBot="1" x14ac:dyDescent="0.3">
      <c r="B18" s="73"/>
      <c r="C18" s="151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4000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480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0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ht="27" thickBot="1" x14ac:dyDescent="0.3">
      <c r="C44" s="151" t="s">
        <v>137</v>
      </c>
      <c r="D44" s="73"/>
      <c r="E44" s="85"/>
      <c r="F44" s="110"/>
      <c r="G44" s="84"/>
      <c r="I44" s="73"/>
    </row>
    <row r="45" spans="3:10" ht="15.75" thickBot="1" x14ac:dyDescent="0.3">
      <c r="C45" s="97" t="s">
        <v>37</v>
      </c>
      <c r="D45" s="98" t="s">
        <v>38</v>
      </c>
      <c r="E45" s="99"/>
      <c r="F45" s="111"/>
    </row>
    <row r="46" spans="3:10" x14ac:dyDescent="0.25">
      <c r="C46" s="100" t="s">
        <v>39</v>
      </c>
      <c r="D46" s="116" t="s">
        <v>40</v>
      </c>
      <c r="E46" s="90"/>
      <c r="F46" s="112"/>
    </row>
    <row r="47" spans="3:10" x14ac:dyDescent="0.25">
      <c r="C47" s="69"/>
      <c r="D47" s="143"/>
      <c r="E47" s="144"/>
      <c r="F47" s="145"/>
    </row>
    <row r="48" spans="3:10" ht="15.75" thickBot="1" x14ac:dyDescent="0.3">
      <c r="C48" s="69" t="s">
        <v>41</v>
      </c>
      <c r="D48" s="117" t="s">
        <v>11</v>
      </c>
      <c r="E48" s="91">
        <f>IF(D48=$K$4,(VLOOKUP(D50,$C$5:$F$17,2,FALSE)),(VLOOKUP(D50,$C$5:$F$17,4,FALSE)))</f>
        <v>0.4</v>
      </c>
      <c r="F48" s="113">
        <v>4500</v>
      </c>
    </row>
    <row r="49" spans="3:12" x14ac:dyDescent="0.25">
      <c r="C49" s="70" t="s">
        <v>42</v>
      </c>
      <c r="D49" s="118" t="s">
        <v>43</v>
      </c>
      <c r="E49" s="82"/>
      <c r="F49" s="113">
        <v>0</v>
      </c>
      <c r="H49" s="139" t="s">
        <v>44</v>
      </c>
      <c r="I49" s="140"/>
      <c r="J49" s="95" t="s">
        <v>45</v>
      </c>
    </row>
    <row r="50" spans="3:12" ht="15.75" thickBot="1" x14ac:dyDescent="0.3">
      <c r="C50" s="69" t="s">
        <v>46</v>
      </c>
      <c r="D50" s="119" t="s">
        <v>10</v>
      </c>
      <c r="E50" s="92">
        <f>VLOOKUP(D50,$C$4:$F$17,3,FALSE)</f>
        <v>0.3</v>
      </c>
      <c r="F50" s="106">
        <f>(F48-F49)*E50*E48</f>
        <v>540</v>
      </c>
      <c r="H50" s="141"/>
      <c r="I50" s="142"/>
      <c r="J50" s="96" t="s">
        <v>47</v>
      </c>
    </row>
    <row r="51" spans="3:12" ht="27" thickBot="1" x14ac:dyDescent="0.3">
      <c r="C51" s="70" t="s">
        <v>48</v>
      </c>
    </row>
    <row r="52" spans="3:12" ht="15.75" thickBot="1" x14ac:dyDescent="0.3">
      <c r="C52" s="69" t="s">
        <v>49</v>
      </c>
      <c r="D52" s="99" t="s">
        <v>50</v>
      </c>
      <c r="E52" s="99"/>
      <c r="F52" s="111"/>
      <c r="L52" s="72">
        <f>550100.12-109279.84</f>
        <v>440820.28</v>
      </c>
    </row>
    <row r="53" spans="3:12" x14ac:dyDescent="0.25">
      <c r="C53" s="69" t="s">
        <v>51</v>
      </c>
      <c r="D53" s="90" t="s">
        <v>52</v>
      </c>
      <c r="E53" s="90"/>
      <c r="F53" s="112"/>
    </row>
    <row r="54" spans="3:12" x14ac:dyDescent="0.25">
      <c r="C54" s="69" t="s">
        <v>53</v>
      </c>
      <c r="D54" s="102" t="s">
        <v>17</v>
      </c>
      <c r="E54" s="82">
        <f>IF(D54=$K$7,(VLOOKUP(D57,$O$4:$S$16,3,FALSE)),IF(D54=$K$8,(VLOOKUP(D57,$O$4:S$16,4,FALSE)),(VLOOKUP(D57,$O$4:S$16,5,FALSE))))</f>
        <v>10.8</v>
      </c>
      <c r="F54" s="113">
        <v>0</v>
      </c>
    </row>
    <row r="55" spans="3:12" x14ac:dyDescent="0.25">
      <c r="C55" s="69" t="s">
        <v>54</v>
      </c>
      <c r="D55" s="104" t="s">
        <v>55</v>
      </c>
      <c r="E55" s="91">
        <f>(VLOOKUP(D57,$C$5:$F$16,3,FALSE))</f>
        <v>0.3</v>
      </c>
      <c r="F55" s="113">
        <v>0</v>
      </c>
    </row>
    <row r="56" spans="3:12" x14ac:dyDescent="0.25">
      <c r="C56" s="69" t="s">
        <v>56</v>
      </c>
      <c r="D56" s="101" t="s">
        <v>43</v>
      </c>
      <c r="E56" s="91">
        <f>(VLOOKUP(D57,$C$5:$F$16,4,FALSE))</f>
        <v>0.4</v>
      </c>
      <c r="F56" s="113">
        <v>0</v>
      </c>
    </row>
    <row r="57" spans="3:12" ht="27" thickBot="1" x14ac:dyDescent="0.3">
      <c r="C57" s="70" t="s">
        <v>57</v>
      </c>
      <c r="D57" s="103" t="s">
        <v>10</v>
      </c>
      <c r="E57" s="92">
        <f>VLOOKUP(D57,$O$4:$S$16,2,FALSE)</f>
        <v>0.3</v>
      </c>
      <c r="F57" s="105">
        <f>(((F55/365)*F54*E57*E54)*1000)-(F56*E56*E55)</f>
        <v>0</v>
      </c>
      <c r="G57" s="115"/>
      <c r="J57" s="115">
        <f>F57*1000</f>
        <v>0</v>
      </c>
    </row>
    <row r="58" spans="3:12" x14ac:dyDescent="0.25">
      <c r="C58" s="69" t="s">
        <v>58</v>
      </c>
    </row>
    <row r="59" spans="3:12" ht="15.75" thickBot="1" x14ac:dyDescent="0.3">
      <c r="C59" s="71"/>
      <c r="D59" s="78"/>
      <c r="E59" s="73"/>
      <c r="F59" s="110"/>
      <c r="G59" s="87"/>
    </row>
    <row r="60" spans="3:12" x14ac:dyDescent="0.25">
      <c r="D60" s="73"/>
      <c r="E60" s="73"/>
      <c r="F60" s="110">
        <f>F57/6</f>
        <v>0</v>
      </c>
      <c r="G60" s="85"/>
    </row>
    <row r="61" spans="3:12" x14ac:dyDescent="0.25">
      <c r="D61" s="93"/>
      <c r="E61" s="73"/>
      <c r="F61" s="110"/>
      <c r="G61" s="85"/>
    </row>
    <row r="62" spans="3:12" ht="15.75" thickBot="1" x14ac:dyDescent="0.3">
      <c r="D62" s="78"/>
      <c r="E62" s="73"/>
      <c r="F62" s="110"/>
      <c r="G62" s="88"/>
      <c r="J62" s="72">
        <f>550100.12</f>
        <v>550100.12</v>
      </c>
    </row>
    <row r="63" spans="3:12" x14ac:dyDescent="0.25">
      <c r="C63" s="149" t="s">
        <v>59</v>
      </c>
      <c r="F63" s="114"/>
    </row>
    <row r="64" spans="3:12" ht="15.75" thickBot="1" x14ac:dyDescent="0.3">
      <c r="C64" s="150"/>
      <c r="D64" s="78"/>
      <c r="E64" s="73"/>
      <c r="F64" s="110"/>
      <c r="G64" s="87"/>
    </row>
    <row r="65" spans="3:12" x14ac:dyDescent="0.25">
      <c r="D65" s="73"/>
      <c r="E65" s="73"/>
      <c r="F65" s="110">
        <f>317+334+231</f>
        <v>882</v>
      </c>
      <c r="G65" s="85"/>
      <c r="H65" s="72" t="e">
        <f>F65/F55</f>
        <v>#DIV/0!</v>
      </c>
    </row>
    <row r="66" spans="3:12" x14ac:dyDescent="0.25">
      <c r="D66" s="93"/>
      <c r="E66" s="73"/>
      <c r="F66" s="110"/>
      <c r="G66" s="85"/>
    </row>
    <row r="67" spans="3:12" x14ac:dyDescent="0.25">
      <c r="D67" s="78"/>
      <c r="E67" s="73"/>
      <c r="F67" s="110"/>
      <c r="G67" s="88"/>
    </row>
    <row r="71" spans="3:12" ht="27" thickBot="1" x14ac:dyDescent="0.3">
      <c r="C71" s="151" t="s">
        <v>138</v>
      </c>
      <c r="D71" s="73"/>
      <c r="E71" s="85"/>
      <c r="F71" s="110"/>
      <c r="G71" s="84"/>
      <c r="I71" s="73"/>
    </row>
    <row r="72" spans="3:12" ht="15.75" thickBot="1" x14ac:dyDescent="0.3">
      <c r="C72" s="97" t="s">
        <v>37</v>
      </c>
      <c r="D72" s="98" t="s">
        <v>38</v>
      </c>
      <c r="E72" s="99"/>
      <c r="F72" s="111"/>
    </row>
    <row r="73" spans="3:12" x14ac:dyDescent="0.25">
      <c r="C73" s="100" t="s">
        <v>39</v>
      </c>
      <c r="D73" s="116" t="s">
        <v>40</v>
      </c>
      <c r="E73" s="90"/>
      <c r="F73" s="112"/>
    </row>
    <row r="74" spans="3:12" x14ac:dyDescent="0.25">
      <c r="C74" s="69"/>
      <c r="D74" s="143"/>
      <c r="E74" s="144"/>
      <c r="F74" s="145"/>
    </row>
    <row r="75" spans="3:12" ht="15.75" thickBot="1" x14ac:dyDescent="0.3">
      <c r="C75" s="69" t="s">
        <v>41</v>
      </c>
      <c r="D75" s="117" t="s">
        <v>11</v>
      </c>
      <c r="E75" s="91">
        <f>IF(D75=$K$4,(VLOOKUP(D77,$C$5:$F$17,2,FALSE)),(VLOOKUP(D77,$C$5:$F$17,4,FALSE)))</f>
        <v>0.4</v>
      </c>
      <c r="F75" s="113">
        <v>3000</v>
      </c>
    </row>
    <row r="76" spans="3:12" x14ac:dyDescent="0.25">
      <c r="C76" s="70" t="s">
        <v>42</v>
      </c>
      <c r="D76" s="118" t="s">
        <v>43</v>
      </c>
      <c r="E76" s="82"/>
      <c r="F76" s="113">
        <v>0</v>
      </c>
      <c r="H76" s="139" t="s">
        <v>44</v>
      </c>
      <c r="I76" s="140"/>
      <c r="J76" s="95" t="s">
        <v>45</v>
      </c>
    </row>
    <row r="77" spans="3:12" ht="15.75" thickBot="1" x14ac:dyDescent="0.3">
      <c r="C77" s="69" t="s">
        <v>46</v>
      </c>
      <c r="D77" s="119" t="s">
        <v>10</v>
      </c>
      <c r="E77" s="92">
        <f>VLOOKUP(D77,$C$4:$F$17,3,FALSE)</f>
        <v>0.3</v>
      </c>
      <c r="F77" s="106">
        <f>(F75-F76)*E77*E75</f>
        <v>360</v>
      </c>
      <c r="H77" s="141"/>
      <c r="I77" s="142"/>
      <c r="J77" s="96" t="s">
        <v>47</v>
      </c>
    </row>
    <row r="78" spans="3:12" ht="27" thickBot="1" x14ac:dyDescent="0.3">
      <c r="C78" s="70" t="s">
        <v>48</v>
      </c>
    </row>
    <row r="79" spans="3:12" ht="15.75" thickBot="1" x14ac:dyDescent="0.3">
      <c r="C79" s="69" t="s">
        <v>49</v>
      </c>
      <c r="D79" s="99" t="s">
        <v>50</v>
      </c>
      <c r="E79" s="99"/>
      <c r="F79" s="111"/>
      <c r="L79" s="72">
        <f>550100.12-109279.84</f>
        <v>440820.28</v>
      </c>
    </row>
    <row r="80" spans="3:12" x14ac:dyDescent="0.25">
      <c r="C80" s="69" t="s">
        <v>51</v>
      </c>
      <c r="D80" s="90" t="s">
        <v>52</v>
      </c>
      <c r="E80" s="90"/>
      <c r="F80" s="112"/>
    </row>
    <row r="81" spans="3:10" x14ac:dyDescent="0.25">
      <c r="C81" s="69" t="s">
        <v>53</v>
      </c>
      <c r="D81" s="102" t="s">
        <v>17</v>
      </c>
      <c r="E81" s="82">
        <f>IF(D81=$K$7,(VLOOKUP(D84,$O$4:$S$16,3,FALSE)),IF(D81=$K$8,(VLOOKUP(D84,$O$4:S$16,4,FALSE)),(VLOOKUP(D84,$O$4:S$16,5,FALSE))))</f>
        <v>10.8</v>
      </c>
      <c r="F81" s="113">
        <v>0</v>
      </c>
    </row>
    <row r="82" spans="3:10" x14ac:dyDescent="0.25">
      <c r="C82" s="69" t="s">
        <v>54</v>
      </c>
      <c r="D82" s="104" t="s">
        <v>55</v>
      </c>
      <c r="E82" s="91">
        <f>(VLOOKUP(D84,$C$5:$F$16,3,FALSE))</f>
        <v>0.3</v>
      </c>
      <c r="F82" s="113">
        <v>0</v>
      </c>
    </row>
    <row r="83" spans="3:10" x14ac:dyDescent="0.25">
      <c r="C83" s="69" t="s">
        <v>56</v>
      </c>
      <c r="D83" s="101" t="s">
        <v>43</v>
      </c>
      <c r="E83" s="91">
        <f>(VLOOKUP(D84,$C$5:$F$16,4,FALSE))</f>
        <v>0.4</v>
      </c>
      <c r="F83" s="113">
        <v>0</v>
      </c>
    </row>
    <row r="84" spans="3:10" ht="27" thickBot="1" x14ac:dyDescent="0.3">
      <c r="C84" s="70" t="s">
        <v>57</v>
      </c>
      <c r="D84" s="103" t="s">
        <v>10</v>
      </c>
      <c r="E84" s="92">
        <f>VLOOKUP(D84,$O$4:$S$16,2,FALSE)</f>
        <v>0.3</v>
      </c>
      <c r="F84" s="105">
        <f>(((F82/365)*F81*E84*E81)*1000)-(F83*E83*E82)</f>
        <v>0</v>
      </c>
      <c r="G84" s="115"/>
      <c r="J84" s="115">
        <f>F84*1000</f>
        <v>0</v>
      </c>
    </row>
    <row r="85" spans="3:10" x14ac:dyDescent="0.25">
      <c r="C85" s="69" t="s">
        <v>58</v>
      </c>
    </row>
    <row r="86" spans="3:10" ht="15.75" thickBot="1" x14ac:dyDescent="0.3">
      <c r="C86" s="71"/>
      <c r="D86" s="78"/>
      <c r="E86" s="73"/>
      <c r="F86" s="110"/>
      <c r="G86" s="87"/>
    </row>
    <row r="87" spans="3:10" x14ac:dyDescent="0.25">
      <c r="D87" s="73"/>
      <c r="E87" s="73"/>
      <c r="F87" s="110">
        <f>F84/6</f>
        <v>0</v>
      </c>
      <c r="G87" s="85"/>
    </row>
    <row r="88" spans="3:10" x14ac:dyDescent="0.25">
      <c r="D88" s="93"/>
      <c r="E88" s="73"/>
      <c r="F88" s="110"/>
      <c r="G88" s="85"/>
    </row>
    <row r="89" spans="3:10" ht="15.75" thickBot="1" x14ac:dyDescent="0.3">
      <c r="D89" s="78"/>
      <c r="E89" s="73"/>
      <c r="F89" s="110"/>
      <c r="G89" s="88"/>
      <c r="J89" s="72">
        <f>550100.12</f>
        <v>550100.12</v>
      </c>
    </row>
    <row r="90" spans="3:10" x14ac:dyDescent="0.25">
      <c r="C90" s="149" t="s">
        <v>59</v>
      </c>
      <c r="F90" s="114"/>
    </row>
    <row r="91" spans="3:10" ht="15.75" thickBot="1" x14ac:dyDescent="0.3">
      <c r="C91" s="150"/>
      <c r="D91" s="78"/>
      <c r="E91" s="73"/>
      <c r="F91" s="110"/>
      <c r="G91" s="87"/>
    </row>
    <row r="92" spans="3:10" x14ac:dyDescent="0.25">
      <c r="D92" s="73"/>
      <c r="E92" s="73"/>
      <c r="F92" s="110">
        <f>317+334+231</f>
        <v>882</v>
      </c>
      <c r="G92" s="85"/>
      <c r="H92" s="72" t="e">
        <f>F92/F82</f>
        <v>#DIV/0!</v>
      </c>
    </row>
    <row r="93" spans="3:10" x14ac:dyDescent="0.25">
      <c r="D93" s="93"/>
      <c r="E93" s="73"/>
      <c r="F93" s="110"/>
      <c r="G93" s="85"/>
    </row>
    <row r="94" spans="3:10" x14ac:dyDescent="0.25">
      <c r="D94" s="78"/>
      <c r="E94" s="73"/>
      <c r="F94" s="110"/>
      <c r="G94" s="88"/>
    </row>
    <row r="95" spans="3:10" ht="27" thickBot="1" x14ac:dyDescent="0.3">
      <c r="C95" s="151" t="s">
        <v>139</v>
      </c>
      <c r="D95" s="73"/>
      <c r="E95" s="85"/>
      <c r="F95" s="110"/>
      <c r="G95" s="84"/>
      <c r="I95" s="73"/>
    </row>
    <row r="96" spans="3:10" ht="15.75" thickBot="1" x14ac:dyDescent="0.3">
      <c r="C96" s="97" t="s">
        <v>37</v>
      </c>
      <c r="D96" s="98" t="s">
        <v>38</v>
      </c>
      <c r="E96" s="99"/>
      <c r="F96" s="111"/>
    </row>
    <row r="97" spans="3:12" x14ac:dyDescent="0.25">
      <c r="C97" s="100" t="s">
        <v>39</v>
      </c>
      <c r="D97" s="116" t="s">
        <v>40</v>
      </c>
      <c r="E97" s="90"/>
      <c r="F97" s="112"/>
    </row>
    <row r="98" spans="3:12" x14ac:dyDescent="0.25">
      <c r="C98" s="69"/>
      <c r="D98" s="143"/>
      <c r="E98" s="144"/>
      <c r="F98" s="145"/>
    </row>
    <row r="99" spans="3:12" ht="15.75" thickBot="1" x14ac:dyDescent="0.3">
      <c r="C99" s="69" t="s">
        <v>41</v>
      </c>
      <c r="D99" s="117" t="s">
        <v>11</v>
      </c>
      <c r="E99" s="91">
        <f>IF(D99=$K$4,(VLOOKUP(D101,$C$5:$F$17,2,FALSE)),(VLOOKUP(D101,$C$5:$F$17,4,FALSE)))</f>
        <v>0.4</v>
      </c>
      <c r="F99" s="113">
        <v>4000</v>
      </c>
    </row>
    <row r="100" spans="3:12" x14ac:dyDescent="0.25">
      <c r="C100" s="70" t="s">
        <v>42</v>
      </c>
      <c r="D100" s="118" t="s">
        <v>43</v>
      </c>
      <c r="E100" s="82"/>
      <c r="F100" s="113">
        <v>0</v>
      </c>
      <c r="H100" s="139" t="s">
        <v>44</v>
      </c>
      <c r="I100" s="140"/>
      <c r="J100" s="95" t="s">
        <v>45</v>
      </c>
    </row>
    <row r="101" spans="3:12" ht="15.75" thickBot="1" x14ac:dyDescent="0.3">
      <c r="C101" s="69" t="s">
        <v>46</v>
      </c>
      <c r="D101" s="119" t="s">
        <v>10</v>
      </c>
      <c r="E101" s="92">
        <f>VLOOKUP(D101,$C$4:$F$17,3,FALSE)</f>
        <v>0.3</v>
      </c>
      <c r="F101" s="106">
        <f>(F99-F100)*E101*E99</f>
        <v>480</v>
      </c>
      <c r="H101" s="141"/>
      <c r="I101" s="142"/>
      <c r="J101" s="96" t="s">
        <v>47</v>
      </c>
    </row>
    <row r="102" spans="3:12" ht="27" thickBot="1" x14ac:dyDescent="0.3">
      <c r="C102" s="70" t="s">
        <v>48</v>
      </c>
    </row>
    <row r="103" spans="3:12" ht="15.75" thickBot="1" x14ac:dyDescent="0.3">
      <c r="C103" s="69" t="s">
        <v>49</v>
      </c>
      <c r="D103" s="99" t="s">
        <v>50</v>
      </c>
      <c r="E103" s="99"/>
      <c r="F103" s="111"/>
      <c r="L103" s="72">
        <f>550100.12-109279.84</f>
        <v>440820.28</v>
      </c>
    </row>
    <row r="104" spans="3:12" x14ac:dyDescent="0.25">
      <c r="C104" s="69" t="s">
        <v>51</v>
      </c>
      <c r="D104" s="90" t="s">
        <v>52</v>
      </c>
      <c r="E104" s="90"/>
      <c r="F104" s="112"/>
    </row>
    <row r="105" spans="3:12" x14ac:dyDescent="0.25">
      <c r="C105" s="69" t="s">
        <v>53</v>
      </c>
      <c r="D105" s="102" t="s">
        <v>17</v>
      </c>
      <c r="E105" s="82">
        <f>IF(D105=$K$7,(VLOOKUP(D108,$O$4:$S$16,3,FALSE)),IF(D105=$K$8,(VLOOKUP(D108,$O$4:S$16,4,FALSE)),(VLOOKUP(D108,$O$4:S$16,5,FALSE))))</f>
        <v>10.8</v>
      </c>
      <c r="F105" s="113">
        <v>0</v>
      </c>
    </row>
    <row r="106" spans="3:12" x14ac:dyDescent="0.25">
      <c r="C106" s="69" t="s">
        <v>54</v>
      </c>
      <c r="D106" s="104" t="s">
        <v>55</v>
      </c>
      <c r="E106" s="91">
        <f>(VLOOKUP(D108,$C$5:$F$16,3,FALSE))</f>
        <v>0.3</v>
      </c>
      <c r="F106" s="113">
        <v>0</v>
      </c>
    </row>
    <row r="107" spans="3:12" x14ac:dyDescent="0.25">
      <c r="C107" s="69" t="s">
        <v>56</v>
      </c>
      <c r="D107" s="101" t="s">
        <v>43</v>
      </c>
      <c r="E107" s="91">
        <f>(VLOOKUP(D108,$C$5:$F$16,4,FALSE))</f>
        <v>0.4</v>
      </c>
      <c r="F107" s="113">
        <v>0</v>
      </c>
    </row>
    <row r="108" spans="3:12" ht="27" thickBot="1" x14ac:dyDescent="0.3">
      <c r="C108" s="70" t="s">
        <v>57</v>
      </c>
      <c r="D108" s="103" t="s">
        <v>10</v>
      </c>
      <c r="E108" s="92">
        <f>VLOOKUP(D108,$O$4:$S$16,2,FALSE)</f>
        <v>0.3</v>
      </c>
      <c r="F108" s="105">
        <f>(((F106/365)*F105*E108*E105)*1000)-(F107*E107*E106)</f>
        <v>0</v>
      </c>
      <c r="G108" s="115"/>
      <c r="J108" s="115">
        <f>F108*1000</f>
        <v>0</v>
      </c>
    </row>
    <row r="109" spans="3:12" x14ac:dyDescent="0.25">
      <c r="C109" s="69" t="s">
        <v>58</v>
      </c>
    </row>
    <row r="110" spans="3:12" ht="15.75" thickBot="1" x14ac:dyDescent="0.3">
      <c r="C110" s="71"/>
      <c r="D110" s="78"/>
      <c r="E110" s="73"/>
      <c r="F110" s="110"/>
      <c r="G110" s="87"/>
    </row>
    <row r="111" spans="3:12" x14ac:dyDescent="0.25">
      <c r="D111" s="73"/>
      <c r="E111" s="73"/>
      <c r="F111" s="110">
        <f>F108/6</f>
        <v>0</v>
      </c>
      <c r="G111" s="85"/>
    </row>
    <row r="112" spans="3:12" x14ac:dyDescent="0.25">
      <c r="D112" s="93"/>
      <c r="E112" s="73"/>
      <c r="F112" s="110"/>
      <c r="G112" s="85"/>
    </row>
    <row r="113" spans="3:12" ht="15.75" thickBot="1" x14ac:dyDescent="0.3">
      <c r="D113" s="78"/>
      <c r="E113" s="73"/>
      <c r="F113" s="110"/>
      <c r="G113" s="88"/>
      <c r="J113" s="72">
        <f>550100.12</f>
        <v>550100.12</v>
      </c>
    </row>
    <row r="114" spans="3:12" x14ac:dyDescent="0.25">
      <c r="C114" s="149" t="s">
        <v>59</v>
      </c>
      <c r="F114" s="114"/>
    </row>
    <row r="115" spans="3:12" ht="15.75" thickBot="1" x14ac:dyDescent="0.3">
      <c r="C115" s="150"/>
      <c r="D115" s="78"/>
      <c r="E115" s="73"/>
      <c r="F115" s="110"/>
      <c r="G115" s="87"/>
    </row>
    <row r="116" spans="3:12" x14ac:dyDescent="0.25">
      <c r="D116" s="73"/>
      <c r="E116" s="73"/>
      <c r="F116" s="110">
        <f>317+334+231</f>
        <v>882</v>
      </c>
      <c r="G116" s="85"/>
      <c r="H116" s="72" t="e">
        <f>F116/F106</f>
        <v>#DIV/0!</v>
      </c>
    </row>
    <row r="119" spans="3:12" ht="15.75" thickBot="1" x14ac:dyDescent="0.3">
      <c r="C119" t="s">
        <v>140</v>
      </c>
      <c r="D119" s="73"/>
      <c r="E119" s="85"/>
      <c r="F119" s="110"/>
      <c r="G119" s="84"/>
      <c r="I119" s="73"/>
    </row>
    <row r="120" spans="3:12" ht="15.75" thickBot="1" x14ac:dyDescent="0.3">
      <c r="C120" s="97" t="s">
        <v>37</v>
      </c>
      <c r="D120" s="98" t="s">
        <v>38</v>
      </c>
      <c r="E120" s="99"/>
      <c r="F120" s="111"/>
    </row>
    <row r="121" spans="3:12" x14ac:dyDescent="0.25">
      <c r="C121" s="100" t="s">
        <v>39</v>
      </c>
      <c r="D121" s="116" t="s">
        <v>40</v>
      </c>
      <c r="E121" s="90"/>
      <c r="F121" s="112"/>
    </row>
    <row r="122" spans="3:12" x14ac:dyDescent="0.25">
      <c r="C122" s="69"/>
      <c r="D122" s="143"/>
      <c r="E122" s="144"/>
      <c r="F122" s="145"/>
    </row>
    <row r="123" spans="3:12" ht="15.75" thickBot="1" x14ac:dyDescent="0.3">
      <c r="C123" s="69" t="s">
        <v>41</v>
      </c>
      <c r="D123" s="117" t="s">
        <v>11</v>
      </c>
      <c r="E123" s="91">
        <f>IF(D123=$K$4,(VLOOKUP(D125,$C$5:$F$17,2,FALSE)),(VLOOKUP(D125,$C$5:$F$17,4,FALSE)))</f>
        <v>0.4</v>
      </c>
      <c r="F123" s="113"/>
    </row>
    <row r="124" spans="3:12" x14ac:dyDescent="0.25">
      <c r="C124" s="70" t="s">
        <v>42</v>
      </c>
      <c r="D124" s="118" t="s">
        <v>43</v>
      </c>
      <c r="E124" s="82"/>
      <c r="F124" s="113">
        <v>0</v>
      </c>
      <c r="H124" s="139" t="s">
        <v>44</v>
      </c>
      <c r="I124" s="140"/>
      <c r="J124" s="95" t="s">
        <v>45</v>
      </c>
    </row>
    <row r="125" spans="3:12" ht="15.75" thickBot="1" x14ac:dyDescent="0.3">
      <c r="C125" s="69" t="s">
        <v>46</v>
      </c>
      <c r="D125" s="119" t="s">
        <v>10</v>
      </c>
      <c r="E125" s="92">
        <f>VLOOKUP(D125,$C$4:$F$17,3,FALSE)</f>
        <v>0.3</v>
      </c>
      <c r="F125" s="106">
        <f>(F123-F124)*E125*E123</f>
        <v>0</v>
      </c>
      <c r="H125" s="141"/>
      <c r="I125" s="142"/>
      <c r="J125" s="96" t="s">
        <v>47</v>
      </c>
    </row>
    <row r="126" spans="3:12" ht="27" thickBot="1" x14ac:dyDescent="0.3">
      <c r="C126" s="70" t="s">
        <v>48</v>
      </c>
    </row>
    <row r="127" spans="3:12" ht="15.75" thickBot="1" x14ac:dyDescent="0.3">
      <c r="C127" s="69" t="s">
        <v>49</v>
      </c>
      <c r="D127" s="99" t="s">
        <v>50</v>
      </c>
      <c r="E127" s="99"/>
      <c r="F127" s="111"/>
      <c r="L127" s="72">
        <f>550100.12-109279.84</f>
        <v>440820.28</v>
      </c>
    </row>
    <row r="128" spans="3:12" x14ac:dyDescent="0.25">
      <c r="C128" s="69" t="s">
        <v>51</v>
      </c>
      <c r="D128" s="90" t="s">
        <v>52</v>
      </c>
      <c r="E128" s="90"/>
      <c r="F128" s="112"/>
    </row>
    <row r="129" spans="3:10" x14ac:dyDescent="0.25">
      <c r="C129" s="69" t="s">
        <v>53</v>
      </c>
      <c r="D129" s="102" t="s">
        <v>17</v>
      </c>
      <c r="E129" s="82">
        <f>IF(D129=$K$7,(VLOOKUP(D132,$O$4:$S$16,3,FALSE)),IF(D129=$K$8,(VLOOKUP(D132,$O$4:S$16,4,FALSE)),(VLOOKUP(D132,$O$4:S$16,5,FALSE))))</f>
        <v>10.8</v>
      </c>
      <c r="F129" s="113">
        <v>1.7</v>
      </c>
    </row>
    <row r="130" spans="3:10" x14ac:dyDescent="0.25">
      <c r="C130" s="69" t="s">
        <v>54</v>
      </c>
      <c r="D130" s="104" t="s">
        <v>55</v>
      </c>
      <c r="E130" s="91">
        <f>(VLOOKUP(D132,$C$5:$F$16,3,FALSE))</f>
        <v>0.3</v>
      </c>
      <c r="F130" s="113">
        <v>19</v>
      </c>
    </row>
    <row r="131" spans="3:10" x14ac:dyDescent="0.25">
      <c r="C131" s="69" t="s">
        <v>56</v>
      </c>
      <c r="D131" s="101" t="s">
        <v>43</v>
      </c>
      <c r="E131" s="91">
        <f>(VLOOKUP(D132,$C$5:$F$16,4,FALSE))</f>
        <v>0.4</v>
      </c>
      <c r="F131" s="113">
        <v>0</v>
      </c>
    </row>
    <row r="132" spans="3:10" ht="27" thickBot="1" x14ac:dyDescent="0.3">
      <c r="C132" s="70" t="s">
        <v>57</v>
      </c>
      <c r="D132" s="103" t="s">
        <v>10</v>
      </c>
      <c r="E132" s="92">
        <f>VLOOKUP(D132,$O$4:$S$16,2,FALSE)</f>
        <v>0.3</v>
      </c>
      <c r="F132" s="105">
        <f>(((F130/365)*F129*E132*E129)*1000)-(F131*E131*E130)</f>
        <v>286.7178082191781</v>
      </c>
      <c r="G132" s="115"/>
      <c r="J132" s="115">
        <f>F132*1000</f>
        <v>286717.80821917811</v>
      </c>
    </row>
    <row r="133" spans="3:10" x14ac:dyDescent="0.25">
      <c r="C133" s="69" t="s">
        <v>58</v>
      </c>
    </row>
    <row r="134" spans="3:10" ht="15.75" thickBot="1" x14ac:dyDescent="0.3">
      <c r="C134" s="71"/>
      <c r="D134" s="78"/>
      <c r="E134" s="73"/>
      <c r="F134" s="110"/>
      <c r="G134" s="87"/>
    </row>
    <row r="135" spans="3:10" x14ac:dyDescent="0.25">
      <c r="D135" s="73"/>
      <c r="E135" s="73"/>
      <c r="F135" s="110">
        <f>F132/6</f>
        <v>47.786301369863018</v>
      </c>
      <c r="G135" s="85"/>
    </row>
    <row r="136" spans="3:10" x14ac:dyDescent="0.25">
      <c r="D136" s="93"/>
      <c r="E136" s="73"/>
      <c r="F136" s="110"/>
      <c r="G136" s="85"/>
    </row>
    <row r="137" spans="3:10" ht="15.75" thickBot="1" x14ac:dyDescent="0.3">
      <c r="D137" s="78"/>
      <c r="E137" s="73"/>
      <c r="F137" s="110"/>
      <c r="G137" s="88"/>
      <c r="J137" s="72">
        <f>550100.12</f>
        <v>550100.12</v>
      </c>
    </row>
    <row r="138" spans="3:10" x14ac:dyDescent="0.25">
      <c r="C138" s="149" t="s">
        <v>59</v>
      </c>
      <c r="F138" s="114"/>
    </row>
    <row r="139" spans="3:10" ht="15.75" thickBot="1" x14ac:dyDescent="0.3">
      <c r="C139" s="150"/>
      <c r="D139" s="78"/>
      <c r="E139" s="73"/>
      <c r="F139" s="110"/>
      <c r="G139" s="87"/>
    </row>
    <row r="140" spans="3:10" x14ac:dyDescent="0.25">
      <c r="D140" s="73"/>
      <c r="E140" s="73"/>
      <c r="F140" s="110">
        <f>317+334+231</f>
        <v>882</v>
      </c>
      <c r="G140" s="85"/>
      <c r="H140" s="72">
        <f>F140/F130</f>
        <v>46.421052631578945</v>
      </c>
    </row>
    <row r="143" spans="3:10" ht="15.75" thickBot="1" x14ac:dyDescent="0.3">
      <c r="C143" t="s">
        <v>141</v>
      </c>
      <c r="D143" s="73"/>
      <c r="E143" s="85"/>
      <c r="F143" s="110"/>
      <c r="G143" s="84"/>
      <c r="I143" s="73"/>
    </row>
    <row r="144" spans="3:10" ht="15.75" thickBot="1" x14ac:dyDescent="0.3">
      <c r="C144" s="97" t="s">
        <v>37</v>
      </c>
      <c r="D144" s="98" t="s">
        <v>38</v>
      </c>
      <c r="E144" s="99"/>
      <c r="F144" s="111"/>
    </row>
    <row r="145" spans="3:12" x14ac:dyDescent="0.25">
      <c r="C145" s="100" t="s">
        <v>39</v>
      </c>
      <c r="D145" s="116" t="s">
        <v>40</v>
      </c>
      <c r="E145" s="90"/>
      <c r="F145" s="112"/>
    </row>
    <row r="146" spans="3:12" x14ac:dyDescent="0.25">
      <c r="C146" s="69"/>
      <c r="D146" s="143"/>
      <c r="E146" s="144"/>
      <c r="F146" s="145"/>
    </row>
    <row r="147" spans="3:12" ht="15.75" thickBot="1" x14ac:dyDescent="0.3">
      <c r="C147" s="69" t="s">
        <v>41</v>
      </c>
      <c r="D147" s="117" t="s">
        <v>11</v>
      </c>
      <c r="E147" s="91">
        <f>IF(D147=$K$4,(VLOOKUP(D149,$C$5:$F$17,2,FALSE)),(VLOOKUP(D149,$C$5:$F$17,4,FALSE)))</f>
        <v>0.4</v>
      </c>
      <c r="F147" s="113"/>
    </row>
    <row r="148" spans="3:12" x14ac:dyDescent="0.25">
      <c r="C148" s="70" t="s">
        <v>42</v>
      </c>
      <c r="D148" s="118" t="s">
        <v>43</v>
      </c>
      <c r="E148" s="82"/>
      <c r="F148" s="113">
        <v>0</v>
      </c>
      <c r="H148" s="139" t="s">
        <v>44</v>
      </c>
      <c r="I148" s="140"/>
      <c r="J148" s="95" t="s">
        <v>45</v>
      </c>
    </row>
    <row r="149" spans="3:12" ht="15.75" thickBot="1" x14ac:dyDescent="0.3">
      <c r="C149" s="69" t="s">
        <v>46</v>
      </c>
      <c r="D149" s="119" t="s">
        <v>10</v>
      </c>
      <c r="E149" s="92">
        <f>VLOOKUP(D149,$C$4:$F$17,3,FALSE)</f>
        <v>0.3</v>
      </c>
      <c r="F149" s="106">
        <f>(F147-F148)*E149*E147</f>
        <v>0</v>
      </c>
      <c r="H149" s="141"/>
      <c r="I149" s="142"/>
      <c r="J149" s="96" t="s">
        <v>47</v>
      </c>
    </row>
    <row r="150" spans="3:12" ht="27" thickBot="1" x14ac:dyDescent="0.3">
      <c r="C150" s="70" t="s">
        <v>48</v>
      </c>
    </row>
    <row r="151" spans="3:12" ht="15.75" thickBot="1" x14ac:dyDescent="0.3">
      <c r="C151" s="69" t="s">
        <v>49</v>
      </c>
      <c r="D151" s="99" t="s">
        <v>50</v>
      </c>
      <c r="E151" s="99"/>
      <c r="F151" s="111"/>
      <c r="L151" s="72">
        <f>550100.12-109279.84</f>
        <v>440820.28</v>
      </c>
    </row>
    <row r="152" spans="3:12" x14ac:dyDescent="0.25">
      <c r="C152" s="69" t="s">
        <v>51</v>
      </c>
      <c r="D152" s="90" t="s">
        <v>52</v>
      </c>
      <c r="E152" s="90"/>
      <c r="F152" s="112"/>
    </row>
    <row r="153" spans="3:12" x14ac:dyDescent="0.25">
      <c r="C153" s="69" t="s">
        <v>53</v>
      </c>
      <c r="D153" s="102" t="s">
        <v>17</v>
      </c>
      <c r="E153" s="82">
        <f>IF(D153=$K$7,(VLOOKUP(D156,$O$4:$S$16,3,FALSE)),IF(D153=$K$8,(VLOOKUP(D156,$O$4:S$16,4,FALSE)),(VLOOKUP(D156,$O$4:S$16,5,FALSE))))</f>
        <v>10.8</v>
      </c>
      <c r="F153" s="113">
        <v>1.7</v>
      </c>
    </row>
    <row r="154" spans="3:12" x14ac:dyDescent="0.25">
      <c r="C154" s="69" t="s">
        <v>54</v>
      </c>
      <c r="D154" s="104" t="s">
        <v>55</v>
      </c>
      <c r="E154" s="91">
        <f>(VLOOKUP(D156,$C$5:$F$16,3,FALSE))</f>
        <v>0.3</v>
      </c>
      <c r="F154" s="113">
        <v>31</v>
      </c>
    </row>
    <row r="155" spans="3:12" x14ac:dyDescent="0.25">
      <c r="C155" s="69" t="s">
        <v>56</v>
      </c>
      <c r="D155" s="101" t="s">
        <v>43</v>
      </c>
      <c r="E155" s="91">
        <f>(VLOOKUP(D156,$C$5:$F$16,4,FALSE))</f>
        <v>0.4</v>
      </c>
      <c r="F155" s="113">
        <v>0</v>
      </c>
    </row>
    <row r="156" spans="3:12" ht="27" thickBot="1" x14ac:dyDescent="0.3">
      <c r="C156" s="70" t="s">
        <v>57</v>
      </c>
      <c r="D156" s="103" t="s">
        <v>10</v>
      </c>
      <c r="E156" s="92">
        <f>VLOOKUP(D156,$O$4:$S$16,2,FALSE)</f>
        <v>0.3</v>
      </c>
      <c r="F156" s="105">
        <f>(((F154/365)*F153*E156*E153)*1000)-(F155*E155*E154)</f>
        <v>467.80273972602743</v>
      </c>
      <c r="G156" s="115"/>
      <c r="J156" s="115">
        <f>F156*1000</f>
        <v>467802.73972602742</v>
      </c>
    </row>
    <row r="157" spans="3:12" x14ac:dyDescent="0.25">
      <c r="C157" s="69" t="s">
        <v>58</v>
      </c>
    </row>
    <row r="158" spans="3:12" ht="15.75" thickBot="1" x14ac:dyDescent="0.3">
      <c r="C158" s="71"/>
      <c r="D158" s="78"/>
      <c r="E158" s="73"/>
      <c r="F158" s="110"/>
      <c r="G158" s="87"/>
    </row>
    <row r="159" spans="3:12" x14ac:dyDescent="0.25">
      <c r="D159" s="73"/>
      <c r="E159" s="73"/>
      <c r="F159" s="110">
        <f>F156/6</f>
        <v>77.967123287671242</v>
      </c>
      <c r="G159" s="85"/>
    </row>
    <row r="160" spans="3:12" x14ac:dyDescent="0.25">
      <c r="D160" s="93"/>
      <c r="E160" s="73"/>
      <c r="F160" s="110"/>
      <c r="G160" s="85"/>
    </row>
    <row r="161" spans="3:10" ht="15.75" thickBot="1" x14ac:dyDescent="0.3">
      <c r="D161" s="78"/>
      <c r="E161" s="73"/>
      <c r="F161" s="110"/>
      <c r="G161" s="88"/>
      <c r="J161" s="72">
        <f>550100.12</f>
        <v>550100.12</v>
      </c>
    </row>
    <row r="162" spans="3:10" x14ac:dyDescent="0.25">
      <c r="C162" s="149" t="s">
        <v>59</v>
      </c>
      <c r="F162" s="114"/>
    </row>
    <row r="163" spans="3:10" ht="15.75" thickBot="1" x14ac:dyDescent="0.3">
      <c r="C163" s="150"/>
      <c r="D163" s="78"/>
      <c r="E163" s="73"/>
      <c r="F163" s="110"/>
      <c r="G163" s="87"/>
    </row>
    <row r="164" spans="3:10" x14ac:dyDescent="0.25">
      <c r="D164" s="73"/>
      <c r="E164" s="73"/>
      <c r="F164" s="110">
        <f>317+334+231</f>
        <v>882</v>
      </c>
      <c r="G164" s="85"/>
      <c r="H164" s="72">
        <f>F164/F154</f>
        <v>28.451612903225808</v>
      </c>
    </row>
    <row r="169" spans="3:10" ht="15.75" thickBot="1" x14ac:dyDescent="0.3">
      <c r="C169" t="s">
        <v>142</v>
      </c>
      <c r="D169" s="73"/>
      <c r="E169" s="85"/>
      <c r="F169" s="110"/>
      <c r="G169" s="84"/>
      <c r="I169" s="73"/>
    </row>
    <row r="170" spans="3:10" ht="15.75" thickBot="1" x14ac:dyDescent="0.3">
      <c r="C170" s="97" t="s">
        <v>37</v>
      </c>
      <c r="D170" s="98" t="s">
        <v>38</v>
      </c>
      <c r="E170" s="99"/>
      <c r="F170" s="111"/>
    </row>
    <row r="171" spans="3:10" x14ac:dyDescent="0.25">
      <c r="C171" s="100" t="s">
        <v>39</v>
      </c>
      <c r="D171" s="116" t="s">
        <v>40</v>
      </c>
      <c r="E171" s="90"/>
      <c r="F171" s="112"/>
    </row>
    <row r="172" spans="3:10" x14ac:dyDescent="0.25">
      <c r="C172" s="69"/>
      <c r="D172" s="143"/>
      <c r="E172" s="144"/>
      <c r="F172" s="145"/>
    </row>
    <row r="173" spans="3:10" ht="15.75" thickBot="1" x14ac:dyDescent="0.3">
      <c r="C173" s="69" t="s">
        <v>41</v>
      </c>
      <c r="D173" s="117" t="s">
        <v>11</v>
      </c>
      <c r="E173" s="91">
        <f>IF(D173=$K$4,(VLOOKUP(D175,$C$5:$F$17,2,FALSE)),(VLOOKUP(D175,$C$5:$F$17,4,FALSE)))</f>
        <v>0.4</v>
      </c>
      <c r="F173" s="113">
        <v>8000</v>
      </c>
    </row>
    <row r="174" spans="3:10" x14ac:dyDescent="0.25">
      <c r="C174" s="70" t="s">
        <v>42</v>
      </c>
      <c r="D174" s="118" t="s">
        <v>43</v>
      </c>
      <c r="E174" s="82"/>
      <c r="F174" s="113">
        <v>0</v>
      </c>
      <c r="H174" s="139" t="s">
        <v>44</v>
      </c>
      <c r="I174" s="140"/>
      <c r="J174" s="95" t="s">
        <v>45</v>
      </c>
    </row>
    <row r="175" spans="3:10" ht="15.75" thickBot="1" x14ac:dyDescent="0.3">
      <c r="C175" s="69" t="s">
        <v>46</v>
      </c>
      <c r="D175" s="119" t="s">
        <v>10</v>
      </c>
      <c r="E175" s="92">
        <f>VLOOKUP(D175,$C$4:$F$17,3,FALSE)</f>
        <v>0.3</v>
      </c>
      <c r="F175" s="106">
        <f>(F173-F174)*E175*E173</f>
        <v>960</v>
      </c>
      <c r="H175" s="141"/>
      <c r="I175" s="142"/>
      <c r="J175" s="96" t="s">
        <v>47</v>
      </c>
    </row>
    <row r="176" spans="3:10" ht="27" thickBot="1" x14ac:dyDescent="0.3">
      <c r="C176" s="70" t="s">
        <v>48</v>
      </c>
    </row>
    <row r="177" spans="3:12" ht="15.75" thickBot="1" x14ac:dyDescent="0.3">
      <c r="C177" s="69" t="s">
        <v>49</v>
      </c>
      <c r="D177" s="99" t="s">
        <v>50</v>
      </c>
      <c r="E177" s="99"/>
      <c r="F177" s="111"/>
      <c r="L177" s="72">
        <f>550100.12-109279.84</f>
        <v>440820.28</v>
      </c>
    </row>
    <row r="178" spans="3:12" x14ac:dyDescent="0.25">
      <c r="C178" s="69" t="s">
        <v>51</v>
      </c>
      <c r="D178" s="90" t="s">
        <v>52</v>
      </c>
      <c r="E178" s="90"/>
      <c r="F178" s="112"/>
    </row>
    <row r="179" spans="3:12" x14ac:dyDescent="0.25">
      <c r="C179" s="69" t="s">
        <v>53</v>
      </c>
      <c r="D179" s="102" t="s">
        <v>17</v>
      </c>
      <c r="E179" s="82">
        <f>IF(D179=$K$7,(VLOOKUP(D182,$O$4:$S$16,3,FALSE)),IF(D179=$K$8,(VLOOKUP(D182,$O$4:S$16,4,FALSE)),(VLOOKUP(D182,$O$4:S$16,5,FALSE))))</f>
        <v>10.8</v>
      </c>
      <c r="F179" s="113">
        <v>0</v>
      </c>
    </row>
    <row r="180" spans="3:12" x14ac:dyDescent="0.25">
      <c r="C180" s="69" t="s">
        <v>54</v>
      </c>
      <c r="D180" s="104" t="s">
        <v>55</v>
      </c>
      <c r="E180" s="91">
        <f>(VLOOKUP(D182,$C$5:$F$16,3,FALSE))</f>
        <v>0.3</v>
      </c>
      <c r="F180" s="113">
        <v>0</v>
      </c>
    </row>
    <row r="181" spans="3:12" x14ac:dyDescent="0.25">
      <c r="C181" s="69" t="s">
        <v>56</v>
      </c>
      <c r="D181" s="101" t="s">
        <v>43</v>
      </c>
      <c r="E181" s="91">
        <f>(VLOOKUP(D182,$C$5:$F$16,4,FALSE))</f>
        <v>0.4</v>
      </c>
      <c r="F181" s="113">
        <v>0</v>
      </c>
    </row>
    <row r="182" spans="3:12" ht="27" thickBot="1" x14ac:dyDescent="0.3">
      <c r="C182" s="70" t="s">
        <v>57</v>
      </c>
      <c r="D182" s="103" t="s">
        <v>10</v>
      </c>
      <c r="E182" s="92">
        <f>VLOOKUP(D182,$O$4:$S$16,2,FALSE)</f>
        <v>0.3</v>
      </c>
      <c r="F182" s="105">
        <f>(((F180/365)*F179*E182*E179)*1000)-(F181*E181*E180)</f>
        <v>0</v>
      </c>
      <c r="G182" s="115"/>
      <c r="J182" s="115">
        <f>F182*1000</f>
        <v>0</v>
      </c>
    </row>
    <row r="183" spans="3:12" x14ac:dyDescent="0.25">
      <c r="C183" s="69" t="s">
        <v>58</v>
      </c>
    </row>
    <row r="184" spans="3:12" ht="15.75" thickBot="1" x14ac:dyDescent="0.3">
      <c r="C184" s="71"/>
      <c r="D184" s="78"/>
      <c r="E184" s="73"/>
      <c r="F184" s="110"/>
      <c r="G184" s="87"/>
    </row>
    <row r="185" spans="3:12" x14ac:dyDescent="0.25">
      <c r="D185" s="73"/>
      <c r="E185" s="73"/>
      <c r="F185" s="110">
        <f>F182/6</f>
        <v>0</v>
      </c>
      <c r="G185" s="85"/>
    </row>
    <row r="186" spans="3:12" x14ac:dyDescent="0.25">
      <c r="D186" s="93"/>
      <c r="E186" s="73"/>
      <c r="F186" s="110"/>
      <c r="G186" s="85"/>
    </row>
    <row r="187" spans="3:12" ht="15.75" thickBot="1" x14ac:dyDescent="0.3">
      <c r="D187" s="78"/>
      <c r="E187" s="73"/>
      <c r="F187" s="110"/>
      <c r="G187" s="88"/>
      <c r="J187" s="72">
        <f>550100.12</f>
        <v>550100.12</v>
      </c>
    </row>
    <row r="188" spans="3:12" x14ac:dyDescent="0.25">
      <c r="C188" s="149" t="s">
        <v>59</v>
      </c>
      <c r="F188" s="114"/>
    </row>
    <row r="189" spans="3:12" ht="15.75" thickBot="1" x14ac:dyDescent="0.3">
      <c r="C189" s="150"/>
      <c r="D189" s="78"/>
      <c r="E189" s="73"/>
      <c r="F189" s="110"/>
      <c r="G189" s="87"/>
    </row>
    <row r="190" spans="3:12" x14ac:dyDescent="0.25">
      <c r="D190" s="73"/>
      <c r="E190" s="73"/>
      <c r="F190" s="110">
        <f>317+334+231</f>
        <v>882</v>
      </c>
      <c r="G190" s="85"/>
      <c r="H190" s="72" t="e">
        <f>F190/F180</f>
        <v>#DIV/0!</v>
      </c>
    </row>
  </sheetData>
  <sheetProtection selectLockedCells="1"/>
  <mergeCells count="22">
    <mergeCell ref="H174:I175"/>
    <mergeCell ref="C188:C189"/>
    <mergeCell ref="C138:C139"/>
    <mergeCell ref="D146:F146"/>
    <mergeCell ref="H148:I149"/>
    <mergeCell ref="C162:C163"/>
    <mergeCell ref="D172:F172"/>
    <mergeCell ref="D98:F98"/>
    <mergeCell ref="H100:I101"/>
    <mergeCell ref="C114:C115"/>
    <mergeCell ref="D122:F122"/>
    <mergeCell ref="H124:I125"/>
    <mergeCell ref="H49:I50"/>
    <mergeCell ref="C63:C64"/>
    <mergeCell ref="D74:F74"/>
    <mergeCell ref="H76:I77"/>
    <mergeCell ref="C90:C91"/>
    <mergeCell ref="H23:I24"/>
    <mergeCell ref="D21:F21"/>
    <mergeCell ref="C2:F2"/>
    <mergeCell ref="C37:C38"/>
    <mergeCell ref="D47:F47"/>
  </mergeCells>
  <phoneticPr fontId="11" type="noConversion"/>
  <dataValidations count="4">
    <dataValidation type="list" allowBlank="1" showInputMessage="1" showErrorMessage="1" sqref="D22 D48 D75 D99 D123 D147 D173" xr:uid="{FC255735-9DFB-4DE5-A268-500C8E3195F1}">
      <formula1>$K$4:$K$5</formula1>
    </dataValidation>
    <dataValidation type="list" allowBlank="1" showInputMessage="1" showErrorMessage="1" sqref="D31 D41 D36 D57 D67 D62 D84 D94 D89 D108 D113 D132 D137 D156 D161 D182 D187" xr:uid="{063E312A-4BBC-43D0-A5B6-EC5751534FD6}">
      <formula1>$C$5:$C$16</formula1>
    </dataValidation>
    <dataValidation type="list" allowBlank="1" showInputMessage="1" showErrorMessage="1" sqref="D28 D54 D81 D105 D129 D153 D179" xr:uid="{497927B4-E0A0-447A-A352-6B47B48535F1}">
      <formula1>$K$7:$K$9</formula1>
    </dataValidation>
    <dataValidation type="list" allowBlank="1" showInputMessage="1" showErrorMessage="1" sqref="D24 D50 D77 D101 D125 D149 D175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2023-08-20T08:20:24Z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