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D4650D0A-5D07-40C4-B041-4C05B0B01C7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5" l="1"/>
  <c r="F112" i="5"/>
  <c r="J109" i="5"/>
  <c r="E104" i="5"/>
  <c r="F104" i="5" s="1"/>
  <c r="E103" i="5"/>
  <c r="E102" i="5"/>
  <c r="E101" i="5"/>
  <c r="L99" i="5"/>
  <c r="E97" i="5"/>
  <c r="F97" i="5" s="1"/>
  <c r="E95" i="5"/>
  <c r="H87" i="5"/>
  <c r="F87" i="5"/>
  <c r="J84" i="5"/>
  <c r="E79" i="5"/>
  <c r="F79" i="5" s="1"/>
  <c r="E78" i="5"/>
  <c r="E77" i="5"/>
  <c r="E76" i="5"/>
  <c r="L74" i="5"/>
  <c r="E72" i="5"/>
  <c r="F72" i="5" s="1"/>
  <c r="E70" i="5"/>
  <c r="F63" i="5"/>
  <c r="H63" i="5" s="1"/>
  <c r="J60" i="5"/>
  <c r="E55" i="5"/>
  <c r="F55" i="5" s="1"/>
  <c r="E54" i="5"/>
  <c r="E53" i="5"/>
  <c r="E52" i="5"/>
  <c r="L50" i="5"/>
  <c r="E48" i="5"/>
  <c r="F48" i="5" s="1"/>
  <c r="E46" i="5"/>
  <c r="L26" i="5"/>
  <c r="J36" i="5"/>
  <c r="H39" i="5"/>
  <c r="F39" i="5"/>
  <c r="E22" i="5"/>
  <c r="F24" i="5" s="1"/>
  <c r="E24" i="5"/>
  <c r="J104" i="5" l="1"/>
  <c r="F107" i="5"/>
  <c r="J79" i="5"/>
  <c r="F82" i="5"/>
  <c r="J55" i="5"/>
  <c r="F58" i="5"/>
  <c r="E31" i="5"/>
  <c r="E30" i="5"/>
  <c r="E29" i="5"/>
  <c r="E28" i="5"/>
  <c r="F31" i="5" s="1"/>
  <c r="F34" i="5" s="1"/>
  <c r="J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6" authorId="0" shapeId="0" xr:uid="{892BBE3B-E6DF-4335-9D08-861712185D8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8" authorId="0" shapeId="0" xr:uid="{52F5E778-E86E-41B6-90EC-F2E852548C8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2" authorId="0" shapeId="0" xr:uid="{B118B01F-848D-4B5B-888B-20D665B5D6B2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3" authorId="0" shapeId="0" xr:uid="{108D32E8-7755-48DB-9C7E-26B76609FFD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4" authorId="0" shapeId="0" xr:uid="{4F039C0A-C030-44EA-8813-1883D03A7D7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5" authorId="0" shapeId="0" xr:uid="{9C51E8A4-FCD6-4C56-9B78-E916DE4077E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70" authorId="0" shapeId="0" xr:uid="{5B29A328-027B-429A-BC8C-1FF4C66D881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2" authorId="0" shapeId="0" xr:uid="{F65204D9-C68F-4DCA-98C0-1F8063F273D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6" authorId="0" shapeId="0" xr:uid="{4F1AEBCD-DE7E-4C90-84E0-5D1EBF98BFC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7" authorId="0" shapeId="0" xr:uid="{876BC675-7CC0-432A-BB76-C887A9BFCFB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8" authorId="0" shapeId="0" xr:uid="{3E8881B3-D381-4DD1-9461-515EC20D382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79" authorId="0" shapeId="0" xr:uid="{98E18D05-FDC4-416E-9E86-6C23702C985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95" authorId="0" shapeId="0" xr:uid="{93AC672A-FF93-439D-B45E-00CBAD821EC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97" authorId="0" shapeId="0" xr:uid="{63C41502-7A8F-462D-84D8-3B91C10A2E2B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101" authorId="0" shapeId="0" xr:uid="{67EEA023-E03A-4C8F-A39D-8508CF2DA8B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102" authorId="0" shapeId="0" xr:uid="{E874F727-EF76-49ED-B9D6-197E7A487C4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103" authorId="0" shapeId="0" xr:uid="{132FA95B-C8D7-40B4-ABD7-3B1637C8F4A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104" authorId="0" shapeId="0" xr:uid="{C2FB3799-9E58-488C-923A-C7FA1DD4298B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<sst xmlns="http://schemas.openxmlformats.org/spreadsheetml/2006/main" count="393" uniqueCount="140">
  <si>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</si>
  <si>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</si>
  <si>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</si>
  <si>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</si>
  <si>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</si>
  <si>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</si>
  <si>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</si>
  <si>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</si>
  <si>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</si>
  <si>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</si>
  <si>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</si>
  <si>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</si>
  <si>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</si>
  <si>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</si>
  <si>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</si>
  <si>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</si>
  <si>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</si>
  <si>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</si>
  <si>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</si>
  <si>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</si>
  <si>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</si>
  <si>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</si>
  <si>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</si>
  <si>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</si>
  <si>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</si>
  <si>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</si>
  <si>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</si>
  <si>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</si>
  <si>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</si>
  <si>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</si>
  <si>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</si>
  <si>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</si>
  <si>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</si>
  <si>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</si>
  <si>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</si>
  <si>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</si>
  <si>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</si>
  <si>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</si>
  <si>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</si>
  <si>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</si>
  <si>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</si>
  <si>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</si>
  <si>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</si>
  <si>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</si>
  <si>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</si>
  <si>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</si>
  <si>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</si>
  <si>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</si>
  <si>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</si>
  <si>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</si>
  <si>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</si>
  <si>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</si>
  <si>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</si>
  <si>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</si>
  <si>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</si>
  <si>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</si>
  <si>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</si>
  <si>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</si>
  <si>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</si>
  <si>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</si>
  <si>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</si>
  <si>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</si>
  <si>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</si>
  <si>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</si>
  <si>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</si>
  <si>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</si>
  <si>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</si>
  <si>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</si>
  <si>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</si>
  <si>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</si>
  <si>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</si>
  <si>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</si>
  <si>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</si>
  <si>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</si>
  <si>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</si>
  <si>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</si>
  <si>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</si>
  <si>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</si>
  <si>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</si>
  <si>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</si>
  <si>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</si>
  <si>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</si>
  <si>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</si>
  <si>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</si>
  <si>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</si>
  <si>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</si>
  <si>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</si>
  <si>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</si>
  <si>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</si>
  <si>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</si>
  <si>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</si>
  <si>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</si>
  <si>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</si>
  <si>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</si>
  <si>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</si>
  <si>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</si>
  <si>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</si>
  <si>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</si>
  <si>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</si>
  <si>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</si>
  <si>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</si>
  <si>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</si>
  <si>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</si>
  <si>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</si>
  <si>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</si>
  <si>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</si>
  <si>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</si>
  <si>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</si>
  <si>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</si>
  <si>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</si>
  <si>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</si>
  <si>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</si>
  <si>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</si>
  <si>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</si>
  <si>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</si>
  <si>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</si>
  <si>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</si>
  <si>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</si>
  <si>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</si>
  <si>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</si>
  <si>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</si>
  <si>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</si>
  <si>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</si>
  <si>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</si>
  <si>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</si>
  <si>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</si>
  <si>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</si>
  <si>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</si>
  <si>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</si>
  <si>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</si>
  <si>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</si>
  <si>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</si>
  <si>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</si>
  <si>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</si>
  <si>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</si>
  <si>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</si>
  <si>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Decision to use Lab analysis result for pumpline specific gravity in EC September 2023</t>
  </si>
  <si>
    <t>Decision to use Lab analysis result for pumpline specific gravity in EC October 2023</t>
  </si>
  <si>
    <t>Decision to use Lab analysis result for pumpline specific gravity in EC November 2023</t>
  </si>
  <si>
    <t>Decision to use Lab analysis result for pumpline specific gravity in EC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</si>
</sst>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45</xdr:row>
      <xdr:rowOff>95250</xdr:rowOff>
    </xdr:from>
    <xdr:to>
      <xdr:col>3</xdr:col>
      <xdr:colOff>12700</xdr:colOff>
      <xdr:row>48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5DEF6BC-B669-4AF5-B2B7-E0C7A3BB2DBB}"/>
            </a:ext>
          </a:extLst>
        </xdr:cNvPr>
        <xdr:cNvCxnSpPr/>
      </xdr:nvCxnSpPr>
      <xdr:spPr>
        <a:xfrm flipV="1">
          <a:off x="5440456" y="879662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47</xdr:row>
      <xdr:rowOff>114300</xdr:rowOff>
    </xdr:from>
    <xdr:to>
      <xdr:col>3</xdr:col>
      <xdr:colOff>57150</xdr:colOff>
      <xdr:row>49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3FA8C62-9EE2-470B-A47F-828B18011C7D}"/>
            </a:ext>
          </a:extLst>
        </xdr:cNvPr>
        <xdr:cNvCxnSpPr/>
      </xdr:nvCxnSpPr>
      <xdr:spPr>
        <a:xfrm flipV="1">
          <a:off x="4221256" y="1290918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51</xdr:row>
      <xdr:rowOff>57150</xdr:rowOff>
    </xdr:from>
    <xdr:to>
      <xdr:col>3</xdr:col>
      <xdr:colOff>76200</xdr:colOff>
      <xdr:row>52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DF3D14-90AD-46BE-8BED-05D1CEA9059B}"/>
            </a:ext>
          </a:extLst>
        </xdr:cNvPr>
        <xdr:cNvCxnSpPr/>
      </xdr:nvCxnSpPr>
      <xdr:spPr>
        <a:xfrm flipV="1">
          <a:off x="5510306" y="2141444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53</xdr:row>
      <xdr:rowOff>114300</xdr:rowOff>
    </xdr:from>
    <xdr:to>
      <xdr:col>3</xdr:col>
      <xdr:colOff>44450</xdr:colOff>
      <xdr:row>54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DCB1FA6-742B-4956-98F2-80F750959BCC}"/>
            </a:ext>
          </a:extLst>
        </xdr:cNvPr>
        <xdr:cNvCxnSpPr/>
      </xdr:nvCxnSpPr>
      <xdr:spPr>
        <a:xfrm>
          <a:off x="4240306" y="2579594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69</xdr:row>
      <xdr:rowOff>95250</xdr:rowOff>
    </xdr:from>
    <xdr:to>
      <xdr:col>3</xdr:col>
      <xdr:colOff>12700</xdr:colOff>
      <xdr:row>72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228AD77-28B6-431A-8906-93D9C238CECC}"/>
            </a:ext>
          </a:extLst>
        </xdr:cNvPr>
        <xdr:cNvCxnSpPr/>
      </xdr:nvCxnSpPr>
      <xdr:spPr>
        <a:xfrm flipV="1">
          <a:off x="5440456" y="5709397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71</xdr:row>
      <xdr:rowOff>114300</xdr:rowOff>
    </xdr:from>
    <xdr:to>
      <xdr:col>3</xdr:col>
      <xdr:colOff>57150</xdr:colOff>
      <xdr:row>73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CF5F7CA-FD6F-4254-86B6-D98832C0DFE4}"/>
            </a:ext>
          </a:extLst>
        </xdr:cNvPr>
        <xdr:cNvCxnSpPr/>
      </xdr:nvCxnSpPr>
      <xdr:spPr>
        <a:xfrm flipV="1">
          <a:off x="4221256" y="6120653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75</xdr:row>
      <xdr:rowOff>57150</xdr:rowOff>
    </xdr:from>
    <xdr:to>
      <xdr:col>3</xdr:col>
      <xdr:colOff>76200</xdr:colOff>
      <xdr:row>76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B3FD022-8756-4F10-B5A0-D3F2B506EDB3}"/>
            </a:ext>
          </a:extLst>
        </xdr:cNvPr>
        <xdr:cNvCxnSpPr/>
      </xdr:nvCxnSpPr>
      <xdr:spPr>
        <a:xfrm flipV="1">
          <a:off x="5510306" y="7004797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77</xdr:row>
      <xdr:rowOff>114300</xdr:rowOff>
    </xdr:from>
    <xdr:to>
      <xdr:col>3</xdr:col>
      <xdr:colOff>44450</xdr:colOff>
      <xdr:row>78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FE6A761-234D-42F2-A904-4BD3CE912BD1}"/>
            </a:ext>
          </a:extLst>
        </xdr:cNvPr>
        <xdr:cNvCxnSpPr/>
      </xdr:nvCxnSpPr>
      <xdr:spPr>
        <a:xfrm>
          <a:off x="4240306" y="7442947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94</xdr:row>
      <xdr:rowOff>95250</xdr:rowOff>
    </xdr:from>
    <xdr:to>
      <xdr:col>3</xdr:col>
      <xdr:colOff>12700</xdr:colOff>
      <xdr:row>97</xdr:row>
      <xdr:rowOff>38100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3CBF857-47C3-4B54-B6D8-302C6D05FC4A}"/>
            </a:ext>
          </a:extLst>
        </xdr:cNvPr>
        <xdr:cNvCxnSpPr/>
      </xdr:nvCxnSpPr>
      <xdr:spPr>
        <a:xfrm flipV="1">
          <a:off x="5440456" y="10684809"/>
          <a:ext cx="690656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96</xdr:row>
      <xdr:rowOff>114300</xdr:rowOff>
    </xdr:from>
    <xdr:to>
      <xdr:col>3</xdr:col>
      <xdr:colOff>57150</xdr:colOff>
      <xdr:row>98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74B8BFF-BBA4-4C3C-82FE-0F1701B14CF6}"/>
            </a:ext>
          </a:extLst>
        </xdr:cNvPr>
        <xdr:cNvCxnSpPr/>
      </xdr:nvCxnSpPr>
      <xdr:spPr>
        <a:xfrm flipV="1">
          <a:off x="4221256" y="11096065"/>
          <a:ext cx="1954306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100</xdr:row>
      <xdr:rowOff>57150</xdr:rowOff>
    </xdr:from>
    <xdr:to>
      <xdr:col>3</xdr:col>
      <xdr:colOff>76200</xdr:colOff>
      <xdr:row>101</xdr:row>
      <xdr:rowOff>38100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A6CFC3-853F-47AA-AB37-F096ABB48483}"/>
            </a:ext>
          </a:extLst>
        </xdr:cNvPr>
        <xdr:cNvCxnSpPr/>
      </xdr:nvCxnSpPr>
      <xdr:spPr>
        <a:xfrm flipV="1">
          <a:off x="5510306" y="11980209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102</xdr:row>
      <xdr:rowOff>114300</xdr:rowOff>
    </xdr:from>
    <xdr:to>
      <xdr:col>3</xdr:col>
      <xdr:colOff>44450</xdr:colOff>
      <xdr:row>103</xdr:row>
      <xdr:rowOff>158750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B258F95-171A-4469-81BA-35AFA0245436}"/>
            </a:ext>
          </a:extLst>
        </xdr:cNvPr>
        <xdr:cNvCxnSpPr/>
      </xdr:nvCxnSpPr>
      <xdr:spPr>
        <a:xfrm>
          <a:off x="4240306" y="12418359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13"/>
  <sheetViews>
    <sheetView tabSelected="1" topLeftCell="C72" zoomScale="85" zoomScaleNormal="85" workbookViewId="0">
      <selection activeCell="K103" sqref="K103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6" t="s">
        <v>0</v>
      </c>
      <c r="D2" s="147"/>
      <c r="E2" s="147"/>
      <c r="F2" s="148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3"/>
      <c r="E21" s="144"/>
      <c r="F21" s="145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/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41"/>
      <c r="I24" s="142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  <c r="L26" s="72">
        <f>550100.12-109279.84</f>
        <v>440820.28</v>
      </c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0.5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5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22.191780821917806</v>
      </c>
      <c r="G31" s="115"/>
      <c r="J31" s="115">
        <f>F31*1000</f>
        <v>22191.780821917808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>
        <f>F31/6</f>
        <v>3.6986301369863011</v>
      </c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  <c r="J36" s="72">
        <f>550100.12</f>
        <v>550100.12</v>
      </c>
    </row>
    <row r="37" spans="3:10" ht="12.6" customHeight="1" x14ac:dyDescent="0.25">
      <c r="C37" s="149" t="s">
        <v>59</v>
      </c>
      <c r="F37" s="114"/>
    </row>
    <row r="38" spans="3:10" ht="15.75" thickBot="1" x14ac:dyDescent="0.3">
      <c r="C38" s="150"/>
      <c r="D38" s="78"/>
      <c r="E38" s="73"/>
      <c r="F38" s="110"/>
      <c r="G38" s="87"/>
    </row>
    <row r="39" spans="3:10" x14ac:dyDescent="0.25">
      <c r="D39" s="73"/>
      <c r="E39" s="73"/>
      <c r="F39" s="110">
        <f>317+334+231</f>
        <v>882</v>
      </c>
      <c r="G39" s="85"/>
      <c r="H39" s="72">
        <f>F39/F29</f>
        <v>176.4</v>
      </c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ht="15.75" thickBot="1" x14ac:dyDescent="0.3">
      <c r="C42" s="78" t="s">
        <v>137</v>
      </c>
      <c r="D42" s="73"/>
      <c r="E42" s="85"/>
      <c r="F42" s="110"/>
      <c r="G42" s="84"/>
      <c r="I42" s="73"/>
    </row>
    <row r="43" spans="3:10" ht="15.75" thickBot="1" x14ac:dyDescent="0.3">
      <c r="C43" s="97" t="s">
        <v>37</v>
      </c>
      <c r="D43" s="98" t="s">
        <v>38</v>
      </c>
      <c r="E43" s="99"/>
      <c r="F43" s="111"/>
    </row>
    <row r="44" spans="3:10" x14ac:dyDescent="0.25">
      <c r="C44" s="100" t="s">
        <v>39</v>
      </c>
      <c r="D44" s="116" t="s">
        <v>40</v>
      </c>
      <c r="E44" s="90"/>
      <c r="F44" s="112"/>
    </row>
    <row r="45" spans="3:10" x14ac:dyDescent="0.25">
      <c r="C45" s="69"/>
      <c r="D45" s="143"/>
      <c r="E45" s="144"/>
      <c r="F45" s="145"/>
    </row>
    <row r="46" spans="3:10" ht="15.75" thickBot="1" x14ac:dyDescent="0.3">
      <c r="C46" s="69" t="s">
        <v>41</v>
      </c>
      <c r="D46" s="117" t="s">
        <v>11</v>
      </c>
      <c r="E46" s="91">
        <f>IF(D46=$K$4,(VLOOKUP(D48,$C$5:$F$17,2,FALSE)),(VLOOKUP(D48,$C$5:$F$17,4,FALSE)))</f>
        <v>0.4</v>
      </c>
      <c r="F46" s="113"/>
    </row>
    <row r="47" spans="3:10" x14ac:dyDescent="0.25">
      <c r="C47" s="70" t="s">
        <v>42</v>
      </c>
      <c r="D47" s="118" t="s">
        <v>43</v>
      </c>
      <c r="E47" s="82"/>
      <c r="F47" s="113">
        <v>0</v>
      </c>
      <c r="H47" s="139" t="s">
        <v>44</v>
      </c>
      <c r="I47" s="140"/>
      <c r="J47" s="95" t="s">
        <v>45</v>
      </c>
    </row>
    <row r="48" spans="3:10" ht="15.75" thickBot="1" x14ac:dyDescent="0.3">
      <c r="C48" s="69" t="s">
        <v>46</v>
      </c>
      <c r="D48" s="119" t="s">
        <v>10</v>
      </c>
      <c r="E48" s="92">
        <f>VLOOKUP(D48,$C$4:$F$17,3,FALSE)</f>
        <v>0.3</v>
      </c>
      <c r="F48" s="106">
        <f>(F46-F47)*E48*E46</f>
        <v>0</v>
      </c>
      <c r="H48" s="141"/>
      <c r="I48" s="142"/>
      <c r="J48" s="96" t="s">
        <v>47</v>
      </c>
    </row>
    <row r="49" spans="3:12" ht="27" thickBot="1" x14ac:dyDescent="0.3">
      <c r="C49" s="70" t="s">
        <v>48</v>
      </c>
    </row>
    <row r="50" spans="3:12" ht="15.75" thickBot="1" x14ac:dyDescent="0.3">
      <c r="C50" s="69" t="s">
        <v>49</v>
      </c>
      <c r="D50" s="99" t="s">
        <v>50</v>
      </c>
      <c r="E50" s="99"/>
      <c r="F50" s="111"/>
      <c r="L50" s="72">
        <f>550100.12-109279.84</f>
        <v>440820.28</v>
      </c>
    </row>
    <row r="51" spans="3:12" x14ac:dyDescent="0.25">
      <c r="C51" s="69" t="s">
        <v>51</v>
      </c>
      <c r="D51" s="90" t="s">
        <v>52</v>
      </c>
      <c r="E51" s="90"/>
      <c r="F51" s="112"/>
    </row>
    <row r="52" spans="3:12" x14ac:dyDescent="0.25">
      <c r="C52" s="69" t="s">
        <v>53</v>
      </c>
      <c r="D52" s="102" t="s">
        <v>17</v>
      </c>
      <c r="E52" s="82">
        <f>IF(D52=$K$7,(VLOOKUP(D55,$O$4:$S$16,3,FALSE)),IF(D52=$K$8,(VLOOKUP(D55,$O$4:S$16,4,FALSE)),(VLOOKUP(D55,$O$4:S$16,5,FALSE))))</f>
        <v>10.8</v>
      </c>
      <c r="F52" s="113">
        <v>0.5</v>
      </c>
    </row>
    <row r="53" spans="3:12" x14ac:dyDescent="0.25">
      <c r="C53" s="69" t="s">
        <v>54</v>
      </c>
      <c r="D53" s="104" t="s">
        <v>55</v>
      </c>
      <c r="E53" s="91">
        <f>(VLOOKUP(D55,$C$5:$F$16,3,FALSE))</f>
        <v>0.3</v>
      </c>
      <c r="F53" s="113">
        <v>31</v>
      </c>
    </row>
    <row r="54" spans="3:12" x14ac:dyDescent="0.25">
      <c r="C54" s="69" t="s">
        <v>56</v>
      </c>
      <c r="D54" s="101" t="s">
        <v>43</v>
      </c>
      <c r="E54" s="91">
        <f>(VLOOKUP(D55,$C$5:$F$16,4,FALSE))</f>
        <v>0.4</v>
      </c>
      <c r="F54" s="113">
        <v>0</v>
      </c>
    </row>
    <row r="55" spans="3:12" ht="27" thickBot="1" x14ac:dyDescent="0.3">
      <c r="C55" s="70" t="s">
        <v>57</v>
      </c>
      <c r="D55" s="103" t="s">
        <v>10</v>
      </c>
      <c r="E55" s="92">
        <f>VLOOKUP(D55,$O$4:$S$16,2,FALSE)</f>
        <v>0.3</v>
      </c>
      <c r="F55" s="105">
        <f>(((F53/365)*F52*E55*E52)*1000)-(F54*E54*E53)</f>
        <v>137.58904109589039</v>
      </c>
      <c r="G55" s="115"/>
      <c r="J55" s="115">
        <f>F55*1000</f>
        <v>137589.0410958904</v>
      </c>
    </row>
    <row r="56" spans="3:12" x14ac:dyDescent="0.25">
      <c r="C56" s="69" t="s">
        <v>58</v>
      </c>
    </row>
    <row r="57" spans="3:12" ht="15.75" thickBot="1" x14ac:dyDescent="0.3">
      <c r="C57" s="71"/>
      <c r="D57" s="78"/>
      <c r="E57" s="73"/>
      <c r="F57" s="110"/>
      <c r="G57" s="87"/>
    </row>
    <row r="58" spans="3:12" x14ac:dyDescent="0.25">
      <c r="D58" s="73"/>
      <c r="E58" s="73"/>
      <c r="F58" s="110">
        <f>F55/6</f>
        <v>22.931506849315067</v>
      </c>
      <c r="G58" s="85"/>
    </row>
    <row r="59" spans="3:12" x14ac:dyDescent="0.25">
      <c r="D59" s="93"/>
      <c r="E59" s="73"/>
      <c r="F59" s="110"/>
      <c r="G59" s="85"/>
    </row>
    <row r="60" spans="3:12" ht="15.75" thickBot="1" x14ac:dyDescent="0.3">
      <c r="D60" s="78"/>
      <c r="E60" s="73"/>
      <c r="F60" s="110"/>
      <c r="G60" s="88"/>
      <c r="J60" s="72">
        <f>550100.12</f>
        <v>550100.12</v>
      </c>
    </row>
    <row r="61" spans="3:12" x14ac:dyDescent="0.25">
      <c r="C61" s="149" t="s">
        <v>59</v>
      </c>
      <c r="F61" s="114"/>
    </row>
    <row r="62" spans="3:12" ht="15.75" thickBot="1" x14ac:dyDescent="0.3">
      <c r="C62" s="150"/>
      <c r="D62" s="78"/>
      <c r="E62" s="73"/>
      <c r="F62" s="110"/>
      <c r="G62" s="87"/>
    </row>
    <row r="63" spans="3:12" x14ac:dyDescent="0.25">
      <c r="D63" s="73"/>
      <c r="E63" s="73"/>
      <c r="F63" s="110">
        <f>317+334+231</f>
        <v>882</v>
      </c>
      <c r="G63" s="85"/>
      <c r="H63" s="72">
        <f>F63/F53</f>
        <v>28.451612903225808</v>
      </c>
    </row>
    <row r="64" spans="3:12" x14ac:dyDescent="0.25">
      <c r="D64" s="93"/>
      <c r="E64" s="73"/>
      <c r="F64" s="110"/>
      <c r="G64" s="85"/>
    </row>
    <row r="66" spans="3:12" ht="15.75" thickBot="1" x14ac:dyDescent="0.3">
      <c r="C66" s="78" t="s">
        <v>138</v>
      </c>
      <c r="D66" s="73"/>
      <c r="E66" s="85"/>
      <c r="F66" s="110"/>
      <c r="G66" s="84"/>
      <c r="I66" s="73"/>
    </row>
    <row r="67" spans="3:12" ht="15.75" thickBot="1" x14ac:dyDescent="0.3">
      <c r="C67" s="97" t="s">
        <v>37</v>
      </c>
      <c r="D67" s="98" t="s">
        <v>38</v>
      </c>
      <c r="E67" s="99"/>
      <c r="F67" s="111"/>
    </row>
    <row r="68" spans="3:12" x14ac:dyDescent="0.25">
      <c r="C68" s="100" t="s">
        <v>39</v>
      </c>
      <c r="D68" s="116" t="s">
        <v>40</v>
      </c>
      <c r="E68" s="90"/>
      <c r="F68" s="112"/>
    </row>
    <row r="69" spans="3:12" x14ac:dyDescent="0.25">
      <c r="C69" s="69"/>
      <c r="D69" s="143"/>
      <c r="E69" s="144"/>
      <c r="F69" s="145"/>
    </row>
    <row r="70" spans="3:12" ht="15.75" thickBot="1" x14ac:dyDescent="0.3">
      <c r="C70" s="69" t="s">
        <v>41</v>
      </c>
      <c r="D70" s="117" t="s">
        <v>11</v>
      </c>
      <c r="E70" s="91">
        <f>IF(D70=$K$4,(VLOOKUP(D72,$C$5:$F$17,2,FALSE)),(VLOOKUP(D72,$C$5:$F$17,4,FALSE)))</f>
        <v>0.4</v>
      </c>
      <c r="F70" s="113"/>
    </row>
    <row r="71" spans="3:12" x14ac:dyDescent="0.25">
      <c r="C71" s="70" t="s">
        <v>42</v>
      </c>
      <c r="D71" s="118" t="s">
        <v>43</v>
      </c>
      <c r="E71" s="82"/>
      <c r="F71" s="113">
        <v>0</v>
      </c>
      <c r="H71" s="139" t="s">
        <v>44</v>
      </c>
      <c r="I71" s="140"/>
      <c r="J71" s="95" t="s">
        <v>45</v>
      </c>
    </row>
    <row r="72" spans="3:12" ht="15.75" thickBot="1" x14ac:dyDescent="0.3">
      <c r="C72" s="69" t="s">
        <v>46</v>
      </c>
      <c r="D72" s="119" t="s">
        <v>10</v>
      </c>
      <c r="E72" s="92">
        <f>VLOOKUP(D72,$C$4:$F$17,3,FALSE)</f>
        <v>0.3</v>
      </c>
      <c r="F72" s="106">
        <f>(F70-F71)*E72*E70</f>
        <v>0</v>
      </c>
      <c r="H72" s="141"/>
      <c r="I72" s="142"/>
      <c r="J72" s="96" t="s">
        <v>47</v>
      </c>
    </row>
    <row r="73" spans="3:12" ht="27" thickBot="1" x14ac:dyDescent="0.3">
      <c r="C73" s="70" t="s">
        <v>48</v>
      </c>
    </row>
    <row r="74" spans="3:12" ht="15.75" thickBot="1" x14ac:dyDescent="0.3">
      <c r="C74" s="69" t="s">
        <v>49</v>
      </c>
      <c r="D74" s="99" t="s">
        <v>50</v>
      </c>
      <c r="E74" s="99"/>
      <c r="F74" s="111"/>
      <c r="L74" s="72">
        <f>550100.12-109279.84</f>
        <v>440820.28</v>
      </c>
    </row>
    <row r="75" spans="3:12" x14ac:dyDescent="0.25">
      <c r="C75" s="69" t="s">
        <v>51</v>
      </c>
      <c r="D75" s="90" t="s">
        <v>52</v>
      </c>
      <c r="E75" s="90"/>
      <c r="F75" s="112"/>
    </row>
    <row r="76" spans="3:12" x14ac:dyDescent="0.25">
      <c r="C76" s="69" t="s">
        <v>53</v>
      </c>
      <c r="D76" s="102" t="s">
        <v>17</v>
      </c>
      <c r="E76" s="82">
        <f>IF(D76=$K$7,(VLOOKUP(D79,$O$4:$S$16,3,FALSE)),IF(D76=$K$8,(VLOOKUP(D79,$O$4:S$16,4,FALSE)),(VLOOKUP(D79,$O$4:S$16,5,FALSE))))</f>
        <v>10.8</v>
      </c>
      <c r="F76" s="113">
        <v>0.5</v>
      </c>
    </row>
    <row r="77" spans="3:12" x14ac:dyDescent="0.25">
      <c r="C77" s="69" t="s">
        <v>54</v>
      </c>
      <c r="D77" s="104" t="s">
        <v>55</v>
      </c>
      <c r="E77" s="91">
        <f>(VLOOKUP(D79,$C$5:$F$16,3,FALSE))</f>
        <v>0.3</v>
      </c>
      <c r="F77" s="113">
        <v>30</v>
      </c>
    </row>
    <row r="78" spans="3:12" x14ac:dyDescent="0.25">
      <c r="C78" s="69" t="s">
        <v>56</v>
      </c>
      <c r="D78" s="101" t="s">
        <v>43</v>
      </c>
      <c r="E78" s="91">
        <f>(VLOOKUP(D79,$C$5:$F$16,4,FALSE))</f>
        <v>0.4</v>
      </c>
      <c r="F78" s="113">
        <v>0</v>
      </c>
    </row>
    <row r="79" spans="3:12" ht="27" thickBot="1" x14ac:dyDescent="0.3">
      <c r="C79" s="70" t="s">
        <v>57</v>
      </c>
      <c r="D79" s="103" t="s">
        <v>10</v>
      </c>
      <c r="E79" s="92">
        <f>VLOOKUP(D79,$O$4:$S$16,2,FALSE)</f>
        <v>0.3</v>
      </c>
      <c r="F79" s="105">
        <f>(((F77/365)*F76*E79*E76)*1000)-(F78*E78*E77)</f>
        <v>133.15068493150687</v>
      </c>
      <c r="G79" s="115"/>
      <c r="J79" s="115">
        <f>F79*1000</f>
        <v>133150.68493150687</v>
      </c>
    </row>
    <row r="80" spans="3:12" x14ac:dyDescent="0.25">
      <c r="C80" s="69" t="s">
        <v>58</v>
      </c>
    </row>
    <row r="81" spans="3:10" ht="15.75" thickBot="1" x14ac:dyDescent="0.3">
      <c r="C81" s="71"/>
      <c r="D81" s="78"/>
      <c r="E81" s="73"/>
      <c r="F81" s="110"/>
      <c r="G81" s="87"/>
    </row>
    <row r="82" spans="3:10" x14ac:dyDescent="0.25">
      <c r="D82" s="73"/>
      <c r="E82" s="73"/>
      <c r="F82" s="110">
        <f>F79/6</f>
        <v>22.191780821917813</v>
      </c>
      <c r="G82" s="85"/>
    </row>
    <row r="83" spans="3:10" x14ac:dyDescent="0.25">
      <c r="D83" s="93"/>
      <c r="E83" s="73"/>
      <c r="F83" s="110"/>
      <c r="G83" s="85"/>
    </row>
    <row r="84" spans="3:10" ht="15.75" thickBot="1" x14ac:dyDescent="0.3">
      <c r="D84" s="78"/>
      <c r="E84" s="73"/>
      <c r="F84" s="110"/>
      <c r="G84" s="88"/>
      <c r="J84" s="72">
        <f>550100.12</f>
        <v>550100.12</v>
      </c>
    </row>
    <row r="85" spans="3:10" x14ac:dyDescent="0.25">
      <c r="C85" s="149" t="s">
        <v>59</v>
      </c>
      <c r="F85" s="114"/>
    </row>
    <row r="86" spans="3:10" ht="15.75" thickBot="1" x14ac:dyDescent="0.3">
      <c r="C86" s="150"/>
      <c r="D86" s="78"/>
      <c r="E86" s="73"/>
      <c r="F86" s="110"/>
      <c r="G86" s="87"/>
    </row>
    <row r="87" spans="3:10" x14ac:dyDescent="0.25">
      <c r="D87" s="73"/>
      <c r="E87" s="73"/>
      <c r="F87" s="110">
        <f>317+334+231</f>
        <v>882</v>
      </c>
      <c r="G87" s="85"/>
      <c r="H87" s="72">
        <f>F87/F77</f>
        <v>29.4</v>
      </c>
    </row>
    <row r="88" spans="3:10" x14ac:dyDescent="0.25">
      <c r="D88" s="93"/>
      <c r="E88" s="73"/>
      <c r="F88" s="110"/>
      <c r="G88" s="85"/>
    </row>
    <row r="91" spans="3:10" ht="15.75" thickBot="1" x14ac:dyDescent="0.3">
      <c r="C91" s="78" t="s">
        <v>139</v>
      </c>
      <c r="D91" s="73"/>
      <c r="E91" s="85"/>
      <c r="F91" s="110"/>
      <c r="G91" s="84"/>
      <c r="I91" s="73"/>
    </row>
    <row r="92" spans="3:10" ht="15.75" thickBot="1" x14ac:dyDescent="0.3">
      <c r="C92" s="97" t="s">
        <v>37</v>
      </c>
      <c r="D92" s="98" t="s">
        <v>38</v>
      </c>
      <c r="E92" s="99"/>
      <c r="F92" s="111"/>
    </row>
    <row r="93" spans="3:10" x14ac:dyDescent="0.25">
      <c r="C93" s="100" t="s">
        <v>39</v>
      </c>
      <c r="D93" s="116" t="s">
        <v>40</v>
      </c>
      <c r="E93" s="90"/>
      <c r="F93" s="112"/>
    </row>
    <row r="94" spans="3:10" x14ac:dyDescent="0.25">
      <c r="C94" s="69"/>
      <c r="D94" s="143"/>
      <c r="E94" s="144"/>
      <c r="F94" s="145"/>
    </row>
    <row r="95" spans="3:10" ht="15.75" thickBot="1" x14ac:dyDescent="0.3">
      <c r="C95" s="69" t="s">
        <v>41</v>
      </c>
      <c r="D95" s="117" t="s">
        <v>11</v>
      </c>
      <c r="E95" s="91">
        <f>IF(D95=$K$4,(VLOOKUP(D97,$C$5:$F$17,2,FALSE)),(VLOOKUP(D97,$C$5:$F$17,4,FALSE)))</f>
        <v>0.4</v>
      </c>
      <c r="F95" s="113"/>
    </row>
    <row r="96" spans="3:10" x14ac:dyDescent="0.25">
      <c r="C96" s="70" t="s">
        <v>42</v>
      </c>
      <c r="D96" s="118" t="s">
        <v>43</v>
      </c>
      <c r="E96" s="82"/>
      <c r="F96" s="113">
        <v>0</v>
      </c>
      <c r="H96" s="139" t="s">
        <v>44</v>
      </c>
      <c r="I96" s="140"/>
      <c r="J96" s="95" t="s">
        <v>45</v>
      </c>
    </row>
    <row r="97" spans="3:12" ht="15.75" thickBot="1" x14ac:dyDescent="0.3">
      <c r="C97" s="69" t="s">
        <v>46</v>
      </c>
      <c r="D97" s="119" t="s">
        <v>10</v>
      </c>
      <c r="E97" s="92">
        <f>VLOOKUP(D97,$C$4:$F$17,3,FALSE)</f>
        <v>0.3</v>
      </c>
      <c r="F97" s="106">
        <f>(F95-F96)*E97*E95</f>
        <v>0</v>
      </c>
      <c r="H97" s="141"/>
      <c r="I97" s="142"/>
      <c r="J97" s="96" t="s">
        <v>47</v>
      </c>
    </row>
    <row r="98" spans="3:12" ht="27" thickBot="1" x14ac:dyDescent="0.3">
      <c r="C98" s="70" t="s">
        <v>48</v>
      </c>
    </row>
    <row r="99" spans="3:12" ht="15.75" thickBot="1" x14ac:dyDescent="0.3">
      <c r="C99" s="69" t="s">
        <v>49</v>
      </c>
      <c r="D99" s="99" t="s">
        <v>50</v>
      </c>
      <c r="E99" s="99"/>
      <c r="F99" s="111"/>
      <c r="L99" s="72">
        <f>550100.12-109279.84</f>
        <v>440820.28</v>
      </c>
    </row>
    <row r="100" spans="3:12" x14ac:dyDescent="0.25">
      <c r="C100" s="69" t="s">
        <v>51</v>
      </c>
      <c r="D100" s="90" t="s">
        <v>52</v>
      </c>
      <c r="E100" s="90"/>
      <c r="F100" s="112"/>
    </row>
    <row r="101" spans="3:12" x14ac:dyDescent="0.25">
      <c r="C101" s="69" t="s">
        <v>53</v>
      </c>
      <c r="D101" s="102" t="s">
        <v>17</v>
      </c>
      <c r="E101" s="82">
        <f>IF(D101=$K$7,(VLOOKUP(D104,$O$4:$S$16,3,FALSE)),IF(D101=$K$8,(VLOOKUP(D104,$O$4:S$16,4,FALSE)),(VLOOKUP(D104,$O$4:S$16,5,FALSE))))</f>
        <v>10.8</v>
      </c>
      <c r="F101" s="113">
        <v>0.5</v>
      </c>
    </row>
    <row r="102" spans="3:12" x14ac:dyDescent="0.25">
      <c r="C102" s="69" t="s">
        <v>54</v>
      </c>
      <c r="D102" s="104" t="s">
        <v>55</v>
      </c>
      <c r="E102" s="91">
        <f>(VLOOKUP(D104,$C$5:$F$16,3,FALSE))</f>
        <v>0.3</v>
      </c>
      <c r="F102" s="113">
        <v>31</v>
      </c>
    </row>
    <row r="103" spans="3:12" x14ac:dyDescent="0.25">
      <c r="C103" s="69" t="s">
        <v>56</v>
      </c>
      <c r="D103" s="101" t="s">
        <v>43</v>
      </c>
      <c r="E103" s="91">
        <f>(VLOOKUP(D104,$C$5:$F$16,4,FALSE))</f>
        <v>0.4</v>
      </c>
      <c r="F103" s="113">
        <v>0</v>
      </c>
    </row>
    <row r="104" spans="3:12" ht="27" thickBot="1" x14ac:dyDescent="0.3">
      <c r="C104" s="70" t="s">
        <v>57</v>
      </c>
      <c r="D104" s="103" t="s">
        <v>10</v>
      </c>
      <c r="E104" s="92">
        <f>VLOOKUP(D104,$O$4:$S$16,2,FALSE)</f>
        <v>0.3</v>
      </c>
      <c r="F104" s="105">
        <f>(((F102/365)*F101*E104*E101)*1000)-(F103*E103*E102)</f>
        <v>137.58904109589039</v>
      </c>
      <c r="G104" s="115"/>
      <c r="J104" s="115">
        <f>F104*1000</f>
        <v>137589.0410958904</v>
      </c>
    </row>
    <row r="105" spans="3:12" x14ac:dyDescent="0.25">
      <c r="C105" s="69" t="s">
        <v>58</v>
      </c>
    </row>
    <row r="106" spans="3:12" ht="15.75" thickBot="1" x14ac:dyDescent="0.3">
      <c r="C106" s="71"/>
      <c r="D106" s="78"/>
      <c r="E106" s="73"/>
      <c r="F106" s="110"/>
      <c r="G106" s="87"/>
    </row>
    <row r="107" spans="3:12" x14ac:dyDescent="0.25">
      <c r="D107" s="73"/>
      <c r="E107" s="73"/>
      <c r="F107" s="110">
        <f>F104/6</f>
        <v>22.931506849315067</v>
      </c>
      <c r="G107" s="85"/>
    </row>
    <row r="108" spans="3:12" x14ac:dyDescent="0.25">
      <c r="D108" s="93"/>
      <c r="E108" s="73"/>
      <c r="F108" s="110"/>
      <c r="G108" s="85"/>
    </row>
    <row r="109" spans="3:12" ht="15.75" thickBot="1" x14ac:dyDescent="0.3">
      <c r="D109" s="78"/>
      <c r="E109" s="73"/>
      <c r="F109" s="110"/>
      <c r="G109" s="88"/>
      <c r="J109" s="72">
        <f>550100.12</f>
        <v>550100.12</v>
      </c>
    </row>
    <row r="110" spans="3:12" x14ac:dyDescent="0.25">
      <c r="C110" s="149" t="s">
        <v>59</v>
      </c>
      <c r="F110" s="114"/>
    </row>
    <row r="111" spans="3:12" ht="15.75" thickBot="1" x14ac:dyDescent="0.3">
      <c r="C111" s="150"/>
      <c r="D111" s="78"/>
      <c r="E111" s="73"/>
      <c r="F111" s="110"/>
      <c r="G111" s="87"/>
    </row>
    <row r="112" spans="3:12" x14ac:dyDescent="0.25">
      <c r="D112" s="73"/>
      <c r="E112" s="73"/>
      <c r="F112" s="110">
        <f>317+334+231</f>
        <v>882</v>
      </c>
      <c r="G112" s="85"/>
      <c r="H112" s="72">
        <f>F112/F102</f>
        <v>28.451612903225808</v>
      </c>
    </row>
    <row r="113" spans="4:7" x14ac:dyDescent="0.25">
      <c r="D113" s="93"/>
      <c r="E113" s="73"/>
      <c r="F113" s="110"/>
      <c r="G113" s="85"/>
    </row>
  </sheetData>
  <sheetProtection selectLockedCells="1"/>
  <mergeCells count="13">
    <mergeCell ref="D94:F94"/>
    <mergeCell ref="H96:I97"/>
    <mergeCell ref="C110:C111"/>
    <mergeCell ref="H47:I48"/>
    <mergeCell ref="C61:C62"/>
    <mergeCell ref="D69:F69"/>
    <mergeCell ref="H71:I72"/>
    <mergeCell ref="C85:C86"/>
    <mergeCell ref="H23:I24"/>
    <mergeCell ref="D21:F21"/>
    <mergeCell ref="C2:F2"/>
    <mergeCell ref="C37:C38"/>
    <mergeCell ref="D45:F45"/>
  </mergeCells>
  <phoneticPr fontId="11" type="noConversion"/>
  <dataValidations count="4">
    <dataValidation type="list" allowBlank="1" showInputMessage="1" showErrorMessage="1" sqref="D22 D46 D70 D95" xr:uid="{FC255735-9DFB-4DE5-A268-500C8E3195F1}">
      <formula1>$K$4:$K$5</formula1>
    </dataValidation>
    <dataValidation type="list" allowBlank="1" showInputMessage="1" showErrorMessage="1" sqref="D31 D41 D36 D55 D60 D79 D84 D104 D109" xr:uid="{063E312A-4BBC-43D0-A5B6-EC5751534FD6}">
      <formula1>$C$5:$C$16</formula1>
    </dataValidation>
    <dataValidation type="list" allowBlank="1" showInputMessage="1" showErrorMessage="1" sqref="D28 D52 D76 D101" xr:uid="{497927B4-E0A0-447A-A352-6B47B48535F1}">
      <formula1>$K$7:$K$9</formula1>
    </dataValidation>
    <dataValidation type="list" allowBlank="1" showInputMessage="1" showErrorMessage="1" sqref="D24 D48 D72 D97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2023-09-26T08:30:11Z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