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n.Odien\Desktop\"/>
    </mc:Choice>
  </mc:AlternateContent>
  <xr:revisionPtr revIDLastSave="0" documentId="8_{C77F4CD2-F158-4F01-85AE-51F6442FEAC5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tabRatio="35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4" i="5" l="1"/>
  <c r="E102" i="5"/>
  <c r="F102" i="5" s="1"/>
  <c r="I102" i="5" s="1"/>
  <c r="E101" i="5"/>
  <c r="E100" i="5"/>
  <c r="E99" i="5"/>
  <c r="E95" i="5"/>
  <c r="F95" i="5" s="1"/>
  <c r="N94" i="5"/>
  <c r="E93" i="5"/>
  <c r="E78" i="5"/>
  <c r="F78" i="5" s="1"/>
  <c r="I78" i="5" s="1"/>
  <c r="E77" i="5"/>
  <c r="E76" i="5"/>
  <c r="E75" i="5"/>
  <c r="E71" i="5"/>
  <c r="F71" i="5" s="1"/>
  <c r="N70" i="5"/>
  <c r="E69" i="5"/>
  <c r="E54" i="5"/>
  <c r="F54" i="5" s="1"/>
  <c r="E53" i="5"/>
  <c r="E52" i="5"/>
  <c r="E51" i="5"/>
  <c r="E47" i="5"/>
  <c r="F47" i="5" s="1"/>
  <c r="N46" i="5"/>
  <c r="E45" i="5"/>
  <c r="E22" i="5"/>
  <c r="N23" i="5" l="1"/>
  <c r="T31" i="5"/>
  <c r="S31" i="5"/>
  <c r="T27" i="5"/>
  <c r="T22" i="5"/>
  <c r="T23" i="5"/>
  <c r="H39" i="5"/>
  <c r="E24" i="5"/>
  <c r="F24" i="5" l="1"/>
  <c r="E31" i="5"/>
  <c r="E30" i="5"/>
  <c r="E29" i="5"/>
  <c r="E28" i="5"/>
  <c r="F31" i="5" l="1"/>
  <c r="I31" i="5" s="1"/>
  <c r="I106" i="5" s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  <comment ref="E45" authorId="0" shapeId="0" xr:uid="{52149E3C-C062-4126-8E67-CAEC65ACC5B5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47" authorId="0" shapeId="0" xr:uid="{166F2093-D226-4996-A02E-F6F51BF0F5CE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51" authorId="0" shapeId="0" xr:uid="{2FB0C481-26EC-418D-9CB2-DC8F7B4E54B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52" authorId="0" shapeId="0" xr:uid="{B083D21D-2959-49D9-ABE1-98FF3537A6CB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53" authorId="0" shapeId="0" xr:uid="{21273AD7-DA74-4FE3-ABD0-262025ADC068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54" authorId="0" shapeId="0" xr:uid="{92A67F4A-BE5C-497E-A2B0-8509FBDE8217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  <comment ref="E69" authorId="0" shapeId="0" xr:uid="{EA0B7708-0900-4708-8926-48A9A7557612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71" authorId="0" shapeId="0" xr:uid="{764F1BBA-BF08-4F96-9507-C7C23D0E970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75" authorId="0" shapeId="0" xr:uid="{A3FD5A6C-CEE0-46AE-B6C6-07A1FDEF280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76" authorId="0" shapeId="0" xr:uid="{BE690A7E-FCCA-438F-BF74-00487E0850CF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77" authorId="0" shapeId="0" xr:uid="{7971A106-08FA-4F03-8CC1-724FACE81E09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78" authorId="0" shapeId="0" xr:uid="{9A1445B6-50E0-481A-8F36-A7B0B88FC4F2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  <comment ref="E93" authorId="0" shapeId="0" xr:uid="{31B85CC1-4A16-4728-B5BF-D68483C84C1C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95" authorId="0" shapeId="0" xr:uid="{A251C487-EAC8-48A6-AF68-3637CA69BF2C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99" authorId="0" shapeId="0" xr:uid="{8014C279-BBA0-4E67-86E7-C23CFE31B39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100" authorId="0" shapeId="0" xr:uid="{6EAAE764-14BD-48B3-8AC5-46933930634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101" authorId="0" shapeId="0" xr:uid="{E5438891-EC97-45BC-BFF8-80BE3B15D2FC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102" authorId="0" shapeId="0" xr:uid="{9F51141B-B99F-4FD8-A457-7AA6AA8DE67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<sst xmlns="http://schemas.openxmlformats.org/spreadsheetml/2006/main" count="393" uniqueCount="140">
  <si>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</si>
  <si>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</si>
  <si>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</si>
  <si>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</si>
  <si>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</si>
  <si>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</si>
  <si>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</si>
  <si>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</si>
  <si>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</si>
  <si>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</si>
  <si>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</si>
  <si>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</si>
  <si>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</si>
  <si>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</si>
  <si>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</si>
  <si>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</si>
  <si>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</si>
  <si>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</si>
  <si>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</si>
  <si>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</si>
  <si>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</si>
  <si>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</si>
  <si>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</si>
  <si>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</si>
  <si>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</si>
  <si>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</si>
  <si>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</si>
  <si>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</si>
  <si>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</si>
  <si>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</si>
  <si>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</si>
  <si>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</si>
  <si>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</si>
  <si>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</si>
  <si>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</si>
  <si>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</si>
  <si>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</si>
  <si>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</si>
  <si>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</si>
  <si>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</si>
  <si>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</si>
  <si>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</si>
  <si>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</si>
  <si>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</si>
  <si>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</si>
  <si>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</si>
  <si>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</si>
  <si>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</si>
  <si>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</si>
  <si>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</si>
  <si>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</si>
  <si>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</si>
  <si>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</si>
  <si>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</si>
  <si>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</si>
  <si>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</si>
  <si>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</si>
  <si>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</si>
  <si>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</si>
  <si>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</si>
  <si>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</si>
  <si>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</si>
  <si>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</si>
  <si>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</si>
  <si>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</si>
  <si>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</si>
  <si>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</si>
  <si>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</si>
  <si>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</si>
  <si>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</si>
  <si>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</si>
  <si>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</si>
  <si>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</si>
  <si>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</si>
  <si>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</si>
  <si>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</si>
  <si>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</si>
  <si>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</si>
  <si>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</si>
  <si>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</si>
  <si>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</si>
  <si>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</si>
  <si>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</si>
  <si>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</si>
  <si>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</si>
  <si>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</si>
  <si>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</si>
  <si>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</si>
  <si>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</si>
  <si>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</si>
  <si>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</si>
  <si>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</si>
  <si>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</si>
  <si>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</si>
  <si>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</si>
  <si>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</si>
  <si>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</si>
  <si>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</si>
  <si>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</si>
  <si>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</si>
  <si>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</si>
  <si>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</si>
  <si>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</si>
  <si>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</si>
  <si>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</si>
  <si>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</si>
  <si>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</si>
  <si>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</si>
  <si>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</si>
  <si>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</si>
  <si>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</si>
  <si>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</si>
  <si>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</si>
  <si>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</si>
  <si>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</si>
  <si>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</si>
  <si>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</si>
  <si>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</si>
  <si>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</si>
  <si>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</si>
  <si>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</si>
  <si>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</si>
  <si>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</si>
  <si>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</si>
  <si>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</si>
  <si>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</si>
  <si>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</si>
  <si>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</si>
  <si>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</si>
  <si>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</si>
  <si>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</si>
  <si>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</si>
  <si>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</si>
  <si>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</si>
  <si>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</si>
  <si>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</si>
  <si>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LIP Impact Banking for W48L</t>
  </si>
  <si>
    <t>LIP Impact Banking for W43S</t>
  </si>
  <si>
    <t>LIP Impact Banking for W25T</t>
  </si>
  <si>
    <t>LIP Impact Banking for W84L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</si>
</sst>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3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4" fontId="12" fillId="0" borderId="0" xfId="0" applyNumberFormat="1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3905250</xdr:colOff>
      <xdr:row>44</xdr:row>
      <xdr:rowOff>95250</xdr:rowOff>
    </xdr:from>
    <xdr:to>
      <xdr:col>3</xdr:col>
      <xdr:colOff>12700</xdr:colOff>
      <xdr:row>47</xdr:row>
      <xdr:rowOff>38100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2ADA1615-5C83-419C-87B3-DA2B3A9928AC}"/>
            </a:ext>
          </a:extLst>
        </xdr:cNvPr>
        <xdr:cNvCxnSpPr/>
      </xdr:nvCxnSpPr>
      <xdr:spPr>
        <a:xfrm flipV="1">
          <a:off x="5515841" y="851477"/>
          <a:ext cx="910359" cy="5085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46</xdr:row>
      <xdr:rowOff>114300</xdr:rowOff>
    </xdr:from>
    <xdr:to>
      <xdr:col>3</xdr:col>
      <xdr:colOff>57150</xdr:colOff>
      <xdr:row>48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8939B4CA-E33A-42F6-85B4-B7A6328467B7}"/>
            </a:ext>
          </a:extLst>
        </xdr:cNvPr>
        <xdr:cNvCxnSpPr/>
      </xdr:nvCxnSpPr>
      <xdr:spPr>
        <a:xfrm flipV="1">
          <a:off x="4296641" y="1245755"/>
          <a:ext cx="2174009" cy="5310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50</xdr:row>
      <xdr:rowOff>57150</xdr:rowOff>
    </xdr:from>
    <xdr:to>
      <xdr:col>3</xdr:col>
      <xdr:colOff>76200</xdr:colOff>
      <xdr:row>51</xdr:row>
      <xdr:rowOff>38100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2FB21B7B-3F9A-4751-88BF-C7B1BF9AC417}"/>
            </a:ext>
          </a:extLst>
        </xdr:cNvPr>
        <xdr:cNvCxnSpPr/>
      </xdr:nvCxnSpPr>
      <xdr:spPr>
        <a:xfrm flipV="1">
          <a:off x="5585691" y="2077605"/>
          <a:ext cx="904009" cy="1656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52</xdr:row>
      <xdr:rowOff>114300</xdr:rowOff>
    </xdr:from>
    <xdr:to>
      <xdr:col>3</xdr:col>
      <xdr:colOff>44450</xdr:colOff>
      <xdr:row>53</xdr:row>
      <xdr:rowOff>158750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73AC23CC-595A-4606-AC46-EC4761FFAB74}"/>
            </a:ext>
          </a:extLst>
        </xdr:cNvPr>
        <xdr:cNvCxnSpPr/>
      </xdr:nvCxnSpPr>
      <xdr:spPr>
        <a:xfrm>
          <a:off x="4315691" y="2504209"/>
          <a:ext cx="2142259" cy="2291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3905250</xdr:colOff>
      <xdr:row>68</xdr:row>
      <xdr:rowOff>95250</xdr:rowOff>
    </xdr:from>
    <xdr:to>
      <xdr:col>3</xdr:col>
      <xdr:colOff>12700</xdr:colOff>
      <xdr:row>71</xdr:row>
      <xdr:rowOff>38100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6590E0F2-5294-4666-82A3-99B0FEB723BE}"/>
            </a:ext>
          </a:extLst>
        </xdr:cNvPr>
        <xdr:cNvCxnSpPr/>
      </xdr:nvCxnSpPr>
      <xdr:spPr>
        <a:xfrm flipV="1">
          <a:off x="5515841" y="5105977"/>
          <a:ext cx="910359" cy="5085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70</xdr:row>
      <xdr:rowOff>114300</xdr:rowOff>
    </xdr:from>
    <xdr:to>
      <xdr:col>3</xdr:col>
      <xdr:colOff>57150</xdr:colOff>
      <xdr:row>72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90C14BFD-82E8-4A82-81C6-97B6CBD8EA6D}"/>
            </a:ext>
          </a:extLst>
        </xdr:cNvPr>
        <xdr:cNvCxnSpPr/>
      </xdr:nvCxnSpPr>
      <xdr:spPr>
        <a:xfrm flipV="1">
          <a:off x="4296641" y="5500255"/>
          <a:ext cx="2174009" cy="5310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74</xdr:row>
      <xdr:rowOff>57150</xdr:rowOff>
    </xdr:from>
    <xdr:to>
      <xdr:col>3</xdr:col>
      <xdr:colOff>76200</xdr:colOff>
      <xdr:row>75</xdr:row>
      <xdr:rowOff>38100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182624FD-EBAD-44BE-BC6C-32526EA07D1C}"/>
            </a:ext>
          </a:extLst>
        </xdr:cNvPr>
        <xdr:cNvCxnSpPr/>
      </xdr:nvCxnSpPr>
      <xdr:spPr>
        <a:xfrm flipV="1">
          <a:off x="5585691" y="6349423"/>
          <a:ext cx="904009" cy="1656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76</xdr:row>
      <xdr:rowOff>114300</xdr:rowOff>
    </xdr:from>
    <xdr:to>
      <xdr:col>3</xdr:col>
      <xdr:colOff>44450</xdr:colOff>
      <xdr:row>77</xdr:row>
      <xdr:rowOff>158750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D470BB16-45ED-42E1-BD71-85DAA0F86743}"/>
            </a:ext>
          </a:extLst>
        </xdr:cNvPr>
        <xdr:cNvCxnSpPr/>
      </xdr:nvCxnSpPr>
      <xdr:spPr>
        <a:xfrm>
          <a:off x="4315691" y="6776027"/>
          <a:ext cx="2142259" cy="2291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3905250</xdr:colOff>
      <xdr:row>92</xdr:row>
      <xdr:rowOff>95250</xdr:rowOff>
    </xdr:from>
    <xdr:to>
      <xdr:col>3</xdr:col>
      <xdr:colOff>12700</xdr:colOff>
      <xdr:row>95</xdr:row>
      <xdr:rowOff>38100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364E7A6F-6DB5-4112-98A4-3B756B2659B9}"/>
            </a:ext>
          </a:extLst>
        </xdr:cNvPr>
        <xdr:cNvCxnSpPr/>
      </xdr:nvCxnSpPr>
      <xdr:spPr>
        <a:xfrm flipV="1">
          <a:off x="5515841" y="9897341"/>
          <a:ext cx="910359" cy="5085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94</xdr:row>
      <xdr:rowOff>114300</xdr:rowOff>
    </xdr:from>
    <xdr:to>
      <xdr:col>3</xdr:col>
      <xdr:colOff>57150</xdr:colOff>
      <xdr:row>96</xdr:row>
      <xdr:rowOff>114300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C7C009F0-A058-4981-AA9C-531233BF56B9}"/>
            </a:ext>
          </a:extLst>
        </xdr:cNvPr>
        <xdr:cNvCxnSpPr/>
      </xdr:nvCxnSpPr>
      <xdr:spPr>
        <a:xfrm flipV="1">
          <a:off x="4296641" y="10291618"/>
          <a:ext cx="2174009" cy="5310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98</xdr:row>
      <xdr:rowOff>57150</xdr:rowOff>
    </xdr:from>
    <xdr:to>
      <xdr:col>3</xdr:col>
      <xdr:colOff>76200</xdr:colOff>
      <xdr:row>99</xdr:row>
      <xdr:rowOff>38100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FE18012C-1660-48E1-826D-034B02B99BD9}"/>
            </a:ext>
          </a:extLst>
        </xdr:cNvPr>
        <xdr:cNvCxnSpPr/>
      </xdr:nvCxnSpPr>
      <xdr:spPr>
        <a:xfrm flipV="1">
          <a:off x="5585691" y="11140786"/>
          <a:ext cx="904009" cy="1656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100</xdr:row>
      <xdr:rowOff>114300</xdr:rowOff>
    </xdr:from>
    <xdr:to>
      <xdr:col>3</xdr:col>
      <xdr:colOff>44450</xdr:colOff>
      <xdr:row>101</xdr:row>
      <xdr:rowOff>158750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77F46BAF-E8D3-4616-8FD9-F2FFDB9DE432}"/>
            </a:ext>
          </a:extLst>
        </xdr:cNvPr>
        <xdr:cNvCxnSpPr/>
      </xdr:nvCxnSpPr>
      <xdr:spPr>
        <a:xfrm>
          <a:off x="4315691" y="11567391"/>
          <a:ext cx="2142259" cy="2291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109"/>
  <sheetViews>
    <sheetView tabSelected="1" topLeftCell="C92" zoomScale="110" zoomScaleNormal="110" workbookViewId="0">
      <selection activeCell="J106" sqref="J106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3.81640625" style="72" hidden="1" customWidth="1"/>
    <col min="6" max="6" width="28.54296875" style="107" customWidth="1"/>
    <col min="7" max="7" width="4.26953125" style="72" customWidth="1"/>
    <col min="8" max="8" width="4.7265625" style="72" customWidth="1"/>
    <col min="9" max="9" width="11.5429687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9" t="s">
        <v>0</v>
      </c>
      <c r="D2" s="160"/>
      <c r="E2" s="160"/>
      <c r="F2" s="161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 t="s">
        <v>136</v>
      </c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6"/>
      <c r="E21" s="157"/>
      <c r="F21" s="158"/>
    </row>
    <row r="22" spans="2:20" ht="15" thickBot="1">
      <c r="C22" s="69" t="s">
        <v>41</v>
      </c>
      <c r="D22" s="117" t="s">
        <v>4</v>
      </c>
      <c r="E22" s="91">
        <f>IF(D22=$K$4,(VLOOKUP(D24,$C$5:$F$17,2,FALSE)),(VLOOKUP(D24,$C$5:$F$17,4,FALSE)))</f>
        <v>1</v>
      </c>
      <c r="F22" s="151"/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2" t="s">
        <v>44</v>
      </c>
      <c r="I23" s="153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0</v>
      </c>
      <c r="H24" s="154"/>
      <c r="I24" s="155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>
        <v>0.55000000000000004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19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26.62602739726028</v>
      </c>
      <c r="G31" s="115"/>
      <c r="I31" s="141">
        <f>F31*1000</f>
        <v>26626.027397260281</v>
      </c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14" ht="8.65" customHeight="1" thickBot="1">
      <c r="C33" s="71"/>
      <c r="D33" s="78"/>
      <c r="E33" s="73"/>
      <c r="F33" s="110"/>
      <c r="G33" s="87"/>
    </row>
    <row r="34" spans="3:14" ht="7.5" customHeight="1">
      <c r="D34" s="73"/>
      <c r="E34" s="73"/>
      <c r="F34" s="110"/>
      <c r="G34" s="85"/>
    </row>
    <row r="35" spans="3:14" ht="10.9" customHeight="1">
      <c r="D35" s="93"/>
      <c r="E35" s="73"/>
      <c r="F35" s="110"/>
      <c r="G35" s="85"/>
    </row>
    <row r="36" spans="3:14" ht="8.65" customHeight="1" thickBot="1">
      <c r="D36" s="78"/>
      <c r="E36" s="73"/>
      <c r="F36" s="110"/>
      <c r="G36" s="88"/>
    </row>
    <row r="37" spans="3:14" ht="12.65" customHeight="1">
      <c r="C37" s="162" t="s">
        <v>59</v>
      </c>
      <c r="F37" s="114"/>
    </row>
    <row r="38" spans="3:14" ht="15" thickBot="1">
      <c r="C38" s="163"/>
      <c r="D38" s="78"/>
      <c r="E38" s="73"/>
      <c r="F38" s="110"/>
      <c r="G38" s="87"/>
    </row>
    <row r="39" spans="3:14">
      <c r="D39" s="73"/>
      <c r="E39" s="73"/>
      <c r="F39" s="110"/>
      <c r="G39" s="85"/>
      <c r="H39" s="72">
        <f>F39/F29</f>
        <v>0</v>
      </c>
    </row>
    <row r="40" spans="3:14">
      <c r="D40" s="93"/>
      <c r="E40" s="73"/>
      <c r="F40" s="110"/>
      <c r="G40" s="85"/>
    </row>
    <row r="41" spans="3:14" ht="15" thickBot="1">
      <c r="C41" s="78" t="s">
        <v>137</v>
      </c>
      <c r="D41" s="73"/>
      <c r="E41" s="85"/>
      <c r="F41" s="110"/>
      <c r="G41" s="84"/>
      <c r="I41" s="73"/>
    </row>
    <row r="42" spans="3:14" ht="15" thickBot="1">
      <c r="C42" s="97" t="s">
        <v>37</v>
      </c>
      <c r="D42" s="98" t="s">
        <v>38</v>
      </c>
      <c r="E42" s="99"/>
      <c r="F42" s="111"/>
    </row>
    <row r="43" spans="3:14">
      <c r="C43" s="100" t="s">
        <v>39</v>
      </c>
      <c r="D43" s="116" t="s">
        <v>40</v>
      </c>
      <c r="E43" s="90"/>
      <c r="F43" s="112"/>
    </row>
    <row r="44" spans="3:14">
      <c r="C44" s="69"/>
      <c r="D44" s="156"/>
      <c r="E44" s="157"/>
      <c r="F44" s="158"/>
    </row>
    <row r="45" spans="3:14" ht="15" thickBot="1">
      <c r="C45" s="69" t="s">
        <v>41</v>
      </c>
      <c r="D45" s="117" t="s">
        <v>4</v>
      </c>
      <c r="E45" s="91">
        <f>IF(D45=$K$4,(VLOOKUP(D47,$C$5:$F$17,2,FALSE)),(VLOOKUP(D47,$C$5:$F$17,4,FALSE)))</f>
        <v>1</v>
      </c>
      <c r="F45" s="151"/>
    </row>
    <row r="46" spans="3:14">
      <c r="C46" s="70" t="s">
        <v>42</v>
      </c>
      <c r="D46" s="118" t="s">
        <v>43</v>
      </c>
      <c r="E46" s="82"/>
      <c r="F46" s="113">
        <v>0</v>
      </c>
      <c r="H46" s="152" t="s">
        <v>44</v>
      </c>
      <c r="I46" s="153"/>
      <c r="J46" s="95" t="s">
        <v>45</v>
      </c>
      <c r="M46" s="139">
        <v>6120468.8899999997</v>
      </c>
      <c r="N46" s="141">
        <f>M46*0.55*0.25</f>
        <v>841564.47237500001</v>
      </c>
    </row>
    <row r="47" spans="3:14" ht="15" thickBot="1">
      <c r="C47" s="69" t="s">
        <v>46</v>
      </c>
      <c r="D47" s="119" t="s">
        <v>10</v>
      </c>
      <c r="E47" s="92">
        <f>VLOOKUP(D47,$C$4:$F$17,3,FALSE)</f>
        <v>0.3</v>
      </c>
      <c r="F47" s="106">
        <f>(F45-F46)*E47*E45</f>
        <v>0</v>
      </c>
      <c r="H47" s="154"/>
      <c r="I47" s="155"/>
      <c r="J47" s="96" t="s">
        <v>47</v>
      </c>
    </row>
    <row r="48" spans="3:14" ht="27" thickBot="1">
      <c r="C48" s="70" t="s">
        <v>48</v>
      </c>
    </row>
    <row r="49" spans="3:14" ht="15" thickBot="1">
      <c r="C49" s="69" t="s">
        <v>49</v>
      </c>
      <c r="D49" s="99" t="s">
        <v>50</v>
      </c>
      <c r="E49" s="99"/>
      <c r="F49" s="111"/>
    </row>
    <row r="50" spans="3:14">
      <c r="C50" s="69" t="s">
        <v>51</v>
      </c>
      <c r="D50" s="90" t="s">
        <v>52</v>
      </c>
      <c r="E50" s="90"/>
      <c r="F50" s="112"/>
    </row>
    <row r="51" spans="3:14">
      <c r="C51" s="69" t="s">
        <v>53</v>
      </c>
      <c r="D51" s="102" t="s">
        <v>17</v>
      </c>
      <c r="E51" s="82">
        <f>IF(D51=$K$7,(VLOOKUP(D54,$O$4:$S$16,3,FALSE)),IF(D51=$K$8,(VLOOKUP(D54,$O$4:S$16,4,FALSE)),(VLOOKUP(D54,$O$4:S$16,5,FALSE))))</f>
        <v>3.1</v>
      </c>
      <c r="F51" s="113">
        <v>0.76700000000000002</v>
      </c>
      <c r="K51" s="141"/>
    </row>
    <row r="52" spans="3:14">
      <c r="C52" s="69" t="s">
        <v>54</v>
      </c>
      <c r="D52" s="104" t="s">
        <v>55</v>
      </c>
      <c r="E52" s="91">
        <f>(VLOOKUP(D54,$C$5:$F$16,3,FALSE))</f>
        <v>0.3</v>
      </c>
      <c r="F52" s="113">
        <v>20</v>
      </c>
    </row>
    <row r="53" spans="3:14">
      <c r="C53" s="69" t="s">
        <v>56</v>
      </c>
      <c r="D53" s="101" t="s">
        <v>43</v>
      </c>
      <c r="E53" s="91">
        <f>(VLOOKUP(D54,$C$5:$F$16,4,FALSE))</f>
        <v>0.2</v>
      </c>
      <c r="F53" s="113">
        <v>0</v>
      </c>
      <c r="K53" s="150"/>
    </row>
    <row r="54" spans="3:14" ht="27" thickBot="1">
      <c r="C54" s="70" t="s">
        <v>57</v>
      </c>
      <c r="D54" s="103" t="s">
        <v>10</v>
      </c>
      <c r="E54" s="92">
        <f>VLOOKUP(D54,$O$4:$S$16,2,FALSE)</f>
        <v>0.3</v>
      </c>
      <c r="F54" s="105">
        <f>(((F52/365)*F51*E54*E51)*1000)-(F53*E53*E52)</f>
        <v>39.085479452054791</v>
      </c>
      <c r="G54" s="115"/>
      <c r="I54" s="141">
        <f>F54*1000</f>
        <v>39085.479452054795</v>
      </c>
      <c r="J54" s="115"/>
    </row>
    <row r="55" spans="3:14">
      <c r="C55" s="69" t="s">
        <v>58</v>
      </c>
      <c r="N55">
        <v>6120468.8899999997</v>
      </c>
    </row>
    <row r="56" spans="3:14" ht="15" thickBot="1">
      <c r="C56" s="71"/>
      <c r="D56" s="78"/>
      <c r="E56" s="73"/>
      <c r="F56" s="110"/>
      <c r="G56" s="87"/>
    </row>
    <row r="57" spans="3:14">
      <c r="D57" s="73"/>
      <c r="E57" s="73"/>
      <c r="F57" s="110"/>
      <c r="G57" s="85"/>
    </row>
    <row r="58" spans="3:14">
      <c r="D58" s="93"/>
      <c r="E58" s="73"/>
      <c r="F58" s="110"/>
      <c r="G58" s="85"/>
    </row>
    <row r="59" spans="3:14" ht="15" thickBot="1">
      <c r="D59" s="78"/>
      <c r="E59" s="73"/>
      <c r="F59" s="110"/>
      <c r="G59" s="88"/>
    </row>
    <row r="60" spans="3:14">
      <c r="C60" s="162" t="s">
        <v>59</v>
      </c>
      <c r="F60" s="114"/>
    </row>
    <row r="61" spans="3:14" ht="15" thickBot="1">
      <c r="C61" s="163"/>
      <c r="D61" s="78"/>
      <c r="E61" s="73"/>
      <c r="F61" s="110"/>
      <c r="G61" s="87"/>
    </row>
    <row r="65" spans="3:14" ht="15" thickBot="1">
      <c r="C65" s="78" t="s">
        <v>138</v>
      </c>
      <c r="D65" s="73"/>
      <c r="E65" s="85"/>
      <c r="F65" s="110"/>
      <c r="G65" s="84"/>
      <c r="I65" s="73"/>
    </row>
    <row r="66" spans="3:14" ht="15" thickBot="1">
      <c r="C66" s="97" t="s">
        <v>37</v>
      </c>
      <c r="D66" s="98" t="s">
        <v>38</v>
      </c>
      <c r="E66" s="99"/>
      <c r="F66" s="111"/>
    </row>
    <row r="67" spans="3:14">
      <c r="C67" s="100" t="s">
        <v>39</v>
      </c>
      <c r="D67" s="116" t="s">
        <v>40</v>
      </c>
      <c r="E67" s="90"/>
      <c r="F67" s="112"/>
    </row>
    <row r="68" spans="3:14">
      <c r="C68" s="69"/>
      <c r="D68" s="156"/>
      <c r="E68" s="157"/>
      <c r="F68" s="158"/>
    </row>
    <row r="69" spans="3:14" ht="15" thickBot="1">
      <c r="C69" s="69" t="s">
        <v>41</v>
      </c>
      <c r="D69" s="117" t="s">
        <v>4</v>
      </c>
      <c r="E69" s="91">
        <f>IF(D69=$K$4,(VLOOKUP(D71,$C$5:$F$17,2,FALSE)),(VLOOKUP(D71,$C$5:$F$17,4,FALSE)))</f>
        <v>1</v>
      </c>
      <c r="F69" s="151"/>
    </row>
    <row r="70" spans="3:14">
      <c r="C70" s="70" t="s">
        <v>42</v>
      </c>
      <c r="D70" s="118" t="s">
        <v>43</v>
      </c>
      <c r="E70" s="82"/>
      <c r="F70" s="113">
        <v>0</v>
      </c>
      <c r="H70" s="152" t="s">
        <v>44</v>
      </c>
      <c r="I70" s="153"/>
      <c r="J70" s="95" t="s">
        <v>45</v>
      </c>
      <c r="M70" s="139">
        <v>6120468.8899999997</v>
      </c>
      <c r="N70" s="141">
        <f>M70*0.55*0.25</f>
        <v>841564.47237500001</v>
      </c>
    </row>
    <row r="71" spans="3:14" ht="15" thickBot="1">
      <c r="C71" s="69" t="s">
        <v>46</v>
      </c>
      <c r="D71" s="119" t="s">
        <v>10</v>
      </c>
      <c r="E71" s="92">
        <f>VLOOKUP(D71,$C$4:$F$17,3,FALSE)</f>
        <v>0.3</v>
      </c>
      <c r="F71" s="106">
        <f>(F69-F70)*E71*E69</f>
        <v>0</v>
      </c>
      <c r="H71" s="154"/>
      <c r="I71" s="155"/>
      <c r="J71" s="96" t="s">
        <v>47</v>
      </c>
    </row>
    <row r="72" spans="3:14" ht="27" thickBot="1">
      <c r="C72" s="70" t="s">
        <v>48</v>
      </c>
    </row>
    <row r="73" spans="3:14" ht="15" thickBot="1">
      <c r="C73" s="69" t="s">
        <v>49</v>
      </c>
      <c r="D73" s="99" t="s">
        <v>50</v>
      </c>
      <c r="E73" s="99"/>
      <c r="F73" s="111"/>
    </row>
    <row r="74" spans="3:14">
      <c r="C74" s="69" t="s">
        <v>51</v>
      </c>
      <c r="D74" s="90" t="s">
        <v>52</v>
      </c>
      <c r="E74" s="90"/>
      <c r="F74" s="112"/>
    </row>
    <row r="75" spans="3:14">
      <c r="C75" s="69" t="s">
        <v>53</v>
      </c>
      <c r="D75" s="102" t="s">
        <v>17</v>
      </c>
      <c r="E75" s="82">
        <f>IF(D75=$K$7,(VLOOKUP(D78,$O$4:$S$16,3,FALSE)),IF(D75=$K$8,(VLOOKUP(D78,$O$4:S$16,4,FALSE)),(VLOOKUP(D78,$O$4:S$16,5,FALSE))))</f>
        <v>3.1</v>
      </c>
      <c r="F75" s="113">
        <v>0.66800000000000004</v>
      </c>
      <c r="K75" s="141"/>
    </row>
    <row r="76" spans="3:14">
      <c r="C76" s="69" t="s">
        <v>54</v>
      </c>
      <c r="D76" s="104" t="s">
        <v>55</v>
      </c>
      <c r="E76" s="91">
        <f>(VLOOKUP(D78,$C$5:$F$16,3,FALSE))</f>
        <v>0.3</v>
      </c>
      <c r="F76" s="113">
        <v>19</v>
      </c>
    </row>
    <row r="77" spans="3:14">
      <c r="C77" s="69" t="s">
        <v>56</v>
      </c>
      <c r="D77" s="101" t="s">
        <v>43</v>
      </c>
      <c r="E77" s="91">
        <f>(VLOOKUP(D78,$C$5:$F$16,4,FALSE))</f>
        <v>0.2</v>
      </c>
      <c r="F77" s="113">
        <v>0</v>
      </c>
      <c r="K77" s="150"/>
    </row>
    <row r="78" spans="3:14" ht="27" thickBot="1">
      <c r="C78" s="70" t="s">
        <v>57</v>
      </c>
      <c r="D78" s="103" t="s">
        <v>10</v>
      </c>
      <c r="E78" s="92">
        <f>VLOOKUP(D78,$O$4:$S$16,2,FALSE)</f>
        <v>0.3</v>
      </c>
      <c r="F78" s="105">
        <f>(((F76/365)*F75*E78*E75)*1000)-(F77*E77*E76)</f>
        <v>32.338520547945208</v>
      </c>
      <c r="G78" s="115"/>
      <c r="I78" s="141">
        <f>F78*1000</f>
        <v>32338.520547945209</v>
      </c>
      <c r="J78" s="115"/>
    </row>
    <row r="79" spans="3:14">
      <c r="C79" s="69" t="s">
        <v>58</v>
      </c>
      <c r="N79">
        <v>6120468.8899999997</v>
      </c>
    </row>
    <row r="80" spans="3:14" ht="15" thickBot="1">
      <c r="C80" s="71"/>
      <c r="D80" s="78"/>
      <c r="E80" s="73"/>
      <c r="F80" s="110"/>
      <c r="G80" s="87"/>
    </row>
    <row r="81" spans="3:14">
      <c r="D81" s="73"/>
      <c r="E81" s="73"/>
      <c r="F81" s="110"/>
      <c r="G81" s="85"/>
    </row>
    <row r="82" spans="3:14">
      <c r="D82" s="93"/>
      <c r="E82" s="73"/>
      <c r="F82" s="110"/>
      <c r="G82" s="85"/>
    </row>
    <row r="83" spans="3:14" ht="15" thickBot="1">
      <c r="D83" s="78"/>
      <c r="E83" s="73"/>
      <c r="F83" s="110"/>
      <c r="G83" s="88"/>
    </row>
    <row r="84" spans="3:14">
      <c r="C84" s="162" t="s">
        <v>59</v>
      </c>
      <c r="F84" s="114"/>
    </row>
    <row r="85" spans="3:14" ht="15" thickBot="1">
      <c r="C85" s="163"/>
      <c r="D85" s="78"/>
      <c r="E85" s="73"/>
      <c r="F85" s="110"/>
      <c r="G85" s="87"/>
    </row>
    <row r="89" spans="3:14" ht="15" thickBot="1">
      <c r="C89" s="78" t="s">
        <v>139</v>
      </c>
      <c r="D89" s="73"/>
      <c r="E89" s="85"/>
      <c r="F89" s="110"/>
      <c r="G89" s="84"/>
      <c r="I89" s="73"/>
    </row>
    <row r="90" spans="3:14" ht="15" thickBot="1">
      <c r="C90" s="97" t="s">
        <v>37</v>
      </c>
      <c r="D90" s="98" t="s">
        <v>38</v>
      </c>
      <c r="E90" s="99"/>
      <c r="F90" s="111"/>
    </row>
    <row r="91" spans="3:14">
      <c r="C91" s="100" t="s">
        <v>39</v>
      </c>
      <c r="D91" s="116" t="s">
        <v>40</v>
      </c>
      <c r="E91" s="90"/>
      <c r="F91" s="112"/>
    </row>
    <row r="92" spans="3:14">
      <c r="C92" s="69"/>
      <c r="D92" s="156"/>
      <c r="E92" s="157"/>
      <c r="F92" s="158"/>
    </row>
    <row r="93" spans="3:14" ht="15" thickBot="1">
      <c r="C93" s="69" t="s">
        <v>41</v>
      </c>
      <c r="D93" s="117" t="s">
        <v>4</v>
      </c>
      <c r="E93" s="91">
        <f>IF(D93=$K$4,(VLOOKUP(D95,$C$5:$F$17,2,FALSE)),(VLOOKUP(D95,$C$5:$F$17,4,FALSE)))</f>
        <v>1</v>
      </c>
      <c r="F93" s="151"/>
    </row>
    <row r="94" spans="3:14">
      <c r="C94" s="70" t="s">
        <v>42</v>
      </c>
      <c r="D94" s="118" t="s">
        <v>43</v>
      </c>
      <c r="E94" s="82"/>
      <c r="F94" s="113">
        <v>0</v>
      </c>
      <c r="H94" s="152" t="s">
        <v>44</v>
      </c>
      <c r="I94" s="153"/>
      <c r="J94" s="95" t="s">
        <v>45</v>
      </c>
      <c r="M94" s="139">
        <v>6120468.8899999997</v>
      </c>
      <c r="N94" s="141">
        <f>M94*0.55*0.25</f>
        <v>841564.47237500001</v>
      </c>
    </row>
    <row r="95" spans="3:14" ht="15" thickBot="1">
      <c r="C95" s="69" t="s">
        <v>46</v>
      </c>
      <c r="D95" s="119" t="s">
        <v>10</v>
      </c>
      <c r="E95" s="92">
        <f>VLOOKUP(D95,$C$4:$F$17,3,FALSE)</f>
        <v>0.3</v>
      </c>
      <c r="F95" s="106">
        <f>(F93-F94)*E95*E93</f>
        <v>0</v>
      </c>
      <c r="H95" s="154"/>
      <c r="I95" s="155"/>
      <c r="J95" s="96" t="s">
        <v>47</v>
      </c>
    </row>
    <row r="96" spans="3:14" ht="27" thickBot="1">
      <c r="C96" s="70" t="s">
        <v>48</v>
      </c>
    </row>
    <row r="97" spans="3:14" ht="15" thickBot="1">
      <c r="C97" s="69" t="s">
        <v>49</v>
      </c>
      <c r="D97" s="99" t="s">
        <v>50</v>
      </c>
      <c r="E97" s="99"/>
      <c r="F97" s="111"/>
    </row>
    <row r="98" spans="3:14">
      <c r="C98" s="69" t="s">
        <v>51</v>
      </c>
      <c r="D98" s="90" t="s">
        <v>52</v>
      </c>
      <c r="E98" s="90"/>
      <c r="F98" s="112"/>
    </row>
    <row r="99" spans="3:14">
      <c r="C99" s="69" t="s">
        <v>53</v>
      </c>
      <c r="D99" s="102" t="s">
        <v>17</v>
      </c>
      <c r="E99" s="82">
        <f>IF(D99=$K$7,(VLOOKUP(D102,$O$4:$S$16,3,FALSE)),IF(D99=$K$8,(VLOOKUP(D102,$O$4:S$16,4,FALSE)),(VLOOKUP(D102,$O$4:S$16,5,FALSE))))</f>
        <v>3.1</v>
      </c>
      <c r="F99" s="113">
        <v>0.40699999999999997</v>
      </c>
      <c r="K99" s="141"/>
    </row>
    <row r="100" spans="3:14">
      <c r="C100" s="69" t="s">
        <v>54</v>
      </c>
      <c r="D100" s="104" t="s">
        <v>55</v>
      </c>
      <c r="E100" s="91">
        <f>(VLOOKUP(D102,$C$5:$F$16,3,FALSE))</f>
        <v>0.3</v>
      </c>
      <c r="F100" s="113">
        <v>19</v>
      </c>
    </row>
    <row r="101" spans="3:14">
      <c r="C101" s="69" t="s">
        <v>56</v>
      </c>
      <c r="D101" s="101" t="s">
        <v>43</v>
      </c>
      <c r="E101" s="91">
        <f>(VLOOKUP(D102,$C$5:$F$16,4,FALSE))</f>
        <v>0.2</v>
      </c>
      <c r="F101" s="113">
        <v>0</v>
      </c>
      <c r="K101" s="150"/>
    </row>
    <row r="102" spans="3:14" ht="27" thickBot="1">
      <c r="C102" s="70" t="s">
        <v>57</v>
      </c>
      <c r="D102" s="103" t="s">
        <v>10</v>
      </c>
      <c r="E102" s="92">
        <f>VLOOKUP(D102,$O$4:$S$16,2,FALSE)</f>
        <v>0.3</v>
      </c>
      <c r="F102" s="105">
        <f>(((F100/365)*F99*E102*E99)*1000)-(F101*E101*E100)</f>
        <v>19.703260273972603</v>
      </c>
      <c r="G102" s="115"/>
      <c r="I102" s="141">
        <f>F102*1000</f>
        <v>19703.260273972603</v>
      </c>
      <c r="J102" s="115"/>
    </row>
    <row r="103" spans="3:14">
      <c r="C103" s="69" t="s">
        <v>58</v>
      </c>
      <c r="N103">
        <v>6120468.8899999997</v>
      </c>
    </row>
    <row r="104" spans="3:14" ht="15" thickBot="1">
      <c r="C104" s="71"/>
      <c r="D104" s="78"/>
      <c r="E104" s="73"/>
      <c r="F104" s="110"/>
      <c r="G104" s="87"/>
    </row>
    <row r="105" spans="3:14">
      <c r="D105" s="73"/>
      <c r="E105" s="73"/>
      <c r="F105" s="110"/>
      <c r="G105" s="85"/>
    </row>
    <row r="106" spans="3:14">
      <c r="D106" s="93"/>
      <c r="E106" s="73"/>
      <c r="F106" s="110"/>
      <c r="G106" s="85"/>
      <c r="I106" s="141">
        <f>I102+I78+I54+I31</f>
        <v>117753.28767123289</v>
      </c>
    </row>
    <row r="107" spans="3:14" ht="15" thickBot="1">
      <c r="D107" s="78"/>
      <c r="E107" s="73"/>
      <c r="F107" s="110"/>
      <c r="G107" s="88"/>
    </row>
    <row r="108" spans="3:14">
      <c r="C108" s="162" t="s">
        <v>59</v>
      </c>
      <c r="F108" s="114"/>
    </row>
    <row r="109" spans="3:14" ht="15" thickBot="1">
      <c r="C109" s="163"/>
      <c r="D109" s="78"/>
      <c r="E109" s="73"/>
      <c r="F109" s="110"/>
      <c r="G109" s="87"/>
    </row>
  </sheetData>
  <sheetProtection selectLockedCells="1"/>
  <mergeCells count="13">
    <mergeCell ref="D92:F92"/>
    <mergeCell ref="H94:I95"/>
    <mergeCell ref="C108:C109"/>
    <mergeCell ref="H46:I47"/>
    <mergeCell ref="C60:C61"/>
    <mergeCell ref="D68:F68"/>
    <mergeCell ref="H70:I71"/>
    <mergeCell ref="C84:C85"/>
    <mergeCell ref="H23:I24"/>
    <mergeCell ref="D21:F21"/>
    <mergeCell ref="C2:F2"/>
    <mergeCell ref="C37:C38"/>
    <mergeCell ref="D44:F44"/>
  </mergeCells>
  <phoneticPr fontId="11" type="noConversion"/>
  <dataValidations count="4">
    <dataValidation type="list" allowBlank="1" showInputMessage="1" showErrorMessage="1" sqref="D22 D45 D69 D93" xr:uid="{FC255735-9DFB-4DE5-A268-500C8E3195F1}">
      <formula1>$K$4:$K$5</formula1>
    </dataValidation>
    <dataValidation type="list" allowBlank="1" showInputMessage="1" showErrorMessage="1" sqref="D31 D36 D54 D59 D78 D83 D102 D107" xr:uid="{063E312A-4BBC-43D0-A5B6-EC5751534FD6}">
      <formula1>$C$5:$C$16</formula1>
    </dataValidation>
    <dataValidation type="list" allowBlank="1" showInputMessage="1" showErrorMessage="1" sqref="D28 D51 D75 D99" xr:uid="{497927B4-E0A0-447A-A352-6B47B48535F1}">
      <formula1>$K$7:$K$9</formula1>
    </dataValidation>
    <dataValidation type="list" allowBlank="1" showInputMessage="1" showErrorMessage="1" sqref="D24 D47 D71 D95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Odien, Nelson N SPDC-IUC/G/UWF</cp:lastModifiedBy>
  <cp:revision/>
  <dcterms:created xsi:type="dcterms:W3CDTF">2019-03-08T09:08:42Z</dcterms:created>
  <dcterms:modified xsi:type="dcterms:W3CDTF">2024-07-19T13:31:51Z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  <property fmtid="{D5CDD505-2E9C-101B-9397-08002B2CF9AE}" pid="5" name="MSIP_Label_d0cb1e24-a0e2-4a4c-9340-733297c9cd7c_Enabled">
    <vt:lpwstr>true</vt:lpwstr>
  </property>
  <property fmtid="{D5CDD505-2E9C-101B-9397-08002B2CF9AE}" pid="6" name="MSIP_Label_d0cb1e24-a0e2-4a4c-9340-733297c9cd7c_SetDate">
    <vt:lpwstr>2024-02-14T08:55:26Z</vt:lpwstr>
  </property>
  <property fmtid="{D5CDD505-2E9C-101B-9397-08002B2CF9AE}" pid="7" name="MSIP_Label_d0cb1e24-a0e2-4a4c-9340-733297c9cd7c_Method">
    <vt:lpwstr>Privileged</vt:lpwstr>
  </property>
  <property fmtid="{D5CDD505-2E9C-101B-9397-08002B2CF9AE}" pid="8" name="MSIP_Label_d0cb1e24-a0e2-4a4c-9340-733297c9cd7c_Name">
    <vt:lpwstr>Internal</vt:lpwstr>
  </property>
  <property fmtid="{D5CDD505-2E9C-101B-9397-08002B2CF9AE}" pid="9" name="MSIP_Label_d0cb1e24-a0e2-4a4c-9340-733297c9cd7c_SiteId">
    <vt:lpwstr>db1e96a8-a3da-442a-930b-235cac24cd5c</vt:lpwstr>
  </property>
  <property fmtid="{D5CDD505-2E9C-101B-9397-08002B2CF9AE}" pid="10" name="MSIP_Label_d0cb1e24-a0e2-4a4c-9340-733297c9cd7c_ActionId">
    <vt:lpwstr>ff18cac7-976a-4142-bee6-211fb3f40f73</vt:lpwstr>
  </property>
  <property fmtid="{D5CDD505-2E9C-101B-9397-08002B2CF9AE}" pid="11" name="MSIP_Label_d0cb1e24-a0e2-4a4c-9340-733297c9cd7c_ContentBits">
    <vt:lpwstr>0</vt:lpwstr>
  </property>
</Properties>
</file>