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4395" yWindow="660" windowWidth="7650" windowHeight="6285"/>
  </bookViews>
  <sheets>
    <sheet name="FCF" sheetId="16" r:id="rId1"/>
    <sheet name="Summary of cost and Benefit" sheetId="11" r:id="rId2"/>
    <sheet name="Scaffolding" sheetId="13" r:id="rId3"/>
    <sheet name="Installation Works" sheetId="12" r:id="rId4"/>
    <sheet name="PACO Works" sheetId="1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[7]Sheet1!#REF!</definedName>
    <definedName name="____bsu1">[7]Sheet1!#REF!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[8]PDS1!$B$1:$O$30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'[9]OPEX Forecast Inputs'!#REF!</definedName>
    <definedName name="____TS63">'[9]OPEX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[7]Sheet1!#REF!</definedName>
    <definedName name="___bsu1">[7]Sheet1!#REF!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[8]PDS1!$B$1:$O$30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'[9]OPEX Forecast Inputs'!#REF!</definedName>
    <definedName name="___TS63">'[9]OPEX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[7]Sheet1!#REF!</definedName>
    <definedName name="__bsu1">[7]Sheet1!#REF!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[8]PDS1!$B$1:$O$30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'[9]OPEX Forecast Inputs'!#REF!</definedName>
    <definedName name="__TS63">'[9]OPEX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[7]Sheet1!#REF!</definedName>
    <definedName name="_bsu1">[7]Sheet1!#REF!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[8]PDS1!$B$1:$O$30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'[9]OPEX Forecast Inputs'!#REF!</definedName>
    <definedName name="_TS63">'[9]OPEX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'[9]OPEX Forecast Inputs'!#REF!</definedName>
    <definedName name="A_DOWN_ASPHALT">'[9]OPEX Forecast Inputs'!#REF!</definedName>
    <definedName name="A_DOWN_COMP" localSheetId="0">'[9]OPEX Forecast Inputs'!#REF!</definedName>
    <definedName name="A_DOWN_COMP">'[9]OPEX Forecast Inputs'!#REF!</definedName>
    <definedName name="A_DOWN_FAC" localSheetId="0">'[9]OPEX Forecast Inputs'!#REF!</definedName>
    <definedName name="A_DOWN_FAC">'[9]OPEX Forecast Inputs'!#REF!</definedName>
    <definedName name="A_DOWN_GAS" localSheetId="0">'[9]OPEX Forecast Inputs'!#REF!</definedName>
    <definedName name="A_DOWN_GAS">'[9]OPEX Forecast Inputs'!#REF!</definedName>
    <definedName name="A_DOWN_HURR" localSheetId="0">'[9]OPEX Forecast Inputs'!#REF!</definedName>
    <definedName name="A_DOWN_HURR">'[9]OPEX Forecast Inputs'!#REF!</definedName>
    <definedName name="A_DOWN_INIT" localSheetId="0">'[9]OPEX Forecast Inputs'!#REF!</definedName>
    <definedName name="A_DOWN_INIT">'[9]OPEX Forecast Inputs'!#REF!</definedName>
    <definedName name="A_DOWN_MULTI" localSheetId="0">'[9]OPEX Forecast Inputs'!#REF!</definedName>
    <definedName name="A_DOWN_MULTI">'[9]OPEX Forecast Inputs'!#REF!</definedName>
    <definedName name="A_DOWN_O_1" localSheetId="0">'[9]OPEX Forecast Inputs'!#REF!</definedName>
    <definedName name="A_DOWN_O_1">'[9]OPEX Forecast Inputs'!#REF!</definedName>
    <definedName name="A_DOWN_O_2" localSheetId="0">'[9]OPEX Forecast Inputs'!#REF!</definedName>
    <definedName name="A_DOWN_O_2">'[9]OPEX Forecast Inputs'!#REF!</definedName>
    <definedName name="A_DOWN_PIPE" localSheetId="0">'[9]OPEX Forecast Inputs'!#REF!</definedName>
    <definedName name="A_DOWN_PIPE">'[9]OPEX Forecast Inputs'!#REF!</definedName>
    <definedName name="A_DOWN_SUB" localSheetId="0">'[9]OPEX Forecast Inputs'!#REF!</definedName>
    <definedName name="A_DOWN_SUB">'[9]OPEX Forecast Inputs'!#REF!</definedName>
    <definedName name="A_DOWN_WATER" localSheetId="0">'[9]OPEX Forecast Inputs'!#REF!</definedName>
    <definedName name="A_DOWN_WATER">'[9]OPEX Forecast Inputs'!#REF!</definedName>
    <definedName name="A_O_ASPH" localSheetId="0">[9]Assumptions!#REF!</definedName>
    <definedName name="A_O_ASPH">[9]Assumptions!#REF!</definedName>
    <definedName name="A_O_ASPH2" localSheetId="0">[9]Assumptions!#REF!</definedName>
    <definedName name="A_O_ASPH2">[9]Assumptions!#REF!</definedName>
    <definedName name="A_O_COMP" localSheetId="0">[9]Assumptions!#REF!</definedName>
    <definedName name="A_O_COMP">[9]Assumptions!#REF!</definedName>
    <definedName name="A_O_COMP2" localSheetId="0">[9]Assumptions!#REF!</definedName>
    <definedName name="A_O_COMP2">[9]Assumptions!#REF!</definedName>
    <definedName name="A_O_GAS" localSheetId="0">[9]Assumptions!#REF!</definedName>
    <definedName name="A_O_GAS">[9]Assumptions!#REF!</definedName>
    <definedName name="A_O_GAS2" localSheetId="0">[9]Assumptions!#REF!</definedName>
    <definedName name="A_O_GAS2">[9]Assumptions!#REF!</definedName>
    <definedName name="A_O_INIT" localSheetId="0">[9]Assumptions!#REF!</definedName>
    <definedName name="A_O_INIT">[9]Assumptions!#REF!</definedName>
    <definedName name="A_O_INIT2" localSheetId="0">[9]Assumptions!#REF!</definedName>
    <definedName name="A_O_INIT2">[9]Assumptions!#REF!</definedName>
    <definedName name="A_O_MULTI" localSheetId="0">[9]Assumptions!#REF!</definedName>
    <definedName name="A_O_MULTI">[9]Assumptions!#REF!</definedName>
    <definedName name="A_O_MULTI2" localSheetId="0">[9]Assumptions!#REF!</definedName>
    <definedName name="A_O_MULTI2">[9]Assumptions!#REF!</definedName>
    <definedName name="A_O_WATER" localSheetId="0">[9]Assumptions!#REF!</definedName>
    <definedName name="A_O_WATER">[9]Assumptions!#REF!</definedName>
    <definedName name="A_O_WATER2" localSheetId="0">[9]Assumptions!#REF!</definedName>
    <definedName name="A_O_WATER2">[9]Assumptions!#REF!</definedName>
    <definedName name="A_SUB_FAC" localSheetId="0">[9]Assumptions!#REF!</definedName>
    <definedName name="A_SUB_FAC">[9]Assumptions!#REF!</definedName>
    <definedName name="A_SUB_FAC2" localSheetId="0">[9]Assumptions!#REF!</definedName>
    <definedName name="A_SUB_FAC2">[9]Assumptions!#REF!</definedName>
    <definedName name="A_TLP_FAC" localSheetId="0">[9]Assumptions!#REF!</definedName>
    <definedName name="A_TLP_FAC">[9]Assumptions!#REF!</definedName>
    <definedName name="A_TLP_FAC2" localSheetId="0">[9]Assumptions!#REF!</definedName>
    <definedName name="A_TLP_FAC2">[9]Assumptions!#REF!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[10]Sheet1!$B$1:$B$644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'[11]Cons_QTRLY_ KPI_ EST'!$C$5:$F$106</definedName>
    <definedName name="ActualYTD">'[11]Cons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'[12]POM-AFE'!$A$3:$A$104</definedName>
    <definedName name="AG_Abandonment_Costs" localSheetId="0">#REF!</definedName>
    <definedName name="AG_Abandonment_Costs">[13]Indicators!$BV$2:$BV$65536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[13]Indicators!$BU$2:$BU$65536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[13]Indicators!$AD$2:$AD$65536</definedName>
    <definedName name="AG_Independent_Opex">[13]Indicators!$CK$2:$CK$65536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[13]Indicators!$AE$2:$AE$65536</definedName>
    <definedName name="AG_Pre_FID_Development_Costs">[13]Indicators!$AY$2:$AY$65536</definedName>
    <definedName name="AG_to_Oil_Ratio" localSheetId="0">'[14]Reserves Breakdown'!#REF!</definedName>
    <definedName name="AG_to_Oil_Ratio">'[14]Reserves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[13]Indicators!$AA$2:$AA$65536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[13]Indicators!$AC$2:$AC$65536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[15]ActivityData!$A$2:$A$178</definedName>
    <definedName name="All_Data">[16]Economics!$I$24:$BG$74,[16]Economics!$H$77:$M$91</definedName>
    <definedName name="alllookup" localSheetId="0">[14]Calculations!#REF!</definedName>
    <definedName name="alllookup">[14]Calculations!#REF!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'[17]Erha reconciliation'!#REF!</definedName>
    <definedName name="AP_after_ET">'[17]Erha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[18]Calculation!$E$9:$E$12</definedName>
    <definedName name="API_SUM">[18]Calculation!$E$14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_Team">[13]Indicators!$K$2:$K$65536</definedName>
    <definedName name="AssetName" localSheetId="0">#REF!</definedName>
    <definedName name="AssetName">#REF!</definedName>
    <definedName name="Assump_D_0_1" localSheetId="0">[9]Assumptions!#REF!</definedName>
    <definedName name="Assump_D_0_1">[9]Assumptions!#REF!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[18]Calculation!$B$9:$B$12</definedName>
    <definedName name="Barrels_SUM">[18]Calculation!$B$14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'[10]Budget Data'!$A$2:$AI$170</definedName>
    <definedName name="Base_Year" localSheetId="0">#REF!</definedName>
    <definedName name="Base_Year">#REF!</definedName>
    <definedName name="base2" localSheetId="0">'[23]Mapping Fields to AGG node'!$A$3:$A$171</definedName>
    <definedName name="base2">'[24]Mapping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[25]estgl81!$Y$39:$Y$43</definedName>
    <definedName name="Blank_Header1">[13]Indicators!$G$2:$G$65536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'[26]Budget,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[27]SetUp!$D$9</definedName>
    <definedName name="boe_gas">[28]SetUp!$D$9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[29]Sheet1!#REF!</definedName>
    <definedName name="bof">[29]Sheet1!#REF!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'[30]Data Entry'!$G$9</definedName>
    <definedName name="Bonny_Barrels">'[30]Data Entry'!$C$9</definedName>
    <definedName name="Bonny_US">'[30]Data Entry'!$E$9</definedName>
    <definedName name="Bonus_Inp">[31]Sheet1!$D$50:$AZ$50</definedName>
    <definedName name="bonus_recovered">[31]Sheet1!$D$148:$AZ$148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[13]Indicators!$F$2:$F$65536</definedName>
    <definedName name="BP_Funding_Source">[13]Indicators!$E$2:$E$65536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[13]Indicators!$H$2:$H$65536</definedName>
    <definedName name="BP11_Priority">[13]Indicators!$D$2:$D$65536</definedName>
    <definedName name="BPDMS_BP11">[32]BPDMS!$A$1:$L$1444</definedName>
    <definedName name="Brass_API">'[30]Data Entry'!$G$11</definedName>
    <definedName name="Brass_Barrels">'[30]Data Entry'!$C$11</definedName>
    <definedName name="Brass_US">'[30]Data Entry'!$E$11</definedName>
    <definedName name="brt">[33]Sheet2!$A$2:$A$165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[13]Indicators!$C$2:$C$65536</definedName>
    <definedName name="buy" localSheetId="0">#REF!</definedName>
    <definedName name="buy">#REF!</definedName>
    <definedName name="buyt">'[34]2005'!$A$168:$B$260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[35]AWARDED!$B$7:$D$81</definedName>
    <definedName name="CACategory" localSheetId="0">#REF!</definedName>
    <definedName name="CACategory">#REF!</definedName>
    <definedName name="CACode">[36]Economics!$AD$14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[14]Delay!#REF!</definedName>
    <definedName name="capex_factor">[14]Delay!#REF!</definedName>
    <definedName name="capex_flag" localSheetId="0">[14]Calculations!#REF!</definedName>
    <definedName name="capex_flag">[14]Calculations!#REF!</definedName>
    <definedName name="capex_increase_year" localSheetId="0">[14]Delay!#REF!</definedName>
    <definedName name="capex_increase_year">[14]Delay!#REF!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[31]Sheet1!$D$150:$AZ$150</definedName>
    <definedName name="CAPEX_TOTAL">[31]Sheet1!$D$62:$AZ$62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[37]Contract_Details!$A$2:$R$74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[38]AWARDED!$B$7:$E$76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[39]Sheet1!$B$5:$B$81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[28]SetUp!$D$5</definedName>
    <definedName name="Company_Name" localSheetId="0">#REF!</definedName>
    <definedName name="Company_Name">#REF!</definedName>
    <definedName name="Company_Type">[40]SetUp!$C$14</definedName>
    <definedName name="CompanyName">[41]SetUp!$C$8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'[14]Reserves Breakdown'!#REF!</definedName>
    <definedName name="Condensate_to_AG_Ratio">'[14]Reserves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[13]Indicators!$Z$2:$Z$65536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[42]Overview!$L$4</definedName>
    <definedName name="conv2">[42]Overview!$M$4</definedName>
    <definedName name="conv3">[42]Overview!$X$2</definedName>
    <definedName name="conv4">[42]Overview!$AG$2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[28]SetUp!$D$4</definedName>
    <definedName name="CtryCode" localSheetId="0">#REF!</definedName>
    <definedName name="CtryCode">#REF!</definedName>
    <definedName name="CtryName">[40]SetUp!$C$7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T" localSheetId="0">#REF!</definedName>
    <definedName name="CURRENT">#REF!</definedName>
    <definedName name="D_Asphalt" localSheetId="0">[9]Assumptions!#REF!</definedName>
    <definedName name="D_Asphalt">[9]Assumptions!#REF!</definedName>
    <definedName name="D_Comp" localSheetId="0">[9]Assumptions!#REF!</definedName>
    <definedName name="D_Comp">[9]Assumptions!#REF!</definedName>
    <definedName name="D_fac" localSheetId="0">[9]Assumptions!#REF!</definedName>
    <definedName name="D_fac">[9]Assumptions!#REF!</definedName>
    <definedName name="D_Gas" localSheetId="0">[9]Assumptions!#REF!</definedName>
    <definedName name="D_Gas">[9]Assumptions!#REF!</definedName>
    <definedName name="D_Init" localSheetId="0">[9]Assumptions!#REF!</definedName>
    <definedName name="D_Init">[9]Assumptions!#REF!</definedName>
    <definedName name="D_Multi" localSheetId="0">[9]Assumptions!#REF!</definedName>
    <definedName name="D_Multi">[9]Assumptions!#REF!</definedName>
    <definedName name="D_O_1" localSheetId="0">[9]Assumptions!#REF!</definedName>
    <definedName name="D_O_1">[9]Assumptions!#REF!</definedName>
    <definedName name="D_O_2" localSheetId="0">[9]Assumptions!#REF!</definedName>
    <definedName name="D_O_2">[9]Assumptions!#REF!</definedName>
    <definedName name="D_Pipe" localSheetId="0">[9]Assumptions!#REF!</definedName>
    <definedName name="D_Pipe">[9]Assumptions!#REF!</definedName>
    <definedName name="D_Sub" localSheetId="0">[9]Assumptions!#REF!</definedName>
    <definedName name="D_Sub">[9]Assumptions!#REF!</definedName>
    <definedName name="D_Subsea" localSheetId="0">[9]Assumptions!#REF!</definedName>
    <definedName name="D_Subsea">[9]Assumptions!#REF!</definedName>
    <definedName name="D_SubseaWells" localSheetId="0">[9]Assumptions!#REF!</definedName>
    <definedName name="D_SubseaWells">[9]Assumptions!#REF!</definedName>
    <definedName name="D_Water" localSheetId="0">[9]Assumptions!#REF!</definedName>
    <definedName name="D_Water">[9]Assumptions!#REF!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[13]Indicators!$A$1:$CM$1281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[14]Delay!#REF!</definedName>
    <definedName name="delay_table">[14]Delay!#REF!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'[43]do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[13]Indicators!$L$2:$L$65536</definedName>
    <definedName name="Down_Asphalt" localSheetId="0">'[9]OPEX Forecast Inputs'!#REF!</definedName>
    <definedName name="Down_Asphalt">'[9]OPEX Forecast Inputs'!#REF!</definedName>
    <definedName name="Down_Comp" localSheetId="0">'[9]OPEX Forecast Inputs'!#REF!</definedName>
    <definedName name="Down_Comp">'[9]OPEX Forecast Inputs'!#REF!</definedName>
    <definedName name="Down_Fac" localSheetId="0">'[9]OPEX Forecast Inputs'!#REF!</definedName>
    <definedName name="Down_Fac">'[9]OPEX Forecast Inputs'!#REF!</definedName>
    <definedName name="Down_Gas" localSheetId="0">'[9]OPEX Forecast Inputs'!#REF!</definedName>
    <definedName name="Down_Gas">'[9]OPEX Forecast Inputs'!#REF!</definedName>
    <definedName name="Down_Hurr" localSheetId="0">'[9]OPEX Forecast Inputs'!#REF!</definedName>
    <definedName name="Down_Hurr">'[9]OPEX Forecast Inputs'!#REF!</definedName>
    <definedName name="Down_Init" localSheetId="0">'[9]OPEX Forecast Inputs'!#REF!</definedName>
    <definedName name="Down_Init">'[9]OPEX Forecast Inputs'!#REF!</definedName>
    <definedName name="Down_Multi" localSheetId="0">'[9]OPEX Forecast Inputs'!#REF!</definedName>
    <definedName name="Down_Multi">'[9]OPEX Forecast Inputs'!#REF!</definedName>
    <definedName name="Down_O_1" localSheetId="0">'[9]OPEX Forecast Inputs'!#REF!</definedName>
    <definedName name="Down_O_1">'[9]OPEX Forecast Inputs'!#REF!</definedName>
    <definedName name="Down_O_2" localSheetId="0">'[9]OPEX Forecast Inputs'!#REF!</definedName>
    <definedName name="Down_O_2">'[9]OPEX Forecast Inputs'!#REF!</definedName>
    <definedName name="Down_Pipe" localSheetId="0">'[9]OPEX Forecast Inputs'!#REF!</definedName>
    <definedName name="Down_Pipe">'[9]OPEX Forecast Inputs'!#REF!</definedName>
    <definedName name="Down_Sub" localSheetId="0">'[9]OPEX Forecast Inputs'!#REF!</definedName>
    <definedName name="Down_Sub">'[9]OPEX Forecast Inputs'!#REF!</definedName>
    <definedName name="Down_SubPipe" localSheetId="0">'[9]OPEX Forecast Inputs'!#REF!</definedName>
    <definedName name="Down_SubPipe">'[9]OPEX Forecast Inputs'!#REF!</definedName>
    <definedName name="Down_Subsea" localSheetId="0">'[9]OPEX Forecast Inputs'!#REF!</definedName>
    <definedName name="Down_Subsea">'[9]OPEX Forecast Inputs'!#REF!</definedName>
    <definedName name="Down_SubseaPipeline" localSheetId="0">'[9]OPEX Forecast Inputs'!#REF!</definedName>
    <definedName name="Down_SubseaPipeline">'[9]OPEX Forecast Inputs'!#REF!</definedName>
    <definedName name="Down_SubWells" localSheetId="0">'[9]OPEX Forecast Inputs'!#REF!</definedName>
    <definedName name="Down_SubWells">'[9]OPEX Forecast Inputs'!#REF!</definedName>
    <definedName name="Down_Water" localSheetId="0">'[9]OPEX Forecast Inputs'!#REF!</definedName>
    <definedName name="Down_Water">'[9]OPEX Forecast Inputs'!#REF!</definedName>
    <definedName name="Downtime_O_1" localSheetId="0">'[9]OPEX Forecast Inputs'!#REF!</definedName>
    <definedName name="Downtime_O_1">'[9]OPEX Forecast Inputs'!#REF!</definedName>
    <definedName name="Downtime_O_2" localSheetId="0">'[9]OPEX Forecast Inputs'!#REF!</definedName>
    <definedName name="Downtime_O_2">'[9]OPEX Forecast Inputs'!#REF!</definedName>
    <definedName name="DTA_TimingCA" localSheetId="0">'[17]Tax Provision'!#REF!</definedName>
    <definedName name="DTA_TimingCA">'[17]Tax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'[30]Data Entry'!$G$12</definedName>
    <definedName name="EA_Barrels">'[30]Data Entry'!$C$12</definedName>
    <definedName name="EA_US">'[30]Data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'[10]Exp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[31]Sheet1!$D$55:$AZ$55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[31]Sheet1!$D$149:$AZ$149</definedName>
    <definedName name="Expl_Licence_Fee">[13]Indicators!$BB$2:$BB$65536</definedName>
    <definedName name="Exploration_MType" localSheetId="0">#REF!</definedName>
    <definedName name="Exploration_MType">#REF!</definedName>
    <definedName name="expp">[26]Sheet1!$B$9:$E$29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[13]Indicators!$B$2:$B$65536</definedName>
    <definedName name="FEB" localSheetId="0">#REF!</definedName>
    <definedName name="FEB">#REF!</definedName>
    <definedName name="Fee_received">[31]Sheet1!$D$159:$AZ$159</definedName>
    <definedName name="feee">[44]AFE!$A$2:$B$125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[41]SetUp!$E$70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[13]Indicators!$I$2:$I$65536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'[45]Mapping Fields to AGG node'!$B$3:$B$171</definedName>
    <definedName name="fields">'[46]Mapping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[14]Calculations!#REF!</definedName>
    <definedName name="fiscal_splitter">[14]Calculations!#REF!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[47]flora!$A$1:$G$184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[41]SetUp!$C$10</definedName>
    <definedName name="Fopex" localSheetId="0">#REF!</definedName>
    <definedName name="Fopex">#REF!</definedName>
    <definedName name="Forcados_API">'[30]Data Entry'!$G$10</definedName>
    <definedName name="Forcados_Barrels">'[30]Data Entry'!$C$10</definedName>
    <definedName name="Forcados_US">'[30]Data Entry'!$E$10</definedName>
    <definedName name="Forecasts_Sheets_Osa" localSheetId="0">'[45]Mapping Fields to AGG node'!$B$3:$B$171</definedName>
    <definedName name="Forecasts_Sheets_Osa">'[46]Mapping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[28]SetUp!$H$11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[13]Indicators!$S$2:$S$65536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[48]Profiles!#REF!</definedName>
    <definedName name="Gas_Wells">[13]Indicators!$X$2:$X$65536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'[49]General Inputs'!$H$18</definedName>
    <definedName name="GLTIE" localSheetId="0">#REF!</definedName>
    <definedName name="GLTIE">#REF!</definedName>
    <definedName name="good">[13]Indicators!$V$2:$V$65536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[50]Listvalues!$L$2:$L$7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[41]SetUp!$C$37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'[51]Reservoir Summary Data'!$B$59</definedName>
    <definedName name="Horizontal_Rate_5.5">'[51]Reservoir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[52]Reference!$A$1:$A$2</definedName>
    <definedName name="IBVc_IBVt_distr.">[41]SetUp!$D$72:$I$72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[53]Definitions!$I$2:$I$101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[18]Calculation!$F$9:$F$12</definedName>
    <definedName name="Invoice_SUM">[18]Calculation!$F$14</definedName>
    <definedName name="Item" localSheetId="0">#REF!</definedName>
    <definedName name="Item">#REF!</definedName>
    <definedName name="item2">[15]ActivityData!$A$5:$A$178</definedName>
    <definedName name="JAN">[54]Sheet1!$G$6:$K$67</definedName>
    <definedName name="jnl" localSheetId="0">[55]mar!#REF!</definedName>
    <definedName name="jnl">[55]mar!#REF!</definedName>
    <definedName name="JV_Strategic_Theme">[13]Indicators!$U$2:$U$65536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[28]SetUp!$H$10</definedName>
    <definedName name="liqbbl_m3" localSheetId="0">[27]SetUp!$D$10</definedName>
    <definedName name="liqbbl_m3">[28]SetUp!$D$10</definedName>
    <definedName name="LiquidTotalFactor">[2]Parameters!$C$3</definedName>
    <definedName name="list">[56]Sheet2!$A$1:$A$157</definedName>
    <definedName name="lists">[57]Sheet1!$A$1:$A$161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'[43]do not Delete'!$E$2:$E$9</definedName>
    <definedName name="Log_Air_Crew" localSheetId="0">'[9]OPEX Forecast Inputs'!#REF!</definedName>
    <definedName name="Log_Air_Crew">'[9]OPEX Forecast Inputs'!#REF!</definedName>
    <definedName name="Log_Air_Sup" localSheetId="0">'[9]OPEX Forecast Inputs'!#REF!</definedName>
    <definedName name="Log_Air_Sup">'[9]OPEX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[14]Calculations!#REF!</definedName>
    <definedName name="lookup1">[14]Calculations!#REF!</definedName>
    <definedName name="lookup1b" localSheetId="0">[14]Calculations!#REF!</definedName>
    <definedName name="lookup1b">[14]Calculations!#REF!</definedName>
    <definedName name="lookup1c" localSheetId="0">[14]Calculations!#REF!</definedName>
    <definedName name="lookup1c">[14]Calculations!#REF!</definedName>
    <definedName name="lookup2" localSheetId="0">[14]Calculations!#REF!</definedName>
    <definedName name="lookup2">[14]Calculations!#REF!</definedName>
    <definedName name="lookup3" localSheetId="0">[14]Calculations!#REF!</definedName>
    <definedName name="lookup3">[14]Calculations!#REF!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[41]SetUp!$C$11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'[58]Config - Master Lists'!$D$98</definedName>
    <definedName name="Mike_Conway" localSheetId="0">#REF!</definedName>
    <definedName name="Mike_Conway">#REF!</definedName>
    <definedName name="Min_Fin_Value">'[58]Config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[31]Sheet1!$D$80:$AZ$80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'[30]Data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[40]SetUp!$C$9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[13]Indicators!$CI$2:$CI$65536</definedName>
    <definedName name="NAG_Appraisal_Completion" localSheetId="0">#REF!</definedName>
    <definedName name="NAG_Appraisal_Completion">[13]Indicators!$BZ$2:$BZ$65536</definedName>
    <definedName name="NAG_Appraisal_Wells" localSheetId="0">#REF!</definedName>
    <definedName name="NAG_Appraisal_Wells">[13]Indicators!$AQ$2:$AQ$65536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[13]Indicators!$BY$2:$BY$65536</definedName>
    <definedName name="NAG_Development_Completion" localSheetId="0">#REF!</definedName>
    <definedName name="NAG_Development_Completion">[13]Indicators!$CC$2:$CC$65536</definedName>
    <definedName name="NAG_Development_Drilling" localSheetId="0">#REF!</definedName>
    <definedName name="NAG_Development_Drilling">[13]Indicators!$CB$2:$CB$65536</definedName>
    <definedName name="NAG_Development_Wells" localSheetId="0">#REF!</definedName>
    <definedName name="NAG_Development_Wells">[13]Indicators!$AR$2:$AR$65536</definedName>
    <definedName name="NAG_Exploration_Appraisal_Drilling" localSheetId="0">#REF!</definedName>
    <definedName name="NAG_Exploration_Appraisal_Drilling">[13]Indicators!$BX$2:$BX$65536</definedName>
    <definedName name="NAG_Exploration_Drilling" localSheetId="0">#REF!</definedName>
    <definedName name="NAG_Exploration_Drilling">[13]Indicators!$BW$2:$BW$65536</definedName>
    <definedName name="NAG_Exploration_Wells" localSheetId="0">#REF!</definedName>
    <definedName name="NAG_Exploration_Wells">[13]Indicators!$AP$2:$AP$65536</definedName>
    <definedName name="NAG_Facilities" localSheetId="0">#REF!</definedName>
    <definedName name="NAG_Facilities">[13]Indicators!$CF$2:$CF$65536</definedName>
    <definedName name="NAG_Flare_Rate_Input">[13]Indicators!$AG$2:$AG$65536</definedName>
    <definedName name="NAG_Flowlines_and_Hookup" localSheetId="0">#REF!</definedName>
    <definedName name="NAG_Flowlines_and_Hookup">[13]Indicators!$CE$2:$CE$65536</definedName>
    <definedName name="NAG_Independent_Opex">[13]Indicators!$CL$2:$CL$65536</definedName>
    <definedName name="NAG_Infrastructure" localSheetId="0">#REF!</definedName>
    <definedName name="NAG_Infrastructure">[13]Indicators!$CG$2:$CG$65536</definedName>
    <definedName name="NAG_Location_Preparation" localSheetId="0">#REF!</definedName>
    <definedName name="NAG_Location_Preparation">[13]Indicators!$CA$2:$CA$65536</definedName>
    <definedName name="NAG_Oncosts" localSheetId="0">#REF!</definedName>
    <definedName name="NAG_Oncosts">[13]Indicators!$CH$2:$CH$65536</definedName>
    <definedName name="NAG_Opex" localSheetId="0">#REF!</definedName>
    <definedName name="NAG_Opex">#REF!</definedName>
    <definedName name="NAG_Own_Use_Rate">[13]Indicators!$AH$2:$AH$65536</definedName>
    <definedName name="NAG_Pre_FID_Development_Costs">[13]Indicators!$AZ$2:$AZ$65536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[13]Indicators!$CD$2:$CD$65536</definedName>
    <definedName name="NAG_Recompletion_Wells" localSheetId="0">#REF!</definedName>
    <definedName name="NAG_Recompletion_Wells">[13]Indicators!$AS$2:$AS$65536</definedName>
    <definedName name="NAG_Repairs_Well" localSheetId="0">#REF!</definedName>
    <definedName name="NAG_Repairs_Well">[13]Indicators!$AT$2:$AT$65536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[13]Indicators!$AB$2:$AB$65536</definedName>
    <definedName name="NAGSalesRate">[13]Indicators!$AF$2:$AF$65536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[59]DATA!$A$2:$A$182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[13]Indicators!$BA$2:$BA$65536</definedName>
    <definedName name="NPV0" localSheetId="0">#REF!</definedName>
    <definedName name="NPV0">#REF!</definedName>
    <definedName name="Number_of_wells" localSheetId="0">'[51]Vivaldi Hub 1.3 tcf'!#REF!</definedName>
    <definedName name="Number_of_wells">'[51]Vivaldi Hub 1.3 tcf'!#REF!</definedName>
    <definedName name="O1_Inp">[31]Sheet1!$D$65:$AZ$65</definedName>
    <definedName name="O2_Inp">[31]Sheet1!$D$66:$AZ$66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[13]Indicators!$BT$2:$BT$65536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[13]Indicators!$BJ$2:$BJ$65536</definedName>
    <definedName name="Oil_Appraisal_Wells" localSheetId="0">#REF!</definedName>
    <definedName name="Oil_Appraisal_Wells">[13]Indicators!$AL$2:$AL$65536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[13]Indicators!$BI$2:$BI$65536</definedName>
    <definedName name="Oil_Development_Completion" localSheetId="0">#REF!</definedName>
    <definedName name="Oil_Development_Completion">[13]Indicators!$BN$2:$BN$65536</definedName>
    <definedName name="Oil_Development_Drilling" localSheetId="0">#REF!</definedName>
    <definedName name="Oil_Development_Drilling">[13]Indicators!$BM$2:$BM$65536</definedName>
    <definedName name="Oil_Development_Wells" localSheetId="0">#REF!</definedName>
    <definedName name="Oil_Development_Wells">[13]Indicators!$AM$2:$AM$65536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[13]Indicators!$BH$2:$BH$65536</definedName>
    <definedName name="Oil_Exploration_Capex" localSheetId="0">#REF!</definedName>
    <definedName name="Oil_Exploration_Capex">[13]Indicators!$BE$2:$BE$65536</definedName>
    <definedName name="Oil_Exploration_Drilling" localSheetId="0">#REF!</definedName>
    <definedName name="Oil_Exploration_Drilling">[13]Indicators!$BG$2:$BG$65536</definedName>
    <definedName name="Oil_Exploration_Location_Preparation">[13]Indicators!$BF$2:$BF$65536</definedName>
    <definedName name="Oil_Exploration_Other" localSheetId="0">#REF!</definedName>
    <definedName name="Oil_Exploration_Other">[13]Indicators!$BD$2:$BD$65536</definedName>
    <definedName name="Oil_Exploration_Seismic" localSheetId="0">#REF!</definedName>
    <definedName name="Oil_Exploration_Seismic">[13]Indicators!$BC$2:$BC$65536</definedName>
    <definedName name="Oil_Exploration_Wells" localSheetId="0">#REF!</definedName>
    <definedName name="Oil_Exploration_Wells">[13]Indicators!$AK$2:$AK$65536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[13]Indicators!$BQ$2:$BQ$65536</definedName>
    <definedName name="Oil_Flowlines_and_Hookup" localSheetId="0">#REF!</definedName>
    <definedName name="Oil_Flowlines_and_Hookup">[13]Indicators!$BP$2:$BP$65536</definedName>
    <definedName name="Oil_Independent_Opex">[13]Indicators!$CJ$2:$CJ$65536</definedName>
    <definedName name="Oil_Infrastructure" localSheetId="0">#REF!</definedName>
    <definedName name="Oil_Infrastructure">[13]Indicators!$BR$2:$BR$65536</definedName>
    <definedName name="Oil_Location_Preparation" localSheetId="0">#REF!</definedName>
    <definedName name="Oil_Location_Preparation">[13]Indicators!$BL$2:$BL$65536</definedName>
    <definedName name="Oil_Oncosts" localSheetId="0">#REF!</definedName>
    <definedName name="Oil_Oncosts">[13]Indicators!$BS$2:$BS$65536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[13]Indicators!$AX$2:$AX$65536</definedName>
    <definedName name="oil_price_base" localSheetId="0">#REF!</definedName>
    <definedName name="oil_price_base">#REF!</definedName>
    <definedName name="Oil_Price_MOD">[31]Sheet1!$D$74:$AZ$74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[13]Indicators!$BK$2:$BK$65536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[13]Indicators!$BO$2:$BO$65536</definedName>
    <definedName name="Oil_Recompletion_Wells" localSheetId="0">#REF!</definedName>
    <definedName name="Oil_Recompletion_Wells">[13]Indicators!$AN$2:$AN$65536</definedName>
    <definedName name="Oil_Repairs_Well" localSheetId="0">#REF!</definedName>
    <definedName name="Oil_Repairs_Well">[13]Indicators!$AO$2:$AO$65536</definedName>
    <definedName name="Oil_Reserves__mln_boe">[42]Overview!$L$4</definedName>
    <definedName name="oil_vol_percent" localSheetId="0">#REF!</definedName>
    <definedName name="oil_vol_percent">#REF!</definedName>
    <definedName name="Oil_Wells" localSheetId="0">[48]Profiles!#REF!</definedName>
    <definedName name="Oil_Wells">[13]Indicators!$W$2:$W$65536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'[60]Oil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[13]Indicators!$Y$2:$Y$65536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[13]Indicators!$J$2:$J$65536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[31]Sheet1!$D$14:$AZ$14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'[37]BASE DATA'!$A$29:$A$31</definedName>
    <definedName name="PAO">'[38]Budget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[13]Indicators!$P$2:$P$65536</definedName>
    <definedName name="Planning_Focal_Point" localSheetId="0">#REF!</definedName>
    <definedName name="Planning_Focal_Point">[13]Indicators!$Q$2:$Q$65536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[13]Indicators!$O$2:$O$65536</definedName>
    <definedName name="PmasterName" localSheetId="0">#REF!</definedName>
    <definedName name="PmasterName">#REF!</definedName>
    <definedName name="POS_FID">[16]Economics!$K$15</definedName>
    <definedName name="POS_to_FID" localSheetId="0">#REF!</definedName>
    <definedName name="POS_to_FID">#REF!</definedName>
    <definedName name="POVNDRCD" localSheetId="0">[61]FORMS!#REF!</definedName>
    <definedName name="POVNDRCD">[61]FORMS!#REF!</definedName>
    <definedName name="Pre_FID_Development_Costs" localSheetId="0">#REF!</definedName>
    <definedName name="Pre_FID_Development_Costs">#REF!</definedName>
    <definedName name="Premise">'[60]Oil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_xlnm.Print_Area" localSheetId="3">'Installation Works'!#REF!</definedName>
    <definedName name="Print_Area_MI" localSheetId="0">[62]TER2!#REF!</definedName>
    <definedName name="Print_Area_MI">[62]TER2!#REF!</definedName>
    <definedName name="_xlnm.Print_Titles" localSheetId="3">'Installation Works'!$A:$C,'Installation Works'!$2:$6</definedName>
    <definedName name="prior_data1">[16]Economics!$F$24:$F$27,[16]Economics!$H$24:$H$27,[16]Economics!$F$29:$F$31,[16]Economics!$H$29:$H$31,[16]Economics!$F$40,[16]Economics!$G$40,[16]Economics!$H$40,[16]Economics!$F$43:$F$44,[16]Economics!$H$43:$H$44,[16]Economics!$F$52:$F$54,[16]Economics!$H$52:$H$54</definedName>
    <definedName name="prior_data2">[16]Economics!$F$59,[16]Economics!$H$59,[16]Economics!$F$63,[16]Economics!$H$63,[16]Economics!$F$66:$F$69,[16]Economics!$H$66:$H$69,[16]Economics!$F$71:$F$74,[16]Economics!$H$71:$H$74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'[9]OPEX Forecast Inputs'!#REF!</definedName>
    <definedName name="Prod_Sub_Gas">'[9]OPEX Forecast Inputs'!#REF!</definedName>
    <definedName name="Prod_Sub_Gas_Inj" localSheetId="0">'[9]OPEX Forecast Inputs'!#REF!</definedName>
    <definedName name="Prod_Sub_Gas_Inj">'[9]OPEX Forecast Inputs'!#REF!</definedName>
    <definedName name="Prod_Sub_H2O_Inj" localSheetId="0">'[9]OPEX Forecast Inputs'!#REF!</definedName>
    <definedName name="Prod_Sub_H2O_Inj">'[9]OPEX Forecast Inputs'!#REF!</definedName>
    <definedName name="Prod_Sub_Inf_Horiz" localSheetId="0">'[9]OPEX Forecast Inputs'!#REF!</definedName>
    <definedName name="Prod_Sub_Inf_Horiz">'[9]OPEX Forecast Inputs'!#REF!</definedName>
    <definedName name="Prod_Sub_Inf_Vert" localSheetId="0">'[9]OPEX Forecast Inputs'!#REF!</definedName>
    <definedName name="Prod_Sub_Inf_Vert">'[9]OPEX Forecast Inputs'!#REF!</definedName>
    <definedName name="Prod_Sub_Mat_Horiz" localSheetId="0">'[9]OPEX Forecast Inputs'!#REF!</definedName>
    <definedName name="Prod_Sub_Mat_Horiz">'[9]OPEX Forecast Inputs'!#REF!</definedName>
    <definedName name="Prod_Sub_Mat_Vert" localSheetId="0">'[9]OPEX Forecast Inputs'!#REF!</definedName>
    <definedName name="Prod_Sub_Mat_Vert">'[9]OPEX Forecast Inputs'!#REF!</definedName>
    <definedName name="Prod_Subsea_Gas" localSheetId="0">'[9]OPEX Forecast Inputs'!#REF!</definedName>
    <definedName name="Prod_Subsea_Gas">'[9]OPEX Forecast Inputs'!#REF!</definedName>
    <definedName name="Prod_Subsea_Oil" localSheetId="0">'[9]OPEX Forecast Inputs'!#REF!</definedName>
    <definedName name="Prod_Subsea_Oil">'[9]OPEX Forecast Inputs'!#REF!</definedName>
    <definedName name="Prod_Surf_Gas" localSheetId="0">'[9]OPEX Forecast Inputs'!#REF!</definedName>
    <definedName name="Prod_Surf_Gas">'[9]OPEX Forecast Inputs'!#REF!</definedName>
    <definedName name="Prod_Surf_Gas_Inj" localSheetId="0">'[9]OPEX Forecast Inputs'!#REF!</definedName>
    <definedName name="Prod_Surf_Gas_Inj">'[9]OPEX Forecast Inputs'!#REF!</definedName>
    <definedName name="Prod_Surf_H2O_Inj" localSheetId="0">'[9]OPEX Forecast Inputs'!#REF!</definedName>
    <definedName name="Prod_Surf_H2O_Inj">'[9]OPEX Forecast Inputs'!#REF!</definedName>
    <definedName name="Prod_Surf_Inf_Horiz" localSheetId="0">'[9]OPEX Forecast Inputs'!#REF!</definedName>
    <definedName name="Prod_Surf_Inf_Horiz">'[9]OPEX Forecast Inputs'!#REF!</definedName>
    <definedName name="Prod_Surf_Inf_Vert" localSheetId="0">'[9]OPEX Forecast Inputs'!#REF!</definedName>
    <definedName name="Prod_Surf_Inf_Vert">'[9]OPEX Forecast Inputs'!#REF!</definedName>
    <definedName name="Prod_Surf_Mat_Horiz" localSheetId="0">'[9]OPEX Forecast Inputs'!#REF!</definedName>
    <definedName name="Prod_Surf_Mat_Horiz">'[9]OPEX Forecast Inputs'!#REF!</definedName>
    <definedName name="Prod_Surf_Mat_Vert" localSheetId="0">'[9]OPEX Forecast Inputs'!#REF!</definedName>
    <definedName name="Prod_Surf_Mat_Vert">'[9]OPEX Forecast Inputs'!#REF!</definedName>
    <definedName name="Prod_Surf_Oil" localSheetId="0">'[9]OPEX Forecast Inputs'!#REF!</definedName>
    <definedName name="Prod_Surf_Oil">'[9]OPEX Forecast Inputs'!#REF!</definedName>
    <definedName name="Prod_SurfGasInj" localSheetId="0">'[9]OPEX Forecast Inputs'!#REF!</definedName>
    <definedName name="Prod_SurfGasInj">'[9]OPEX Forecast Inputs'!#REF!</definedName>
    <definedName name="Prod_SurfInfVert" localSheetId="0">'[9]OPEX Forecast Inputs'!#REF!</definedName>
    <definedName name="Prod_SurfInfVert">'[9]OPEX Forecast Inputs'!#REF!</definedName>
    <definedName name="Prod_SurfMatVert" localSheetId="0">'[9]OPEX Forecast Inputs'!#REF!</definedName>
    <definedName name="Prod_SurfMatVert">'[9]OPEX Forecast Inputs'!#REF!</definedName>
    <definedName name="Prod_SurGasInj" localSheetId="0">'[9]OPEX Forecast Inputs'!#REF!</definedName>
    <definedName name="Prod_SurGasInj">'[9]OPEX Forecast Inputs'!#REF!</definedName>
    <definedName name="Production_Facility">[13]Indicators!$R$2:$R$65536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[14]Delay!#REF!</definedName>
    <definedName name="project_delay">[14]Delay!#REF!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[13]Indicators!$M$2:$M$65536</definedName>
    <definedName name="ProjectlistOil" localSheetId="0">#REF!</definedName>
    <definedName name="ProjectlistOil">#REF!</definedName>
    <definedName name="projectlistPEEP" localSheetId="0">[14]Calculations!#REF!</definedName>
    <definedName name="projectlistPEEP">[14]Calculations!#REF!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[13]Indicators!$N$2:$N$65536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'[63]DATA INPUT'!#REF!</definedName>
    <definedName name="Ratio_disputed_capital_costs_PP_E">'[63]DATA INPUT'!#REF!</definedName>
    <definedName name="Ratio_disputed_capital_costs_PP_E_Bonga" localSheetId="0">'[63]DATA INPUT'!#REF!</definedName>
    <definedName name="Ratio_disputed_capital_costs_PP_E_Bonga">'[63]DATA INPUT'!#REF!</definedName>
    <definedName name="Ratio_disputed_capital_costs_PP_E_Erha" localSheetId="0">'[63]DATA INPUT'!#REF!</definedName>
    <definedName name="Ratio_disputed_capital_costs_PP_E_Erha">'[63]DATA INPUT'!#REF!</definedName>
    <definedName name="RawData" localSheetId="0">#REF!</definedName>
    <definedName name="RawData">#REF!</definedName>
    <definedName name="ray_shhet" localSheetId="0">'[64]Mapping Fields to AGG node'!$B$3:$B$171</definedName>
    <definedName name="ray_shhet">'[65]Mapping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[55]mar!#REF!</definedName>
    <definedName name="rig">[55]mar!#REF!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[37]Contract_Details!$A$2:$A$74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[31]Sheet1!$D$204:$AZ$204</definedName>
    <definedName name="Shell_bonus_recovered">[31]Sheet1!$D$208:$AZ$208</definedName>
    <definedName name="Shell_CAPEX">[31]Sheet1!$D$205:$AZ$205</definedName>
    <definedName name="Shell_capex_recovered">[31]Sheet1!$D$210:$AZ$210</definedName>
    <definedName name="Shell_CF">[31]Sheet1!$D$216:$AZ$216</definedName>
    <definedName name="Shell_cf_rt">[31]Sheet1!$D$218:$AZ$218</definedName>
    <definedName name="Shell_EXPEX">[31]Sheet1!$D$206:$AZ$206</definedName>
    <definedName name="Shell_Expex_recovered">[31]Sheet1!$D$209:$AZ$209</definedName>
    <definedName name="Shell_Expl_reward_gas">[31]Sheet1!$D$213:$AZ$213</definedName>
    <definedName name="Shell_Expl_reward_oil">[31]Sheet1!$D$214:$AZ$214</definedName>
    <definedName name="Shell_Fee">[31]Sheet1!$D$211:$AZ$211</definedName>
    <definedName name="Shell_OP" localSheetId="0">#REF!</definedName>
    <definedName name="Shell_OP">#REF!</definedName>
    <definedName name="Shell_OPEX">[31]Sheet1!$D$207:$AZ$207</definedName>
    <definedName name="Shell_revenue">[31]Sheet1!$D$212:$AZ$212</definedName>
    <definedName name="shell_share">[31]Sheet1!$D$100</definedName>
    <definedName name="Shell_Tax">[31]Sheet1!$D$215:$AZ$215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[38]sma!$A$6:$F$19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[66]source!$A$1:$M$833</definedName>
    <definedName name="Start_date" localSheetId="0">#REF!</definedName>
    <definedName name="Start_date">#REF!</definedName>
    <definedName name="STATUS">'[37]BASE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[67]Indicators!$BU$2:$BU$65536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'[37]BASE DATA'!#REF!</definedName>
    <definedName name="SUPPLIERS">'[37]BASE DATA'!#REF!</definedName>
    <definedName name="supply_target_lookup" localSheetId="0">#REF!</definedName>
    <definedName name="supply_target_lookup">#REF!</definedName>
    <definedName name="Surf_Gas_H2O" localSheetId="0">'[9]OPEX Forecast Inputs'!#REF!</definedName>
    <definedName name="Surf_Gas_H2O">'[9]OPEX Forecast Inputs'!#REF!</definedName>
    <definedName name="Surf_Vert" localSheetId="0">'[9]OPEX Forecast Inputs'!#REF!</definedName>
    <definedName name="Surf_Vert">'[9]OPEX Forecast Inputs'!#REF!</definedName>
    <definedName name="Surf_Vert_Gas_Ijn" localSheetId="0">'[9]OPEX Forecast Inputs'!#REF!</definedName>
    <definedName name="Surf_Vert_Gas_Ijn">'[9]OPEX Forecast Inputs'!#REF!</definedName>
    <definedName name="Surf_Vert_H20" localSheetId="0">'[9]OPEX Forecast Inputs'!#REF!</definedName>
    <definedName name="Surf_Vert_H20">'[9]OPEX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[31]Sheet1!$D$175:$AZ$175</definedName>
    <definedName name="TAXSUM" localSheetId="0">#REF!</definedName>
    <definedName name="TAXSUM">#REF!</definedName>
    <definedName name="tb">'[51]Reservoir Summary Data'!$B$39</definedName>
    <definedName name="TB_Rate_4.5">'[51]Reservoir Summary Data'!$B$60</definedName>
    <definedName name="TB_Rate_5.5">'[51]Reservoir Summary Data'!$B$67</definedName>
    <definedName name="Technical_Focal_Point" localSheetId="0">#REF!</definedName>
    <definedName name="Technical_Focal_Point">[13]Indicators!$V$2:$V$65536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[68]Full_Year!#REF!</definedName>
    <definedName name="TEST16">[68]Full_Year!#REF!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[69]SetUp!$C$1001</definedName>
    <definedName name="tol_nonfin">[69]SetUp!$D$1001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[13]Indicators!$AU$2:$AU$65536</definedName>
    <definedName name="Tot_CO2_EMI_Seq_Exp">[13]Indicators!$AV$2:$AV$65536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[13]Indicators!$AW$2:$AW$65536</definedName>
    <definedName name="TOTAL">[15]ActivityData!$A$1:$Y$178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[13]Indicators!$AI$2:$AI$65536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[13]Indicators!$AJ$2:$AJ$65536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[14]Calculations!#REF!</definedName>
    <definedName name="type_lookup">[14]Calculations!#REF!</definedName>
    <definedName name="UIG_Strategic_Theme">[13]Indicators!$T$2:$T$65536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[18]Calculation!$C$9:$C$12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[18]Calculation!$D$9:$D$12</definedName>
    <definedName name="Value_SUM">[18]Calculation!$D$14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'[51]Reservoir Summary Data'!$B$58</definedName>
    <definedName name="Vertical_EGP_Rate_5.5">'[51]Reservoir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[70]Engine!$A$24:$A$33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'[37]BASE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[67]Indicators!$BI$2:$BI$65536</definedName>
    <definedName name="X_rate">'[71]As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[40]SetUp!$I$1</definedName>
    <definedName name="year">[28]SetUp!$D$3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'[72]Shell Adj YTD'!$U$6:$AF$105</definedName>
  </definedNames>
  <calcPr calcId="171027"/>
</workbook>
</file>

<file path=xl/calcChain.xml><?xml version="1.0" encoding="utf-8"?>
<calcChain xmlns="http://schemas.openxmlformats.org/spreadsheetml/2006/main">
  <c r="C43" i="11" l="1"/>
  <c r="L8" i="16"/>
  <c r="L9" i="16" s="1"/>
  <c r="L10" i="16" s="1"/>
  <c r="L46" i="16"/>
  <c r="L52" i="16" s="1"/>
  <c r="I61" i="16"/>
  <c r="P52" i="16"/>
  <c r="I52" i="16"/>
  <c r="I48" i="16"/>
  <c r="F48" i="16"/>
  <c r="F49" i="16" s="1"/>
  <c r="F53" i="16" s="1"/>
  <c r="E48" i="16"/>
  <c r="B48" i="16"/>
  <c r="B49" i="16" s="1"/>
  <c r="B53" i="16" s="1"/>
  <c r="P47" i="16"/>
  <c r="P48" i="16" s="1"/>
  <c r="L47" i="16"/>
  <c r="L48" i="16" s="1"/>
  <c r="L49" i="16" s="1"/>
  <c r="I47" i="16"/>
  <c r="H47" i="16"/>
  <c r="H48" i="16" s="1"/>
  <c r="G47" i="16"/>
  <c r="G48" i="16" s="1"/>
  <c r="F47" i="16"/>
  <c r="E47" i="16"/>
  <c r="D47" i="16"/>
  <c r="D48" i="16" s="1"/>
  <c r="C47" i="16"/>
  <c r="C48" i="16" s="1"/>
  <c r="B47" i="16"/>
  <c r="I43" i="16"/>
  <c r="I14" i="16"/>
  <c r="G10" i="16"/>
  <c r="G11" i="16" s="1"/>
  <c r="G15" i="16" s="1"/>
  <c r="F10" i="16"/>
  <c r="C10" i="16"/>
  <c r="C11" i="16" s="1"/>
  <c r="C15" i="16" s="1"/>
  <c r="B10" i="16"/>
  <c r="I9" i="16"/>
  <c r="I10" i="16" s="1"/>
  <c r="H9" i="16"/>
  <c r="H10" i="16" s="1"/>
  <c r="G9" i="16"/>
  <c r="F9" i="16"/>
  <c r="E9" i="16"/>
  <c r="E10" i="16" s="1"/>
  <c r="D9" i="16"/>
  <c r="D10" i="16" s="1"/>
  <c r="C9" i="16"/>
  <c r="B9" i="16"/>
  <c r="P9" i="16"/>
  <c r="P10" i="16" s="1"/>
  <c r="I5" i="16"/>
  <c r="L53" i="16" l="1"/>
  <c r="L11" i="16"/>
  <c r="H11" i="16"/>
  <c r="H15" i="16"/>
  <c r="P11" i="16"/>
  <c r="E11" i="16"/>
  <c r="E15" i="16"/>
  <c r="G16" i="16"/>
  <c r="G18" i="16" s="1"/>
  <c r="G49" i="16"/>
  <c r="G53" i="16"/>
  <c r="C16" i="16"/>
  <c r="C18" i="16" s="1"/>
  <c r="E53" i="16"/>
  <c r="D11" i="16"/>
  <c r="D15" i="16" s="1"/>
  <c r="F54" i="16"/>
  <c r="F56" i="16" s="1"/>
  <c r="I11" i="16"/>
  <c r="I15" i="16" s="1"/>
  <c r="C49" i="16"/>
  <c r="C53" i="16" s="1"/>
  <c r="P49" i="16"/>
  <c r="P53" i="16"/>
  <c r="B15" i="16"/>
  <c r="D49" i="16"/>
  <c r="D53" i="16" s="1"/>
  <c r="H49" i="16"/>
  <c r="H53" i="16" s="1"/>
  <c r="B54" i="16"/>
  <c r="B56" i="16"/>
  <c r="L54" i="16"/>
  <c r="L56" i="16" s="1"/>
  <c r="L58" i="16" s="1"/>
  <c r="L63" i="16" s="1"/>
  <c r="L14" i="16"/>
  <c r="B11" i="16"/>
  <c r="F11" i="16"/>
  <c r="F15" i="16" s="1"/>
  <c r="P14" i="16"/>
  <c r="E49" i="16"/>
  <c r="I49" i="16"/>
  <c r="I53" i="16" s="1"/>
  <c r="B41" i="11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H148" i="12"/>
  <c r="H160" i="12"/>
  <c r="H152" i="12"/>
  <c r="H153" i="12"/>
  <c r="H151" i="12"/>
  <c r="H147" i="12"/>
  <c r="F10" i="13"/>
  <c r="H10" i="13"/>
  <c r="H163" i="12"/>
  <c r="H146" i="12"/>
  <c r="H162" i="12"/>
  <c r="H150" i="12"/>
  <c r="F8" i="15"/>
  <c r="C7" i="11" s="1"/>
  <c r="G9" i="12"/>
  <c r="H9" i="12"/>
  <c r="H134" i="12" s="1"/>
  <c r="G10" i="12"/>
  <c r="H10" i="12"/>
  <c r="H144" i="12"/>
  <c r="H145" i="12"/>
  <c r="H164" i="12" s="1"/>
  <c r="H149" i="12"/>
  <c r="H154" i="12"/>
  <c r="H155" i="12"/>
  <c r="H156" i="12"/>
  <c r="H157" i="12"/>
  <c r="H158" i="12"/>
  <c r="H159" i="12"/>
  <c r="H161" i="12"/>
  <c r="G132" i="12"/>
  <c r="H132" i="12"/>
  <c r="G133" i="12"/>
  <c r="H133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G8" i="12"/>
  <c r="G134" i="12" s="1"/>
  <c r="H136" i="12" s="1"/>
  <c r="H8" i="12"/>
  <c r="G11" i="12"/>
  <c r="H11" i="12"/>
  <c r="G12" i="12"/>
  <c r="H12" i="12"/>
  <c r="G13" i="12"/>
  <c r="H13" i="12"/>
  <c r="G14" i="12"/>
  <c r="H14" i="12"/>
  <c r="G15" i="12"/>
  <c r="H15" i="12"/>
  <c r="G16" i="12"/>
  <c r="H16" i="12"/>
  <c r="G17" i="12"/>
  <c r="H17" i="12"/>
  <c r="G18" i="12"/>
  <c r="H18" i="12"/>
  <c r="G19" i="12"/>
  <c r="H19" i="12"/>
  <c r="G20" i="12"/>
  <c r="H20" i="12"/>
  <c r="G21" i="12"/>
  <c r="H21" i="12"/>
  <c r="G22" i="12"/>
  <c r="H22" i="12"/>
  <c r="G23" i="12"/>
  <c r="H23" i="12"/>
  <c r="G24" i="12"/>
  <c r="H24" i="12"/>
  <c r="G25" i="12"/>
  <c r="H25" i="12"/>
  <c r="G26" i="12"/>
  <c r="H26" i="12"/>
  <c r="G27" i="12"/>
  <c r="H27" i="12"/>
  <c r="G28" i="12"/>
  <c r="H28" i="12"/>
  <c r="G29" i="12"/>
  <c r="H29" i="12"/>
  <c r="G30" i="12"/>
  <c r="H30" i="12"/>
  <c r="G31" i="12"/>
  <c r="H31" i="12"/>
  <c r="G32" i="12"/>
  <c r="H32" i="12"/>
  <c r="G33" i="12"/>
  <c r="H33" i="12"/>
  <c r="G46" i="12"/>
  <c r="H46" i="12"/>
  <c r="G47" i="12"/>
  <c r="H47" i="12"/>
  <c r="G48" i="12"/>
  <c r="H48" i="12"/>
  <c r="G49" i="12"/>
  <c r="H49" i="12"/>
  <c r="G50" i="12"/>
  <c r="H50" i="12"/>
  <c r="G51" i="12"/>
  <c r="H51" i="12"/>
  <c r="G52" i="12"/>
  <c r="H52" i="12"/>
  <c r="G53" i="12"/>
  <c r="H53" i="12"/>
  <c r="G54" i="12"/>
  <c r="H54" i="12"/>
  <c r="G55" i="12"/>
  <c r="H55" i="12"/>
  <c r="G56" i="12"/>
  <c r="H56" i="12"/>
  <c r="G57" i="12"/>
  <c r="H57" i="12"/>
  <c r="G58" i="12"/>
  <c r="H58" i="12"/>
  <c r="G59" i="12"/>
  <c r="H59" i="12"/>
  <c r="G60" i="12"/>
  <c r="H60" i="12"/>
  <c r="G61" i="12"/>
  <c r="H61" i="12"/>
  <c r="G62" i="12"/>
  <c r="H62" i="12"/>
  <c r="G63" i="12"/>
  <c r="H63" i="12"/>
  <c r="G64" i="12"/>
  <c r="H64" i="12"/>
  <c r="G65" i="12"/>
  <c r="H65" i="12"/>
  <c r="G66" i="12"/>
  <c r="H66" i="12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5" i="12"/>
  <c r="H85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0" i="12"/>
  <c r="H100" i="12"/>
  <c r="G101" i="12"/>
  <c r="H101" i="12"/>
  <c r="G102" i="12"/>
  <c r="H102" i="12"/>
  <c r="G103" i="12"/>
  <c r="H103" i="12"/>
  <c r="G104" i="12"/>
  <c r="H104" i="12"/>
  <c r="G105" i="12"/>
  <c r="H105" i="12"/>
  <c r="G106" i="12"/>
  <c r="H106" i="12"/>
  <c r="G107" i="12"/>
  <c r="H107" i="12"/>
  <c r="G108" i="12"/>
  <c r="H108" i="12"/>
  <c r="G109" i="12"/>
  <c r="H109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42" i="12"/>
  <c r="G164" i="12" s="1"/>
  <c r="H166" i="12" s="1"/>
  <c r="H142" i="12"/>
  <c r="F171" i="12"/>
  <c r="H171" i="12"/>
  <c r="G171" i="12"/>
  <c r="G172" i="12"/>
  <c r="H172" i="12"/>
  <c r="G173" i="12"/>
  <c r="H173" i="12"/>
  <c r="H176" i="12" s="1"/>
  <c r="H178" i="12" s="1"/>
  <c r="G174" i="12"/>
  <c r="H174" i="12"/>
  <c r="G175" i="12"/>
  <c r="H175" i="12"/>
  <c r="G182" i="12"/>
  <c r="H182" i="12"/>
  <c r="H184" i="12"/>
  <c r="G188" i="12"/>
  <c r="H188" i="12"/>
  <c r="H189" i="12"/>
  <c r="H190" i="12"/>
  <c r="H191" i="12" s="1"/>
  <c r="H192" i="12" s="1"/>
  <c r="H196" i="12"/>
  <c r="H201" i="12" s="1"/>
  <c r="H202" i="12" s="1"/>
  <c r="H197" i="12"/>
  <c r="H198" i="12"/>
  <c r="H199" i="12"/>
  <c r="H200" i="12"/>
  <c r="H206" i="12"/>
  <c r="H207" i="12"/>
  <c r="H208" i="12"/>
  <c r="H210" i="12"/>
  <c r="H225" i="12" s="1"/>
  <c r="H226" i="12" s="1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G8" i="13"/>
  <c r="G14" i="13" s="1"/>
  <c r="H8" i="13"/>
  <c r="H14" i="13" s="1"/>
  <c r="G9" i="13"/>
  <c r="H9" i="13"/>
  <c r="G10" i="13"/>
  <c r="G11" i="13"/>
  <c r="H11" i="13"/>
  <c r="G12" i="13"/>
  <c r="H12" i="13"/>
  <c r="G13" i="13"/>
  <c r="H13" i="13"/>
  <c r="G23" i="13"/>
  <c r="H23" i="13"/>
  <c r="H29" i="13" s="1"/>
  <c r="G24" i="13"/>
  <c r="G29" i="13" s="1"/>
  <c r="H31" i="13" s="1"/>
  <c r="H24" i="13"/>
  <c r="G25" i="13"/>
  <c r="H25" i="13"/>
  <c r="G26" i="13"/>
  <c r="H26" i="13"/>
  <c r="G27" i="13"/>
  <c r="H27" i="13"/>
  <c r="G28" i="13"/>
  <c r="H28" i="13"/>
  <c r="G36" i="13"/>
  <c r="H36" i="13"/>
  <c r="G37" i="13"/>
  <c r="H37" i="13"/>
  <c r="G38" i="13"/>
  <c r="H38" i="13"/>
  <c r="H39" i="13"/>
  <c r="H41" i="13" s="1"/>
  <c r="P15" i="16" l="1"/>
  <c r="P18" i="16" s="1"/>
  <c r="P20" i="16" s="1"/>
  <c r="P25" i="16" s="1"/>
  <c r="L15" i="16"/>
  <c r="L16" i="16" s="1"/>
  <c r="L18" i="16" s="1"/>
  <c r="L20" i="16" s="1"/>
  <c r="L25" i="16" s="1"/>
  <c r="D16" i="16"/>
  <c r="D18" i="16"/>
  <c r="P16" i="16"/>
  <c r="D54" i="16"/>
  <c r="D56" i="16" s="1"/>
  <c r="F16" i="16"/>
  <c r="F18" i="16" s="1"/>
  <c r="I16" i="16"/>
  <c r="I18" i="16" s="1"/>
  <c r="I20" i="16" s="1"/>
  <c r="I24" i="16" s="1"/>
  <c r="I25" i="16" s="1"/>
  <c r="H54" i="16"/>
  <c r="H56" i="16"/>
  <c r="C54" i="16"/>
  <c r="C56" i="16"/>
  <c r="I54" i="16"/>
  <c r="I56" i="16" s="1"/>
  <c r="I58" i="16" s="1"/>
  <c r="I62" i="16" s="1"/>
  <c r="I63" i="16" s="1"/>
  <c r="I70" i="16" s="1"/>
  <c r="I71" i="16" s="1"/>
  <c r="E54" i="16"/>
  <c r="E56" i="16" s="1"/>
  <c r="E16" i="16"/>
  <c r="E18" i="16"/>
  <c r="B16" i="16"/>
  <c r="B18" i="16" s="1"/>
  <c r="G54" i="16"/>
  <c r="G56" i="16"/>
  <c r="H16" i="16"/>
  <c r="H18" i="16"/>
  <c r="P54" i="16"/>
  <c r="P56" i="16"/>
  <c r="P58" i="16" s="1"/>
  <c r="P63" i="16" s="1"/>
  <c r="H230" i="12"/>
  <c r="C6" i="11" s="1"/>
  <c r="H16" i="13"/>
  <c r="H46" i="13" s="1"/>
  <c r="C5" i="11" s="1"/>
  <c r="C8" i="11" s="1"/>
  <c r="I32" i="16" l="1"/>
  <c r="I34" i="16" s="1"/>
</calcChain>
</file>

<file path=xl/comments1.xml><?xml version="1.0" encoding="utf-8"?>
<comments xmlns="http://schemas.openxmlformats.org/spreadsheetml/2006/main">
  <authors>
    <author>Jimba, Olugbenga SPDC-PTP/O/NA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Duration on site is 16 days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NG01017733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NG01015662</t>
        </r>
      </text>
    </comment>
  </commentList>
</comments>
</file>

<file path=xl/comments2.xml><?xml version="1.0" encoding="utf-8"?>
<comments xmlns="http://schemas.openxmlformats.org/spreadsheetml/2006/main">
  <authors>
    <author>Jimba, Olugbenga SPDC-PTP/O/NA</author>
  </authors>
  <commentList>
    <comment ref="B138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For Pipe - 4610032140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SPDC Security Service Rate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For Mobilization and Movement of Logistics Equipment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SPDC Logistics Service Rate &amp; NG01019337</t>
        </r>
      </text>
    </comment>
    <comment ref="B194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NG01005605 Genesis for Kolo Creek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Jimba, Olugbenga SPDC-PTP/O/NA:</t>
        </r>
        <r>
          <rPr>
            <sz val="9"/>
            <color indexed="81"/>
            <rFont val="Tahoma"/>
            <family val="2"/>
          </rPr>
          <t xml:space="preserve">
NG01011639 Cakasa Eng Design</t>
        </r>
      </text>
    </comment>
  </commentList>
</comments>
</file>

<file path=xl/sharedStrings.xml><?xml version="1.0" encoding="utf-8"?>
<sst xmlns="http://schemas.openxmlformats.org/spreadsheetml/2006/main" count="782" uniqueCount="280">
  <si>
    <t>WORK DESCRIPTION</t>
  </si>
  <si>
    <t>UNIT</t>
  </si>
  <si>
    <t>US$</t>
  </si>
  <si>
    <t>NGN</t>
  </si>
  <si>
    <t>A</t>
  </si>
  <si>
    <t>EA</t>
  </si>
  <si>
    <t>B</t>
  </si>
  <si>
    <t>C</t>
  </si>
  <si>
    <t>1/2” to less than 2”</t>
  </si>
  <si>
    <t>2” to 3”</t>
  </si>
  <si>
    <t>4”</t>
  </si>
  <si>
    <t>D</t>
  </si>
  <si>
    <t>6” to 8”</t>
  </si>
  <si>
    <t>E</t>
  </si>
  <si>
    <t>10” to 12”</t>
  </si>
  <si>
    <t>F</t>
  </si>
  <si>
    <t>Above 12”</t>
  </si>
  <si>
    <t>Collect/load out miscellaneous fittings from SPDC warehouses to site</t>
  </si>
  <si>
    <t>Per Purchase order</t>
  </si>
  <si>
    <t>Per welded joint</t>
  </si>
  <si>
    <t xml:space="preserve">Per welded joint </t>
  </si>
  <si>
    <t>TOTAL</t>
  </si>
  <si>
    <t>Disconnect and isolate defective line pipe section</t>
  </si>
  <si>
    <t>Per line</t>
  </si>
  <si>
    <t>Reconnect/Hook up repaired line pipe</t>
  </si>
  <si>
    <t xml:space="preserve">Cut out and replace by welding damaged structural members </t>
  </si>
  <si>
    <t>Angle iron</t>
  </si>
  <si>
    <t>i</t>
  </si>
  <si>
    <t>1” to 2”</t>
  </si>
  <si>
    <t>ii</t>
  </si>
  <si>
    <t>3” to 4”</t>
  </si>
  <si>
    <t>iii</t>
  </si>
  <si>
    <t xml:space="preserve">Above 4” </t>
  </si>
  <si>
    <t>Per fender</t>
  </si>
  <si>
    <t>Flooring panel (gratings)</t>
  </si>
  <si>
    <t>Per Square meter</t>
  </si>
  <si>
    <t>Flat bar</t>
  </si>
  <si>
    <t>Per meter</t>
  </si>
  <si>
    <t>H-beams</t>
  </si>
  <si>
    <t>Per meter length</t>
  </si>
  <si>
    <t>Ladder</t>
  </si>
  <si>
    <t>G</t>
  </si>
  <si>
    <t>Hand Rails</t>
  </si>
  <si>
    <t>H</t>
  </si>
  <si>
    <t>U channels</t>
  </si>
  <si>
    <t>I</t>
  </si>
  <si>
    <t>Per support</t>
  </si>
  <si>
    <t>Scaffolding</t>
  </si>
  <si>
    <t>Per sq m</t>
  </si>
  <si>
    <t>4"</t>
  </si>
  <si>
    <t xml:space="preserve">3” </t>
  </si>
  <si>
    <t xml:space="preserve">Demobilisation from site </t>
  </si>
  <si>
    <t>S No.</t>
  </si>
  <si>
    <t>DESCRIPTION</t>
  </si>
  <si>
    <t>Fender Channel support</t>
  </si>
  <si>
    <t>Per length of 12 meters each</t>
  </si>
  <si>
    <t>Per mob</t>
  </si>
  <si>
    <t>Distance above 100km</t>
  </si>
  <si>
    <t>Per day</t>
  </si>
  <si>
    <t>15 - 24 ton crane</t>
  </si>
  <si>
    <t>25 - 39 ton crane</t>
  </si>
  <si>
    <t>Production of as built drawing in autocad R14 in CD ROM</t>
  </si>
  <si>
    <t>Two CD ROM required</t>
  </si>
  <si>
    <t>Per demob</t>
  </si>
  <si>
    <t>per evacuation</t>
  </si>
  <si>
    <t>Radiograph welded joints (100% X-ray) using contractor's own X-ray equipment and dark room</t>
  </si>
  <si>
    <t>6" - 8"</t>
  </si>
  <si>
    <t>Supply and use Contractors crane for lifting operations</t>
  </si>
  <si>
    <t>Mobilisation to site for repairs/installation</t>
  </si>
  <si>
    <t xml:space="preserve">Flushing of line pipe </t>
  </si>
  <si>
    <t>Pipe Supports with tie-down clamp</t>
  </si>
  <si>
    <t>40 -50 ton crane</t>
  </si>
  <si>
    <t>above 50 ton crane</t>
  </si>
  <si>
    <t>Power brushing, Priming and Painting</t>
  </si>
  <si>
    <t>J</t>
  </si>
  <si>
    <t xml:space="preserve">Replacement of Drain pan </t>
  </si>
  <si>
    <t>K</t>
  </si>
  <si>
    <t>Per square meter</t>
  </si>
  <si>
    <t xml:space="preserve">Nitogen Purging/ Sweeping of gas line </t>
  </si>
  <si>
    <t>MECHANICAL</t>
  </si>
  <si>
    <t>Flush and pressure test line pipe (425psi to 5400Psi) for 24 hours.</t>
  </si>
  <si>
    <t>De-coating/ Coating (Sleeving) of pipes/joints</t>
  </si>
  <si>
    <t>Provide and replace roofing Sheets (0.5mm guage) with accessories.</t>
  </si>
  <si>
    <t>S/NO.</t>
  </si>
  <si>
    <t>Per Trip</t>
  </si>
  <si>
    <t xml:space="preserve">Collect/Load out structural materials from SPDC warehouses to site. </t>
  </si>
  <si>
    <t>H -beam</t>
  </si>
  <si>
    <t>I -beam</t>
  </si>
  <si>
    <t>U-beam</t>
  </si>
  <si>
    <t>Flooring panel</t>
  </si>
  <si>
    <t>Composite fender</t>
  </si>
  <si>
    <t>Per jt</t>
  </si>
  <si>
    <t xml:space="preserve">Cut out and replace by argon welding Defective line pipe and fittings </t>
  </si>
  <si>
    <t xml:space="preserve">1/2” to less than 2” </t>
  </si>
  <si>
    <t>2” to 3” (&lt; 0.25" wall thickness)</t>
  </si>
  <si>
    <t>B1</t>
  </si>
  <si>
    <t>B2</t>
  </si>
  <si>
    <t>2” to 3” (&gt; 0.25" wall thickness)</t>
  </si>
  <si>
    <t>4” (&gt; 0.25" wall thickness)</t>
  </si>
  <si>
    <t>C1</t>
  </si>
  <si>
    <t>C2</t>
  </si>
  <si>
    <t>4” (&lt; 0.25" wall thickness)</t>
  </si>
  <si>
    <t>6” to 8” (&lt; 0.3" wall thickness)</t>
  </si>
  <si>
    <t>6” to 8” (&gt; 0.3" wall thickness)</t>
  </si>
  <si>
    <t>D1</t>
  </si>
  <si>
    <t>D2</t>
  </si>
  <si>
    <t>10” to 12” (&lt; 0.4" wall thickness)</t>
  </si>
  <si>
    <t>10” to 12” (&gt; 0.4" wall thickness)</t>
  </si>
  <si>
    <t>Above 12” (&lt; 0.5" wall thickness)</t>
  </si>
  <si>
    <t>Above 12” (&gt; 0.5" wall thickness)</t>
  </si>
  <si>
    <t>E1</t>
  </si>
  <si>
    <t>E2</t>
  </si>
  <si>
    <t>F1</t>
  </si>
  <si>
    <t>F2</t>
  </si>
  <si>
    <t>Supply and use Contractors vacuum truck (distance &lt; 100km)</t>
  </si>
  <si>
    <t>Salvaging of line pipes and return to SPDC scrap yard (K.I. or Ogunu)</t>
  </si>
  <si>
    <t>Per  6m length</t>
  </si>
  <si>
    <t xml:space="preserve"> CURRENT RATES </t>
  </si>
  <si>
    <t>Total</t>
  </si>
  <si>
    <t>QTY</t>
  </si>
  <si>
    <t>Iv</t>
  </si>
  <si>
    <t>12"</t>
  </si>
  <si>
    <t>Personnel Cost</t>
  </si>
  <si>
    <t>Unit Cost</t>
  </si>
  <si>
    <t>Total Cost</t>
  </si>
  <si>
    <t>Item</t>
  </si>
  <si>
    <t>Unit</t>
  </si>
  <si>
    <t>Qty</t>
  </si>
  <si>
    <t>USD</t>
  </si>
  <si>
    <t>HSE cordinator</t>
  </si>
  <si>
    <t>Month</t>
  </si>
  <si>
    <t>CSR</t>
  </si>
  <si>
    <t>QA/QC cordinator</t>
  </si>
  <si>
    <t>FUSD</t>
  </si>
  <si>
    <t>Security Cost</t>
  </si>
  <si>
    <t>Poice/ JTF Escort</t>
  </si>
  <si>
    <t>Per team per day</t>
  </si>
  <si>
    <t>Logistics Cost</t>
  </si>
  <si>
    <t>Catering/ Housekeeping for Execution Staff</t>
  </si>
  <si>
    <t>Breakfast</t>
  </si>
  <si>
    <t>Lunch</t>
  </si>
  <si>
    <t>Dinner</t>
  </si>
  <si>
    <t>Bottled water (Large)</t>
  </si>
  <si>
    <t>Housekeeping per room</t>
  </si>
  <si>
    <t>Day</t>
  </si>
  <si>
    <t>S/N</t>
  </si>
  <si>
    <t>Cost (FUSD)</t>
  </si>
  <si>
    <t>Piping Installation Works</t>
  </si>
  <si>
    <t>Materials</t>
  </si>
  <si>
    <t>External Services</t>
  </si>
  <si>
    <t>Mobile Crane 80-90 tons</t>
  </si>
  <si>
    <t>Lowbed Trailer 40tons</t>
  </si>
  <si>
    <t>`</t>
  </si>
  <si>
    <t>Fire Men (2 fire men)</t>
  </si>
  <si>
    <t>Scaffolding Works</t>
  </si>
  <si>
    <t>Distance Above 100 km</t>
  </si>
  <si>
    <t xml:space="preserve">Mobilisation to site </t>
  </si>
  <si>
    <t>Basic Scaffolder</t>
  </si>
  <si>
    <t>Advanced Scaffolder/Certify</t>
  </si>
  <si>
    <t>Construction/ Certification</t>
  </si>
  <si>
    <t>DAY</t>
  </si>
  <si>
    <t xml:space="preserve"> CURRENT RATES</t>
  </si>
  <si>
    <t>Scaffolding Erection</t>
  </si>
  <si>
    <t>Scaffolding Certification</t>
  </si>
  <si>
    <t>Prov of Scaffold Supervision/Inspection</t>
  </si>
  <si>
    <t>Prov of of Scaffold Certificatn-SCAFFTAG</t>
  </si>
  <si>
    <t>Pipe rollers</t>
  </si>
  <si>
    <t>Per roller</t>
  </si>
  <si>
    <t xml:space="preserve">Provide and replace gantry / lifting equipment </t>
  </si>
  <si>
    <t xml:space="preserve">Provide and Install Morris 190x series chain hoist hook suspension plus 164x series geared trolley, with height of lift(HOL) 5 m, complete with chain container and over load mechanism </t>
  </si>
  <si>
    <t>set</t>
  </si>
  <si>
    <t>Project Engr</t>
  </si>
  <si>
    <t>Provision for welders, fiters and community payments</t>
  </si>
  <si>
    <t>Lot</t>
  </si>
  <si>
    <t>Preparation of As-Built Drawings</t>
  </si>
  <si>
    <t>PEFS_GA Draughtsman_Designer</t>
  </si>
  <si>
    <t>Piping Draughtsman_ Designer (PDMS/ CAD)</t>
  </si>
  <si>
    <t>Elect and Instrumentation (PDMS_CAD)</t>
  </si>
  <si>
    <t>Struct Draughtsman_Designer (PDMS_CAD)</t>
  </si>
  <si>
    <t>Data_Document Controller</t>
  </si>
  <si>
    <t>Principal Process Engineer</t>
  </si>
  <si>
    <t>Senior Process Engineer</t>
  </si>
  <si>
    <t>Principal Static Mechanical Engineer</t>
  </si>
  <si>
    <t>Senior Static Mechanical Engineer</t>
  </si>
  <si>
    <t>Principal Electrical Engineer</t>
  </si>
  <si>
    <t>Senior Electrical Engineer</t>
  </si>
  <si>
    <t>Principal Civil_Structural Engineer</t>
  </si>
  <si>
    <t>Senior Civil_Structural Engineer</t>
  </si>
  <si>
    <t>Prin Control and Automation (Inst) Engr</t>
  </si>
  <si>
    <t>Snr Control and Automation (Inst) Engr</t>
  </si>
  <si>
    <t>Principal Rotating Mechanical Engineer</t>
  </si>
  <si>
    <t>Senior Rotating Mechanical Engineer</t>
  </si>
  <si>
    <t>Principal Technical Safety Engineer</t>
  </si>
  <si>
    <t>Senior Technical Safety Engineer</t>
  </si>
  <si>
    <t>Provision for use of welding habitat</t>
  </si>
  <si>
    <t xml:space="preserve">Cut out and replace by arc welding Defective line pipe and fittings </t>
  </si>
  <si>
    <t>Hiace Bus</t>
  </si>
  <si>
    <t>Post Heat weld treatment</t>
  </si>
  <si>
    <t>Line</t>
  </si>
  <si>
    <t>per 6 meter length</t>
  </si>
  <si>
    <t>10"</t>
  </si>
  <si>
    <t>STUD BOLT, 1-3/8" x 240mm, ASTM A320-L7M/ A194-7M</t>
  </si>
  <si>
    <t>16"</t>
  </si>
  <si>
    <t>STUD BOLT, 2" x 400mm, ASTM A320-L7M/ A194-7M</t>
  </si>
  <si>
    <t>STUD BOLT, 1-5/8" x 292mm, ASTM A320-L7M/ A194-7M</t>
  </si>
  <si>
    <t>Provision for WPS/ PQR</t>
  </si>
  <si>
    <t>Provision for PACO Works</t>
  </si>
  <si>
    <t xml:space="preserve">Collect/Load out line pipes from SPDC warehouses to site. </t>
  </si>
  <si>
    <t>Class</t>
  </si>
  <si>
    <t>Total (USD)</t>
  </si>
  <si>
    <t>Pcs</t>
  </si>
  <si>
    <t>Cabling + Cable Laying + Installation Works</t>
  </si>
  <si>
    <t>Integration</t>
  </si>
  <si>
    <t>PACO Works</t>
  </si>
  <si>
    <t>Gbaran Flare Reduction Project</t>
  </si>
  <si>
    <t>LINE PIPE - 36" SCH ##, ASTM A790 UNS S31803</t>
  </si>
  <si>
    <t>FLANGE, WN, 36" 150#, ASTM A182-F51</t>
  </si>
  <si>
    <t>GASKET, 36" 150#, DUPLEX UNS S31803, GRAPHITE DS CENTRING/ INNER RING</t>
  </si>
  <si>
    <t>TEE RED, 36" x 8", ASTM A815 WP-S UNS S31803</t>
  </si>
  <si>
    <t>Provision for 36" Duplex Boltsets</t>
  </si>
  <si>
    <t>Set</t>
  </si>
  <si>
    <t>300#</t>
  </si>
  <si>
    <t>8" RO</t>
  </si>
  <si>
    <t>FLANGE, WN, 8" 300#, ASTM A182-F51</t>
  </si>
  <si>
    <t>GASKET, 8" 300#, DUPLEX UNS S31803, GRAPHITE DS CENTRING/ INNER RING</t>
  </si>
  <si>
    <t>TEE EQUAL, 8" SCH 40S, ASTM A403 WP316L</t>
  </si>
  <si>
    <t>ELBOW, 8" SCH 40S, 90 DEG,ASTM A403 WP316L</t>
  </si>
  <si>
    <t>LINE PIPE - 8" SCH 40S, ASTM A312-TP316L</t>
  </si>
  <si>
    <t>FLANGE, WN, 8" 300#, ASTM A182-F316</t>
  </si>
  <si>
    <t>BLIND FLANGE 8" 300#, ASTM A182 F316</t>
  </si>
  <si>
    <t>BLIND FLANGE 8" 300#, ASTM A182 F51</t>
  </si>
  <si>
    <t>BLIND FLANGE 2" 300#, ASTM A182 F316</t>
  </si>
  <si>
    <t>BALL VALVE, 8" 300#, BODY: ASTM A182-F316/A351-CF8M
TRIM: AISI 316, PTFE</t>
  </si>
  <si>
    <t>BALL VALVE, 2" 300#, BODY: ASTM A182-F316/A351-CF8M
TRIM: AISI 316, PTFE</t>
  </si>
  <si>
    <t>8" Shutdown valve, BODY: ASTM A182-F316/A351-CF8M
TRIM: AISI 316, PTFE</t>
  </si>
  <si>
    <t>Latch unto Gbaran Mobile Crane and Self Loader for Logistics needs on the project within Gbaran</t>
  </si>
  <si>
    <t>Supervising personnel to be given accommodation at Gbaran FLB thus eliminating the need for shuttling and security costs</t>
  </si>
  <si>
    <t>GASKET, 8" 300#, AISI 316, GRAPHITE CS CENTRING/ SS INNER RING</t>
  </si>
  <si>
    <t>FLANGE, WN, 2" 300#, ASTM A182-F316</t>
  </si>
  <si>
    <t>Benefits</t>
  </si>
  <si>
    <t>TNP availability adjusted to 75%, benefit will therefore be for 91days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</si>
  <si>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</si>
  <si>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</si>
  <si>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</si>
  <si>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</si>
  <si>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</si>
  <si>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</si>
  <si>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</si>
  <si>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</si>
  <si>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</si>
  <si>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</si>
  <si>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</si>
  <si>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</si>
  <si>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</si>
  <si>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</si>
  <si>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</si>
  <si>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</si>
  <si>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</si>
  <si>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</si>
  <si>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</si>
  <si>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</si>
  <si>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</si>
  <si>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</si>
  <si>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</si>
  <si>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</si>
  <si>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</si>
  <si>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</si>
  <si>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</si>
  <si>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</si>
  <si>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</si>
  <si>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</si>
  <si>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</si>
  <si>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100%</t>
  </si>
  <si>
    <t>CSD SS</t>
  </si>
  <si>
    <t>CSD Impact( SS)</t>
  </si>
  <si>
    <t>Total for Oil + Gas</t>
  </si>
  <si>
    <t>Monthly from Jan</t>
  </si>
  <si>
    <t>Monthly from Nov</t>
  </si>
  <si>
    <t>Annual equivalent daily production</t>
  </si>
  <si>
    <t>4.99MMScf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</si>
</sst>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#,##0.000_);\(#,##0.000\)"/>
    <numFmt numFmtId="167" formatCode="_-* #,##0_-;\-* #,##0_-;_-* &quot;-&quot;??_-;_-@_-"/>
    <numFmt numFmtId="168" formatCode="_-* #,##0.0_-;\-* #,##0.0_-;_-* &quot;-&quot;??_-;_-@_-"/>
    <numFmt numFmtId="169" formatCode="#,##0_ ;[Red]\-#,##0\ 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10"/>
      <color indexed="8"/>
      <name val="Arial"/>
      <family val="2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 vertical="top" wrapText="1"/>
    </xf>
    <xf numFmtId="0" fontId="0" fillId="0" borderId="6" xfId="0" applyBorder="1"/>
    <xf numFmtId="164" fontId="0" fillId="0" borderId="6" xfId="1" applyFont="1" applyBorder="1"/>
    <xf numFmtId="0" fontId="3" fillId="0" borderId="6" xfId="0" applyFont="1" applyBorder="1"/>
    <xf numFmtId="0" fontId="15" fillId="0" borderId="0" xfId="0" applyFont="1"/>
    <xf numFmtId="0" fontId="4" fillId="0" borderId="6" xfId="0" applyFont="1" applyBorder="1"/>
    <xf numFmtId="164" fontId="5" fillId="0" borderId="9" xfId="1" applyFont="1" applyFill="1" applyBorder="1" applyAlignment="1"/>
    <xf numFmtId="164" fontId="5" fillId="0" borderId="0" xfId="1" applyFont="1" applyFill="1" applyBorder="1" applyAlignment="1"/>
    <xf numFmtId="0" fontId="14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164" fontId="3" fillId="0" borderId="0" xfId="1" applyFont="1" applyFill="1" applyBorder="1"/>
    <xf numFmtId="164" fontId="3" fillId="0" borderId="0" xfId="1" applyFont="1" applyFill="1"/>
    <xf numFmtId="0" fontId="3" fillId="0" borderId="0" xfId="0" applyFont="1" applyFill="1"/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left" wrapText="1"/>
    </xf>
    <xf numFmtId="0" fontId="5" fillId="0" borderId="10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left" wrapText="1"/>
    </xf>
    <xf numFmtId="0" fontId="5" fillId="0" borderId="12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 wrapText="1"/>
    </xf>
    <xf numFmtId="0" fontId="5" fillId="0" borderId="14" xfId="0" applyFont="1" applyFill="1" applyBorder="1" applyAlignment="1">
      <alignment horizontal="left" wrapText="1"/>
    </xf>
    <xf numFmtId="0" fontId="5" fillId="0" borderId="15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left" wrapText="1"/>
    </xf>
    <xf numFmtId="164" fontId="3" fillId="0" borderId="6" xfId="1" applyFont="1" applyFill="1" applyBorder="1"/>
    <xf numFmtId="164" fontId="3" fillId="0" borderId="7" xfId="1" applyFont="1" applyFill="1" applyBorder="1"/>
    <xf numFmtId="0" fontId="3" fillId="0" borderId="6" xfId="0" applyFont="1" applyFill="1" applyBorder="1"/>
    <xf numFmtId="0" fontId="6" fillId="0" borderId="8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left" wrapText="1"/>
    </xf>
    <xf numFmtId="0" fontId="8" fillId="0" borderId="7" xfId="0" applyFont="1" applyFill="1" applyBorder="1" applyAlignment="1">
      <alignment wrapText="1"/>
    </xf>
    <xf numFmtId="0" fontId="8" fillId="0" borderId="18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center" wrapText="1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left" wrapText="1"/>
    </xf>
    <xf numFmtId="0" fontId="6" fillId="0" borderId="21" xfId="0" applyFont="1" applyFill="1" applyBorder="1" applyAlignment="1">
      <alignment horizontal="center" wrapText="1"/>
    </xf>
    <xf numFmtId="0" fontId="6" fillId="0" borderId="22" xfId="0" applyFont="1" applyFill="1" applyBorder="1" applyAlignment="1">
      <alignment horizontal="left" wrapText="1"/>
    </xf>
    <xf numFmtId="0" fontId="6" fillId="0" borderId="23" xfId="0" applyFont="1" applyFill="1" applyBorder="1" applyAlignment="1">
      <alignment horizontal="center" vertical="top"/>
    </xf>
    <xf numFmtId="0" fontId="5" fillId="0" borderId="24" xfId="0" applyFont="1" applyFill="1" applyBorder="1" applyAlignment="1">
      <alignment horizontal="left" wrapText="1"/>
    </xf>
    <xf numFmtId="0" fontId="6" fillId="0" borderId="25" xfId="0" applyFont="1" applyFill="1" applyBorder="1" applyAlignment="1">
      <alignment horizontal="center" wrapText="1"/>
    </xf>
    <xf numFmtId="164" fontId="3" fillId="0" borderId="26" xfId="1" applyFont="1" applyFill="1" applyBorder="1"/>
    <xf numFmtId="164" fontId="3" fillId="0" borderId="27" xfId="1" applyFont="1" applyFill="1" applyBorder="1"/>
    <xf numFmtId="0" fontId="6" fillId="0" borderId="0" xfId="0" applyFont="1" applyFill="1" applyAlignment="1">
      <alignment horizontal="left" wrapText="1"/>
    </xf>
    <xf numFmtId="0" fontId="4" fillId="0" borderId="0" xfId="0" applyFont="1" applyFill="1"/>
    <xf numFmtId="164" fontId="4" fillId="0" borderId="0" xfId="1" applyFont="1" applyFill="1"/>
    <xf numFmtId="0" fontId="5" fillId="0" borderId="28" xfId="0" applyFont="1" applyFill="1" applyBorder="1" applyAlignment="1">
      <alignment horizontal="left" vertical="top" wrapText="1"/>
    </xf>
    <xf numFmtId="0" fontId="5" fillId="0" borderId="29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30" xfId="0" applyFont="1" applyFill="1" applyBorder="1" applyAlignment="1">
      <alignment horizontal="center" vertical="top" wrapText="1"/>
    </xf>
    <xf numFmtId="164" fontId="5" fillId="0" borderId="6" xfId="1" applyFont="1" applyFill="1" applyBorder="1" applyAlignment="1">
      <alignment horizontal="center" vertical="top"/>
    </xf>
    <xf numFmtId="164" fontId="5" fillId="0" borderId="7" xfId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left" vertical="top" wrapText="1"/>
    </xf>
    <xf numFmtId="0" fontId="3" fillId="0" borderId="30" xfId="0" applyFont="1" applyFill="1" applyBorder="1" applyAlignment="1">
      <alignment horizontal="center" vertical="top" wrapText="1"/>
    </xf>
    <xf numFmtId="164" fontId="3" fillId="0" borderId="22" xfId="1" applyFont="1" applyFill="1" applyBorder="1" applyAlignment="1">
      <alignment horizontal="center"/>
    </xf>
    <xf numFmtId="0" fontId="3" fillId="0" borderId="31" xfId="0" applyFont="1" applyFill="1" applyBorder="1"/>
    <xf numFmtId="0" fontId="4" fillId="0" borderId="28" xfId="0" applyFont="1" applyFill="1" applyBorder="1"/>
    <xf numFmtId="0" fontId="4" fillId="0" borderId="32" xfId="0" applyFont="1" applyFill="1" applyBorder="1"/>
    <xf numFmtId="0" fontId="4" fillId="0" borderId="33" xfId="0" applyFont="1" applyFill="1" applyBorder="1"/>
    <xf numFmtId="0" fontId="13" fillId="0" borderId="2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vertical="center" wrapText="1"/>
    </xf>
    <xf numFmtId="4" fontId="13" fillId="0" borderId="6" xfId="0" applyNumberFormat="1" applyFont="1" applyFill="1" applyBorder="1" applyAlignment="1">
      <alignment horizontal="justify" vertical="center" wrapText="1"/>
    </xf>
    <xf numFmtId="4" fontId="13" fillId="0" borderId="30" xfId="0" applyNumberFormat="1" applyFont="1" applyFill="1" applyBorder="1" applyAlignment="1">
      <alignment horizontal="justify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26" xfId="0" applyFont="1" applyFill="1" applyBorder="1" applyAlignment="1">
      <alignment vertical="center" wrapText="1"/>
    </xf>
    <xf numFmtId="4" fontId="13" fillId="0" borderId="34" xfId="0" applyNumberFormat="1" applyFont="1" applyFill="1" applyBorder="1" applyAlignment="1">
      <alignment vertical="center" wrapText="1"/>
    </xf>
    <xf numFmtId="0" fontId="6" fillId="0" borderId="31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 wrapText="1"/>
    </xf>
    <xf numFmtId="0" fontId="5" fillId="0" borderId="28" xfId="0" applyFont="1" applyFill="1" applyBorder="1" applyAlignment="1">
      <alignment wrapText="1"/>
    </xf>
    <xf numFmtId="164" fontId="4" fillId="0" borderId="29" xfId="1" applyFont="1" applyFill="1" applyBorder="1"/>
    <xf numFmtId="0" fontId="6" fillId="0" borderId="3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left" wrapText="1"/>
    </xf>
    <xf numFmtId="0" fontId="6" fillId="0" borderId="26" xfId="0" applyFont="1" applyFill="1" applyBorder="1" applyAlignment="1">
      <alignment wrapText="1"/>
    </xf>
    <xf numFmtId="0" fontId="3" fillId="0" borderId="26" xfId="0" applyFont="1" applyFill="1" applyBorder="1"/>
    <xf numFmtId="164" fontId="3" fillId="0" borderId="34" xfId="1" applyFont="1" applyFill="1" applyBorder="1"/>
    <xf numFmtId="0" fontId="6" fillId="0" borderId="6" xfId="0" applyFont="1" applyFill="1" applyBorder="1" applyAlignment="1">
      <alignment wrapText="1"/>
    </xf>
    <xf numFmtId="164" fontId="3" fillId="0" borderId="30" xfId="1" applyFont="1" applyFill="1" applyBorder="1"/>
    <xf numFmtId="0" fontId="4" fillId="0" borderId="6" xfId="0" applyFont="1" applyFill="1" applyBorder="1"/>
    <xf numFmtId="0" fontId="6" fillId="0" borderId="28" xfId="0" applyFont="1" applyFill="1" applyBorder="1" applyAlignment="1">
      <alignment horizontal="left" wrapText="1"/>
    </xf>
    <xf numFmtId="0" fontId="6" fillId="0" borderId="28" xfId="0" applyFont="1" applyFill="1" applyBorder="1" applyAlignment="1">
      <alignment wrapText="1"/>
    </xf>
    <xf numFmtId="0" fontId="3" fillId="0" borderId="28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1" applyFont="1" applyFill="1" applyBorder="1"/>
    <xf numFmtId="0" fontId="4" fillId="0" borderId="26" xfId="0" applyFont="1" applyFill="1" applyBorder="1" applyAlignment="1">
      <alignment horizontal="left" vertical="top" wrapText="1"/>
    </xf>
    <xf numFmtId="0" fontId="3" fillId="0" borderId="35" xfId="0" applyFont="1" applyFill="1" applyBorder="1"/>
    <xf numFmtId="0" fontId="3" fillId="0" borderId="9" xfId="0" applyFont="1" applyFill="1" applyBorder="1"/>
    <xf numFmtId="0" fontId="10" fillId="0" borderId="0" xfId="0" applyFont="1" applyFill="1" applyAlignment="1">
      <alignment horizontal="left"/>
    </xf>
    <xf numFmtId="0" fontId="13" fillId="0" borderId="16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vertical="center" wrapText="1"/>
    </xf>
    <xf numFmtId="0" fontId="18" fillId="0" borderId="0" xfId="0" applyFont="1" applyFill="1"/>
    <xf numFmtId="164" fontId="3" fillId="0" borderId="6" xfId="1" applyFont="1" applyFill="1" applyBorder="1" applyAlignment="1"/>
    <xf numFmtId="0" fontId="5" fillId="2" borderId="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center" wrapText="1"/>
    </xf>
    <xf numFmtId="0" fontId="0" fillId="0" borderId="30" xfId="0" applyBorder="1"/>
    <xf numFmtId="164" fontId="0" fillId="0" borderId="30" xfId="1" applyFont="1" applyBorder="1"/>
    <xf numFmtId="164" fontId="4" fillId="0" borderId="32" xfId="1" applyFont="1" applyFill="1" applyBorder="1"/>
    <xf numFmtId="164" fontId="4" fillId="0" borderId="33" xfId="1" applyFont="1" applyFill="1" applyBorder="1"/>
    <xf numFmtId="164" fontId="13" fillId="0" borderId="6" xfId="1" applyFont="1" applyFill="1" applyBorder="1" applyAlignment="1">
      <alignment horizontal="justify" vertical="center" wrapText="1"/>
    </xf>
    <xf numFmtId="164" fontId="13" fillId="0" borderId="30" xfId="1" applyFont="1" applyFill="1" applyBorder="1" applyAlignment="1">
      <alignment horizontal="justify" vertical="center" wrapText="1"/>
    </xf>
    <xf numFmtId="164" fontId="13" fillId="0" borderId="26" xfId="1" applyFont="1" applyFill="1" applyBorder="1" applyAlignment="1">
      <alignment vertical="center" wrapText="1"/>
    </xf>
    <xf numFmtId="164" fontId="13" fillId="0" borderId="34" xfId="1" applyFont="1" applyFill="1" applyBorder="1" applyAlignment="1">
      <alignment vertical="center" wrapText="1"/>
    </xf>
    <xf numFmtId="164" fontId="4" fillId="0" borderId="28" xfId="1" applyFont="1" applyFill="1" applyBorder="1"/>
    <xf numFmtId="164" fontId="4" fillId="0" borderId="6" xfId="1" applyFont="1" applyFill="1" applyBorder="1"/>
    <xf numFmtId="164" fontId="4" fillId="0" borderId="26" xfId="1" applyFont="1" applyFill="1" applyBorder="1"/>
    <xf numFmtId="0" fontId="3" fillId="0" borderId="1" xfId="0" applyFont="1" applyFill="1" applyBorder="1"/>
    <xf numFmtId="0" fontId="3" fillId="0" borderId="32" xfId="0" applyFont="1" applyFill="1" applyBorder="1"/>
    <xf numFmtId="164" fontId="3" fillId="0" borderId="32" xfId="1" applyFont="1" applyFill="1" applyBorder="1" applyAlignment="1">
      <alignment horizontal="left" vertical="top"/>
    </xf>
    <xf numFmtId="4" fontId="13" fillId="0" borderId="6" xfId="0" applyNumberFormat="1" applyFont="1" applyFill="1" applyBorder="1" applyAlignment="1">
      <alignment horizontal="right" vertical="center" wrapText="1"/>
    </xf>
    <xf numFmtId="4" fontId="13" fillId="0" borderId="20" xfId="0" applyNumberFormat="1" applyFont="1" applyFill="1" applyBorder="1" applyAlignment="1">
      <alignment horizontal="right" vertical="center" wrapText="1"/>
    </xf>
    <xf numFmtId="4" fontId="13" fillId="0" borderId="6" xfId="0" applyNumberFormat="1" applyFont="1" applyFill="1" applyBorder="1" applyAlignment="1">
      <alignment horizontal="justify" wrapText="1"/>
    </xf>
    <xf numFmtId="0" fontId="6" fillId="0" borderId="6" xfId="0" applyFont="1" applyFill="1" applyBorder="1"/>
    <xf numFmtId="164" fontId="6" fillId="0" borderId="6" xfId="1" applyFont="1" applyFill="1" applyBorder="1"/>
    <xf numFmtId="164" fontId="6" fillId="0" borderId="30" xfId="1" applyFont="1" applyFill="1" applyBorder="1"/>
    <xf numFmtId="0" fontId="6" fillId="0" borderId="0" xfId="0" applyFont="1" applyFill="1" applyBorder="1"/>
    <xf numFmtId="164" fontId="6" fillId="0" borderId="0" xfId="1" applyFont="1" applyFill="1" applyBorder="1"/>
    <xf numFmtId="0" fontId="0" fillId="0" borderId="6" xfId="0" applyFill="1" applyBorder="1"/>
    <xf numFmtId="164" fontId="16" fillId="0" borderId="6" xfId="1" applyFont="1" applyFill="1" applyBorder="1"/>
    <xf numFmtId="164" fontId="16" fillId="0" borderId="30" xfId="1" applyFont="1" applyFill="1" applyBorder="1"/>
    <xf numFmtId="164" fontId="4" fillId="0" borderId="6" xfId="0" applyNumberFormat="1" applyFont="1" applyBorder="1"/>
    <xf numFmtId="0" fontId="5" fillId="0" borderId="36" xfId="0" applyFont="1" applyFill="1" applyBorder="1" applyAlignment="1">
      <alignment horizontal="center"/>
    </xf>
    <xf numFmtId="164" fontId="6" fillId="0" borderId="1" xfId="1" applyFont="1" applyFill="1" applyBorder="1" applyAlignment="1">
      <alignment horizontal="center" vertical="center"/>
    </xf>
    <xf numFmtId="164" fontId="6" fillId="0" borderId="5" xfId="1" applyFont="1" applyFill="1" applyBorder="1" applyAlignment="1">
      <alignment horizontal="left" wrapText="1"/>
    </xf>
    <xf numFmtId="164" fontId="6" fillId="0" borderId="4" xfId="1" applyFont="1" applyFill="1" applyBorder="1" applyAlignment="1">
      <alignment horizontal="center" vertical="center" wrapText="1"/>
    </xf>
    <xf numFmtId="164" fontId="0" fillId="0" borderId="0" xfId="1" applyFont="1"/>
    <xf numFmtId="164" fontId="0" fillId="0" borderId="0" xfId="0" applyNumberFormat="1"/>
    <xf numFmtId="43" fontId="0" fillId="0" borderId="0" xfId="0" applyNumberFormat="1"/>
    <xf numFmtId="164" fontId="0" fillId="0" borderId="6" xfId="1" applyFont="1" applyFill="1" applyBorder="1"/>
    <xf numFmtId="164" fontId="0" fillId="0" borderId="7" xfId="1" applyFont="1" applyFill="1" applyBorder="1"/>
    <xf numFmtId="164" fontId="0" fillId="0" borderId="30" xfId="1" applyFont="1" applyFill="1" applyBorder="1"/>
    <xf numFmtId="164" fontId="16" fillId="0" borderId="7" xfId="1" applyFont="1" applyFill="1" applyBorder="1"/>
    <xf numFmtId="0" fontId="0" fillId="0" borderId="37" xfId="0" applyFill="1" applyBorder="1"/>
    <xf numFmtId="0" fontId="6" fillId="0" borderId="38" xfId="0" applyFont="1" applyFill="1" applyBorder="1" applyAlignment="1">
      <alignment horizontal="center" vertical="top"/>
    </xf>
    <xf numFmtId="0" fontId="5" fillId="0" borderId="39" xfId="0" applyFont="1" applyFill="1" applyBorder="1" applyAlignment="1">
      <alignment horizontal="left" wrapText="1"/>
    </xf>
    <xf numFmtId="0" fontId="6" fillId="0" borderId="40" xfId="0" applyFont="1" applyFill="1" applyBorder="1" applyAlignment="1">
      <alignment horizontal="center" wrapText="1"/>
    </xf>
    <xf numFmtId="164" fontId="3" fillId="0" borderId="41" xfId="1" applyFont="1" applyFill="1" applyBorder="1"/>
    <xf numFmtId="164" fontId="3" fillId="0" borderId="40" xfId="1" applyFont="1" applyFill="1" applyBorder="1"/>
    <xf numFmtId="0" fontId="3" fillId="0" borderId="41" xfId="0" applyFont="1" applyFill="1" applyBorder="1"/>
    <xf numFmtId="164" fontId="3" fillId="0" borderId="42" xfId="1" applyFont="1" applyFill="1" applyBorder="1"/>
    <xf numFmtId="0" fontId="5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8" xfId="0" applyFont="1" applyBorder="1" applyAlignment="1">
      <alignment horizontal="center" wrapText="1"/>
    </xf>
    <xf numFmtId="0" fontId="17" fillId="0" borderId="6" xfId="0" applyFont="1" applyBorder="1"/>
    <xf numFmtId="165" fontId="0" fillId="0" borderId="6" xfId="1" applyNumberFormat="1" applyFont="1" applyBorder="1"/>
    <xf numFmtId="165" fontId="17" fillId="0" borderId="6" xfId="1" applyNumberFormat="1" applyFont="1" applyBorder="1"/>
    <xf numFmtId="0" fontId="3" fillId="0" borderId="0" xfId="0" applyFont="1"/>
    <xf numFmtId="0" fontId="0" fillId="0" borderId="0" xfId="0" applyFill="1" applyBorder="1"/>
    <xf numFmtId="0" fontId="6" fillId="0" borderId="16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vertical="top" wrapText="1"/>
    </xf>
    <xf numFmtId="0" fontId="3" fillId="0" borderId="20" xfId="0" applyFont="1" applyFill="1" applyBorder="1"/>
    <xf numFmtId="164" fontId="16" fillId="0" borderId="43" xfId="1" applyFont="1" applyFill="1" applyBorder="1"/>
    <xf numFmtId="0" fontId="6" fillId="0" borderId="27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6" fillId="0" borderId="20" xfId="0" applyFont="1" applyFill="1" applyBorder="1" applyAlignment="1">
      <alignment horizontal="left" vertical="top" wrapText="1"/>
    </xf>
    <xf numFmtId="165" fontId="3" fillId="0" borderId="6" xfId="1" applyNumberFormat="1" applyFont="1" applyBorder="1"/>
    <xf numFmtId="0" fontId="4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64" fontId="5" fillId="0" borderId="28" xfId="1" applyFont="1" applyFill="1" applyBorder="1" applyAlignment="1">
      <alignment horizontal="center" wrapText="1"/>
    </xf>
    <xf numFmtId="164" fontId="5" fillId="0" borderId="29" xfId="1" applyFont="1" applyFill="1" applyBorder="1" applyAlignment="1">
      <alignment horizontal="center" wrapText="1"/>
    </xf>
    <xf numFmtId="164" fontId="5" fillId="0" borderId="6" xfId="1" applyFont="1" applyFill="1" applyBorder="1" applyAlignment="1">
      <alignment horizontal="center"/>
    </xf>
    <xf numFmtId="164" fontId="5" fillId="0" borderId="30" xfId="1" applyFont="1" applyFill="1" applyBorder="1" applyAlignment="1">
      <alignment horizontal="center"/>
    </xf>
    <xf numFmtId="164" fontId="5" fillId="0" borderId="20" xfId="1" applyFont="1" applyFill="1" applyBorder="1" applyAlignment="1">
      <alignment horizontal="center"/>
    </xf>
    <xf numFmtId="164" fontId="5" fillId="0" borderId="43" xfId="1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64" fontId="5" fillId="0" borderId="44" xfId="1" applyFont="1" applyFill="1" applyBorder="1" applyAlignment="1">
      <alignment horizontal="center" wrapText="1"/>
    </xf>
    <xf numFmtId="0" fontId="4" fillId="0" borderId="44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164" fontId="4" fillId="0" borderId="44" xfId="1" applyFont="1" applyFill="1" applyBorder="1" applyAlignment="1">
      <alignment horizontal="center"/>
    </xf>
    <xf numFmtId="164" fontId="4" fillId="0" borderId="46" xfId="1" applyFont="1" applyFill="1" applyBorder="1" applyAlignment="1">
      <alignment horizontal="center"/>
    </xf>
    <xf numFmtId="0" fontId="1" fillId="0" borderId="0" xfId="2"/>
    <xf numFmtId="0" fontId="1" fillId="4" borderId="0" xfId="2" applyFill="1" applyAlignment="1">
      <alignment horizontal="center" wrapText="1"/>
    </xf>
    <xf numFmtId="9" fontId="20" fillId="5" borderId="0" xfId="3" applyNumberFormat="1" applyFont="1" applyFill="1"/>
    <xf numFmtId="0" fontId="19" fillId="5" borderId="0" xfId="2" applyFont="1" applyFill="1"/>
    <xf numFmtId="164" fontId="1" fillId="0" borderId="0" xfId="2" applyNumberFormat="1"/>
    <xf numFmtId="166" fontId="0" fillId="6" borderId="47" xfId="4" applyNumberFormat="1" applyFont="1" applyFill="1" applyBorder="1"/>
    <xf numFmtId="164" fontId="0" fillId="6" borderId="47" xfId="4" applyFont="1" applyFill="1" applyBorder="1"/>
    <xf numFmtId="0" fontId="17" fillId="0" borderId="0" xfId="2" applyFont="1"/>
    <xf numFmtId="3" fontId="1" fillId="0" borderId="0" xfId="2" applyNumberFormat="1"/>
    <xf numFmtId="0" fontId="1" fillId="0" borderId="47" xfId="2" applyBorder="1"/>
    <xf numFmtId="167" fontId="1" fillId="6" borderId="20" xfId="2" applyNumberFormat="1" applyFill="1" applyBorder="1"/>
    <xf numFmtId="164" fontId="0" fillId="6" borderId="20" xfId="4" applyFont="1" applyFill="1" applyBorder="1"/>
    <xf numFmtId="168" fontId="1" fillId="6" borderId="20" xfId="2" applyNumberFormat="1" applyFill="1" applyBorder="1"/>
    <xf numFmtId="0" fontId="1" fillId="6" borderId="47" xfId="2" applyFill="1" applyBorder="1"/>
    <xf numFmtId="167" fontId="0" fillId="6" borderId="47" xfId="3" applyNumberFormat="1" applyFont="1" applyFill="1" applyBorder="1"/>
    <xf numFmtId="167" fontId="0" fillId="6" borderId="47" xfId="4" applyNumberFormat="1" applyFont="1" applyFill="1" applyBorder="1"/>
    <xf numFmtId="167" fontId="1" fillId="7" borderId="47" xfId="3" applyNumberFormat="1" applyFont="1" applyFill="1" applyBorder="1"/>
    <xf numFmtId="167" fontId="17" fillId="7" borderId="48" xfId="2" applyNumberFormat="1" applyFont="1" applyFill="1" applyBorder="1"/>
    <xf numFmtId="167" fontId="17" fillId="7" borderId="20" xfId="2" applyNumberFormat="1" applyFont="1" applyFill="1" applyBorder="1"/>
    <xf numFmtId="169" fontId="1" fillId="7" borderId="47" xfId="2" applyNumberFormat="1" applyFill="1" applyBorder="1"/>
    <xf numFmtId="169" fontId="1" fillId="7" borderId="37" xfId="2" applyNumberFormat="1" applyFill="1" applyBorder="1"/>
    <xf numFmtId="169" fontId="1" fillId="7" borderId="20" xfId="2" applyNumberFormat="1" applyFill="1" applyBorder="1"/>
    <xf numFmtId="167" fontId="17" fillId="7" borderId="47" xfId="2" applyNumberFormat="1" applyFont="1" applyFill="1" applyBorder="1"/>
    <xf numFmtId="167" fontId="17" fillId="7" borderId="37" xfId="2" applyNumberFormat="1" applyFont="1" applyFill="1" applyBorder="1"/>
    <xf numFmtId="0" fontId="1" fillId="0" borderId="0" xfId="2" applyBorder="1"/>
    <xf numFmtId="169" fontId="1" fillId="7" borderId="0" xfId="2" applyNumberFormat="1" applyFill="1" applyBorder="1"/>
    <xf numFmtId="169" fontId="1" fillId="7" borderId="32" xfId="2" applyNumberFormat="1" applyFill="1" applyBorder="1"/>
    <xf numFmtId="0" fontId="17" fillId="0" borderId="49" xfId="2" applyFont="1" applyBorder="1"/>
    <xf numFmtId="167" fontId="17" fillId="7" borderId="49" xfId="2" applyNumberFormat="1" applyFont="1" applyFill="1" applyBorder="1"/>
    <xf numFmtId="167" fontId="17" fillId="0" borderId="50" xfId="2" applyNumberFormat="1" applyFont="1" applyBorder="1"/>
    <xf numFmtId="43" fontId="1" fillId="0" borderId="0" xfId="2" applyNumberFormat="1"/>
    <xf numFmtId="0" fontId="1" fillId="0" borderId="0" xfId="2" applyFill="1"/>
    <xf numFmtId="43" fontId="1" fillId="0" borderId="0" xfId="2" applyNumberFormat="1" applyFill="1"/>
    <xf numFmtId="0" fontId="1" fillId="6" borderId="47" xfId="2" applyFill="1" applyBorder="1" applyAlignment="1">
      <alignment horizontal="right"/>
    </xf>
    <xf numFmtId="43" fontId="17" fillId="0" borderId="0" xfId="2" applyNumberFormat="1" applyFont="1"/>
    <xf numFmtId="0" fontId="2" fillId="0" borderId="0" xfId="0" applyFont="1"/>
  </cellXfs>
  <cellStyles count="5">
    <cellStyle name="Comma" xfId="1" builtinId="3"/>
    <cellStyle name="Comma 10 6" xfId="3"/>
    <cellStyle name="Comma 2" xf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76" Type="http://schemas.openxmlformats.org/officeDocument/2006/relationships/externalLink" Target="externalLinks/externalLink71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74" Type="http://schemas.openxmlformats.org/officeDocument/2006/relationships/externalLink" Target="externalLinks/externalLink69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externalLink" Target="externalLinks/externalLink68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77" Type="http://schemas.openxmlformats.org/officeDocument/2006/relationships/externalLink" Target="externalLinks/externalLink72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externalLink" Target="externalLinks/externalLink7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14</xdr:row>
      <xdr:rowOff>133350</xdr:rowOff>
    </xdr:from>
    <xdr:to>
      <xdr:col>21</xdr:col>
      <xdr:colOff>523875</xdr:colOff>
      <xdr:row>37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CA0B6F4-821C-4815-B8BD-543BC4B9C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2562225"/>
          <a:ext cx="148875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NCP_PLAN\BP%20Library\BP%20for%202004%20to%202008\Capaloc-2003\Capaloc\Data\nieP03301_revised%204-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FCF%20-%20IMOR%20Gaslift%20Optimization%20Project%20Initiative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F"/>
      <sheetName val="Benefits"/>
    </sheetNames>
    <sheetDataSet>
      <sheetData sheetId="0"/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30" zoomScale="85" zoomScaleNormal="85" workbookViewId="0">
      <selection activeCell="J68" sqref="J68"/>
    </sheetView>
  </sheetViews>
  <sheetFormatPr defaultRowHeight="15" x14ac:dyDescent="0.25"/>
  <cols>
    <col min="1" max="1" width="68.140625" style="203" customWidth="1"/>
    <col min="2" max="8" width="15" style="203" hidden="1" customWidth="1"/>
    <col min="9" max="9" width="15" style="203" customWidth="1"/>
    <col min="10" max="10" width="43.42578125" style="203" customWidth="1"/>
    <col min="11" max="11" width="60.140625" style="203" customWidth="1"/>
    <col min="12" max="12" width="15.28515625" style="203" customWidth="1"/>
    <col min="13" max="13" width="16.85546875" style="203" customWidth="1"/>
    <col min="14" max="14" width="9.140625" style="203" customWidth="1"/>
    <col min="15" max="15" width="60.140625" style="203" customWidth="1"/>
    <col min="16" max="16" width="15.28515625" style="203" customWidth="1"/>
    <col min="17" max="17" width="31.85546875" style="203" customWidth="1"/>
    <col min="18" max="18" width="9.140625" style="203"/>
    <col min="19" max="19" width="5.5703125" style="203" customWidth="1"/>
    <col min="20" max="20" width="10.5703125" style="203" customWidth="1"/>
    <col min="21" max="16384" width="9.140625" style="203"/>
  </cols>
  <sheetData>
    <row r="1" spans="1:18" ht="22.5" customHeight="1" x14ac:dyDescent="0.25">
      <c r="B1" s="204"/>
      <c r="C1" s="204"/>
      <c r="D1" s="204"/>
      <c r="E1" s="204"/>
      <c r="F1" s="204"/>
      <c r="G1" s="204"/>
      <c r="H1" s="204"/>
      <c r="I1" s="204"/>
      <c r="L1" s="204"/>
      <c r="P1" s="204"/>
    </row>
    <row r="2" spans="1:18" ht="18.75" x14ac:dyDescent="0.3">
      <c r="A2" s="205" t="s">
        <v>241</v>
      </c>
      <c r="B2" s="206">
        <v>2008</v>
      </c>
      <c r="C2" s="206">
        <v>2009</v>
      </c>
      <c r="D2" s="206">
        <v>2010</v>
      </c>
      <c r="E2" s="206">
        <v>2011</v>
      </c>
      <c r="F2" s="206">
        <v>2012</v>
      </c>
      <c r="G2" s="206">
        <v>2013</v>
      </c>
      <c r="H2" s="206">
        <v>2014</v>
      </c>
      <c r="I2" s="206">
        <v>2018</v>
      </c>
      <c r="J2" s="207"/>
      <c r="K2" s="205" t="s">
        <v>242</v>
      </c>
      <c r="L2" s="206">
        <v>2018</v>
      </c>
      <c r="M2" s="208"/>
      <c r="O2" s="205" t="s">
        <v>243</v>
      </c>
      <c r="P2" s="206">
        <v>2018</v>
      </c>
      <c r="Q2" s="209"/>
    </row>
    <row r="3" spans="1:18" x14ac:dyDescent="0.25">
      <c r="A3" s="210" t="s">
        <v>244</v>
      </c>
      <c r="K3" s="210" t="s">
        <v>244</v>
      </c>
      <c r="M3" s="207"/>
      <c r="O3" s="210" t="s">
        <v>244</v>
      </c>
    </row>
    <row r="4" spans="1:18" x14ac:dyDescent="0.25">
      <c r="A4" s="210" t="s">
        <v>245</v>
      </c>
      <c r="I4" s="211">
        <v>0</v>
      </c>
      <c r="K4" s="210"/>
      <c r="L4" s="211"/>
      <c r="M4" s="207"/>
      <c r="O4" s="210"/>
    </row>
    <row r="5" spans="1:18" x14ac:dyDescent="0.25">
      <c r="A5" s="210" t="s">
        <v>246</v>
      </c>
      <c r="I5" s="211">
        <f>I4*0.2</f>
        <v>0</v>
      </c>
      <c r="K5" s="210"/>
      <c r="L5" s="211"/>
      <c r="M5" s="207"/>
      <c r="O5" s="210"/>
    </row>
    <row r="6" spans="1:18" x14ac:dyDescent="0.25">
      <c r="A6" s="212" t="s">
        <v>247</v>
      </c>
      <c r="B6" s="213"/>
      <c r="C6" s="213"/>
      <c r="D6" s="213"/>
      <c r="E6" s="213"/>
      <c r="F6" s="213"/>
      <c r="G6" s="213"/>
      <c r="H6" s="213"/>
      <c r="I6" s="213">
        <v>51.24</v>
      </c>
      <c r="J6" s="203" t="s">
        <v>248</v>
      </c>
      <c r="K6" s="212" t="s">
        <v>249</v>
      </c>
      <c r="L6" s="214">
        <v>1.36</v>
      </c>
      <c r="M6" s="203" t="s">
        <v>248</v>
      </c>
      <c r="O6" s="212" t="s">
        <v>249</v>
      </c>
      <c r="P6" s="215">
        <v>2.5099999999999998</v>
      </c>
      <c r="Q6" s="203" t="s">
        <v>248</v>
      </c>
      <c r="R6" s="207"/>
    </row>
    <row r="7" spans="1:18" x14ac:dyDescent="0.25">
      <c r="A7" s="212" t="s">
        <v>250</v>
      </c>
      <c r="B7" s="216">
        <v>366</v>
      </c>
      <c r="C7" s="216">
        <v>365</v>
      </c>
      <c r="D7" s="216">
        <v>365</v>
      </c>
      <c r="E7" s="216">
        <v>365</v>
      </c>
      <c r="F7" s="216">
        <v>366</v>
      </c>
      <c r="G7" s="216">
        <v>365</v>
      </c>
      <c r="H7" s="216">
        <v>365</v>
      </c>
      <c r="I7" s="216">
        <v>61</v>
      </c>
      <c r="K7" s="212" t="s">
        <v>250</v>
      </c>
      <c r="L7" s="216">
        <v>61</v>
      </c>
      <c r="O7" s="212" t="s">
        <v>250</v>
      </c>
      <c r="P7" s="216">
        <v>61</v>
      </c>
    </row>
    <row r="8" spans="1:18" x14ac:dyDescent="0.25">
      <c r="A8" s="212" t="s">
        <v>251</v>
      </c>
      <c r="B8" s="217"/>
      <c r="C8" s="217"/>
      <c r="D8" s="217"/>
      <c r="E8" s="217"/>
      <c r="F8" s="217"/>
      <c r="G8" s="217"/>
      <c r="H8" s="217"/>
      <c r="I8" s="218">
        <v>0</v>
      </c>
      <c r="J8" s="203" t="s">
        <v>252</v>
      </c>
      <c r="K8" s="212" t="s">
        <v>251</v>
      </c>
      <c r="L8" s="209">
        <f>4.99/5.8</f>
        <v>0.86034482758620701</v>
      </c>
      <c r="M8" s="203" t="s">
        <v>252</v>
      </c>
      <c r="O8" s="212" t="s">
        <v>251</v>
      </c>
      <c r="P8" s="209">
        <v>0</v>
      </c>
      <c r="Q8" s="203" t="s">
        <v>252</v>
      </c>
    </row>
    <row r="9" spans="1:18" x14ac:dyDescent="0.25">
      <c r="A9" s="212" t="s">
        <v>253</v>
      </c>
      <c r="B9" s="219">
        <f t="shared" ref="B9:H9" si="0">B8*B7*1000</f>
        <v>0</v>
      </c>
      <c r="C9" s="219">
        <f t="shared" si="0"/>
        <v>0</v>
      </c>
      <c r="D9" s="219">
        <f t="shared" si="0"/>
        <v>0</v>
      </c>
      <c r="E9" s="219">
        <f t="shared" si="0"/>
        <v>0</v>
      </c>
      <c r="F9" s="219">
        <f t="shared" si="0"/>
        <v>0</v>
      </c>
      <c r="G9" s="219">
        <f t="shared" si="0"/>
        <v>0</v>
      </c>
      <c r="H9" s="219">
        <f t="shared" si="0"/>
        <v>0</v>
      </c>
      <c r="I9" s="219">
        <f>I8*I7*1000</f>
        <v>0</v>
      </c>
      <c r="K9" s="212" t="s">
        <v>254</v>
      </c>
      <c r="L9" s="219">
        <f>L8*L7*1000</f>
        <v>52481.03448275863</v>
      </c>
      <c r="O9" s="212" t="s">
        <v>254</v>
      </c>
      <c r="P9" s="219">
        <f t="shared" ref="P9" si="1">P8*P7*1000</f>
        <v>0</v>
      </c>
    </row>
    <row r="10" spans="1:18" ht="15.75" thickBot="1" x14ac:dyDescent="0.3">
      <c r="A10" s="212" t="s">
        <v>255</v>
      </c>
      <c r="B10" s="220">
        <f t="shared" ref="B10:I10" si="2">+B9*B6</f>
        <v>0</v>
      </c>
      <c r="C10" s="220">
        <f t="shared" si="2"/>
        <v>0</v>
      </c>
      <c r="D10" s="220">
        <f t="shared" si="2"/>
        <v>0</v>
      </c>
      <c r="E10" s="220">
        <f t="shared" si="2"/>
        <v>0</v>
      </c>
      <c r="F10" s="220">
        <f t="shared" si="2"/>
        <v>0</v>
      </c>
      <c r="G10" s="220">
        <f t="shared" si="2"/>
        <v>0</v>
      </c>
      <c r="H10" s="220">
        <f t="shared" si="2"/>
        <v>0</v>
      </c>
      <c r="I10" s="221">
        <f t="shared" si="2"/>
        <v>0</v>
      </c>
      <c r="K10" s="212" t="s">
        <v>255</v>
      </c>
      <c r="L10" s="221">
        <f>+L9*L6*5.8</f>
        <v>413970.40000000008</v>
      </c>
      <c r="O10" s="212" t="s">
        <v>255</v>
      </c>
      <c r="P10" s="221">
        <f>+P9*P6*5.8</f>
        <v>0</v>
      </c>
    </row>
    <row r="11" spans="1:18" ht="15.75" thickTop="1" x14ac:dyDescent="0.25">
      <c r="A11" s="212" t="s">
        <v>256</v>
      </c>
      <c r="B11" s="222">
        <f t="shared" ref="B11:I11" si="3">-B10*0.2</f>
        <v>0</v>
      </c>
      <c r="C11" s="222">
        <f t="shared" si="3"/>
        <v>0</v>
      </c>
      <c r="D11" s="222">
        <f t="shared" si="3"/>
        <v>0</v>
      </c>
      <c r="E11" s="222">
        <f t="shared" si="3"/>
        <v>0</v>
      </c>
      <c r="F11" s="222">
        <f t="shared" si="3"/>
        <v>0</v>
      </c>
      <c r="G11" s="222">
        <f t="shared" si="3"/>
        <v>0</v>
      </c>
      <c r="H11" s="223">
        <f t="shared" si="3"/>
        <v>0</v>
      </c>
      <c r="I11" s="224">
        <f t="shared" si="3"/>
        <v>0</v>
      </c>
      <c r="J11" s="203" t="s">
        <v>257</v>
      </c>
      <c r="K11" s="212" t="s">
        <v>258</v>
      </c>
      <c r="L11" s="224">
        <f>-L10*0.07</f>
        <v>-28977.928000000007</v>
      </c>
      <c r="M11" s="203" t="s">
        <v>259</v>
      </c>
      <c r="O11" s="212" t="s">
        <v>258</v>
      </c>
      <c r="P11" s="224">
        <f>-P10*0.07</f>
        <v>0</v>
      </c>
      <c r="Q11" s="203" t="s">
        <v>259</v>
      </c>
    </row>
    <row r="12" spans="1:18" x14ac:dyDescent="0.25">
      <c r="A12" s="212" t="s">
        <v>260</v>
      </c>
      <c r="B12" s="222"/>
      <c r="C12" s="222"/>
      <c r="D12" s="222"/>
      <c r="E12" s="222"/>
      <c r="F12" s="222"/>
      <c r="G12" s="222"/>
      <c r="H12" s="223"/>
      <c r="I12" s="222">
        <v>0</v>
      </c>
      <c r="K12" s="212" t="s">
        <v>260</v>
      </c>
      <c r="L12" s="222">
        <v>-741666.77</v>
      </c>
      <c r="O12" s="212" t="s">
        <v>260</v>
      </c>
      <c r="P12" s="222">
        <v>0</v>
      </c>
    </row>
    <row r="13" spans="1:18" x14ac:dyDescent="0.25">
      <c r="A13" s="212" t="s">
        <v>261</v>
      </c>
      <c r="B13" s="222"/>
      <c r="C13" s="222"/>
      <c r="D13" s="222"/>
      <c r="E13" s="222"/>
      <c r="F13" s="222"/>
      <c r="G13" s="222"/>
      <c r="H13" s="223"/>
      <c r="I13" s="222"/>
      <c r="K13" s="212" t="s">
        <v>261</v>
      </c>
      <c r="L13" s="222"/>
      <c r="O13" s="212" t="s">
        <v>261</v>
      </c>
      <c r="P13" s="222"/>
    </row>
    <row r="14" spans="1:18" x14ac:dyDescent="0.25">
      <c r="A14" s="212" t="s">
        <v>262</v>
      </c>
      <c r="B14" s="222"/>
      <c r="C14" s="222"/>
      <c r="D14" s="222"/>
      <c r="E14" s="222"/>
      <c r="F14" s="222"/>
      <c r="G14" s="222"/>
      <c r="H14" s="223"/>
      <c r="I14" s="222">
        <f>-I8*I7*2706</f>
        <v>0</v>
      </c>
      <c r="J14" s="203" t="s">
        <v>263</v>
      </c>
      <c r="K14" s="212" t="s">
        <v>262</v>
      </c>
      <c r="L14" s="222">
        <f>-L8*L7*2706</f>
        <v>-142013.67931034486</v>
      </c>
      <c r="O14" s="212" t="s">
        <v>262</v>
      </c>
      <c r="P14" s="222">
        <f>-P8*P7*2706</f>
        <v>0</v>
      </c>
    </row>
    <row r="15" spans="1:18" x14ac:dyDescent="0.25">
      <c r="A15" s="212" t="s">
        <v>264</v>
      </c>
      <c r="B15" s="225">
        <f t="shared" ref="B15:H15" si="4">+B10+B11</f>
        <v>0</v>
      </c>
      <c r="C15" s="225">
        <f t="shared" si="4"/>
        <v>0</v>
      </c>
      <c r="D15" s="225">
        <f t="shared" si="4"/>
        <v>0</v>
      </c>
      <c r="E15" s="225">
        <f t="shared" si="4"/>
        <v>0</v>
      </c>
      <c r="F15" s="225">
        <f t="shared" si="4"/>
        <v>0</v>
      </c>
      <c r="G15" s="225">
        <f t="shared" si="4"/>
        <v>0</v>
      </c>
      <c r="H15" s="226">
        <f t="shared" si="4"/>
        <v>0</v>
      </c>
      <c r="I15" s="225">
        <f>+I10+I11+I12+I13+I14</f>
        <v>0</v>
      </c>
      <c r="K15" s="212" t="s">
        <v>264</v>
      </c>
      <c r="L15" s="225">
        <f>+L10+L11+L12+L13+L14</f>
        <v>-498687.97731034481</v>
      </c>
      <c r="O15" s="212" t="s">
        <v>264</v>
      </c>
      <c r="P15" s="225">
        <f>+P10+P11+P12+P13+P14</f>
        <v>0</v>
      </c>
    </row>
    <row r="16" spans="1:18" x14ac:dyDescent="0.25">
      <c r="A16" s="212" t="s">
        <v>265</v>
      </c>
      <c r="B16" s="222">
        <f t="shared" ref="B16:I16" si="5">-B15*0.85</f>
        <v>0</v>
      </c>
      <c r="C16" s="222">
        <f t="shared" si="5"/>
        <v>0</v>
      </c>
      <c r="D16" s="222">
        <f t="shared" si="5"/>
        <v>0</v>
      </c>
      <c r="E16" s="222">
        <f t="shared" si="5"/>
        <v>0</v>
      </c>
      <c r="F16" s="222">
        <f t="shared" si="5"/>
        <v>0</v>
      </c>
      <c r="G16" s="222">
        <f t="shared" si="5"/>
        <v>0</v>
      </c>
      <c r="H16" s="223">
        <f t="shared" si="5"/>
        <v>0</v>
      </c>
      <c r="I16" s="222">
        <f t="shared" si="5"/>
        <v>0</v>
      </c>
      <c r="J16" s="203" t="s">
        <v>266</v>
      </c>
      <c r="K16" s="212" t="s">
        <v>267</v>
      </c>
      <c r="L16" s="222">
        <f>-L15*0.3</f>
        <v>149606.39319310343</v>
      </c>
      <c r="O16" s="212" t="s">
        <v>267</v>
      </c>
      <c r="P16" s="222">
        <f>-P15*0.3</f>
        <v>0</v>
      </c>
    </row>
    <row r="17" spans="1:17" x14ac:dyDescent="0.25">
      <c r="A17" s="227"/>
      <c r="B17" s="228"/>
      <c r="C17" s="228"/>
      <c r="D17" s="228"/>
      <c r="E17" s="228"/>
      <c r="F17" s="228"/>
      <c r="G17" s="228"/>
      <c r="H17" s="228"/>
      <c r="I17" s="229"/>
      <c r="K17" s="227"/>
      <c r="L17" s="229"/>
      <c r="O17" s="227"/>
      <c r="P17" s="229"/>
    </row>
    <row r="18" spans="1:17" ht="15.75" thickBot="1" x14ac:dyDescent="0.3">
      <c r="A18" s="230" t="s">
        <v>268</v>
      </c>
      <c r="B18" s="231">
        <f t="shared" ref="B18:I18" si="6">+B15+B16</f>
        <v>0</v>
      </c>
      <c r="C18" s="231">
        <f t="shared" si="6"/>
        <v>0</v>
      </c>
      <c r="D18" s="231">
        <f t="shared" si="6"/>
        <v>0</v>
      </c>
      <c r="E18" s="231">
        <f t="shared" si="6"/>
        <v>0</v>
      </c>
      <c r="F18" s="231">
        <f t="shared" si="6"/>
        <v>0</v>
      </c>
      <c r="G18" s="231">
        <f t="shared" si="6"/>
        <v>0</v>
      </c>
      <c r="H18" s="231">
        <f t="shared" si="6"/>
        <v>0</v>
      </c>
      <c r="I18" s="220">
        <f t="shared" si="6"/>
        <v>0</v>
      </c>
      <c r="K18" s="230" t="s">
        <v>268</v>
      </c>
      <c r="L18" s="220">
        <f t="shared" ref="L18" si="7">+L15+L16</f>
        <v>-349081.58411724138</v>
      </c>
      <c r="O18" s="230" t="s">
        <v>268</v>
      </c>
      <c r="P18" s="220">
        <f t="shared" ref="P18" si="8">+P15+P16</f>
        <v>0</v>
      </c>
    </row>
    <row r="19" spans="1:17" ht="15.75" thickTop="1" x14ac:dyDescent="0.25"/>
    <row r="20" spans="1:17" ht="15.75" thickBot="1" x14ac:dyDescent="0.3">
      <c r="A20" s="203" t="s">
        <v>269</v>
      </c>
      <c r="I20" s="232">
        <f>I18-I14</f>
        <v>0</v>
      </c>
      <c r="J20" s="203" t="s">
        <v>270</v>
      </c>
      <c r="K20" s="203" t="s">
        <v>269</v>
      </c>
      <c r="L20" s="232">
        <f>L18-L14</f>
        <v>-207067.90480689652</v>
      </c>
      <c r="M20" s="203" t="s">
        <v>270</v>
      </c>
      <c r="O20" s="203" t="s">
        <v>269</v>
      </c>
      <c r="P20" s="232">
        <f>P18-P14</f>
        <v>0</v>
      </c>
      <c r="Q20" s="203" t="s">
        <v>270</v>
      </c>
    </row>
    <row r="21" spans="1:17" ht="15.75" thickTop="1" x14ac:dyDescent="0.25"/>
    <row r="22" spans="1:17" x14ac:dyDescent="0.25">
      <c r="A22" s="210" t="s">
        <v>245</v>
      </c>
      <c r="I22" s="211">
        <v>0</v>
      </c>
    </row>
    <row r="23" spans="1:17" x14ac:dyDescent="0.25">
      <c r="A23" s="210" t="s">
        <v>271</v>
      </c>
      <c r="I23" s="211">
        <v>0</v>
      </c>
    </row>
    <row r="24" spans="1:17" x14ac:dyDescent="0.25">
      <c r="A24" s="203" t="s">
        <v>272</v>
      </c>
      <c r="I24" s="233">
        <f>I23+I22+I20</f>
        <v>0</v>
      </c>
    </row>
    <row r="25" spans="1:17" x14ac:dyDescent="0.25">
      <c r="A25" s="203" t="s">
        <v>273</v>
      </c>
      <c r="B25" s="234">
        <v>2014</v>
      </c>
      <c r="C25" s="234"/>
      <c r="D25" s="234"/>
      <c r="E25" s="234"/>
      <c r="F25" s="234"/>
      <c r="G25" s="234"/>
      <c r="H25" s="234"/>
      <c r="I25" s="235">
        <f>I24*0.3</f>
        <v>0</v>
      </c>
      <c r="K25" s="203" t="s">
        <v>274</v>
      </c>
      <c r="L25" s="235">
        <f>L20*0.3</f>
        <v>-62120.37144206895</v>
      </c>
      <c r="O25" s="203" t="s">
        <v>273</v>
      </c>
      <c r="P25" s="235">
        <f>P20*0.3</f>
        <v>0</v>
      </c>
    </row>
    <row r="26" spans="1:17" hidden="1" x14ac:dyDescent="0.25"/>
    <row r="27" spans="1:17" hidden="1" x14ac:dyDescent="0.25"/>
    <row r="28" spans="1:17" hidden="1" x14ac:dyDescent="0.25"/>
    <row r="29" spans="1:17" hidden="1" x14ac:dyDescent="0.25"/>
    <row r="30" spans="1:17" x14ac:dyDescent="0.25">
      <c r="P30" s="233"/>
    </row>
    <row r="32" spans="1:17" x14ac:dyDescent="0.25">
      <c r="A32" s="203" t="s">
        <v>275</v>
      </c>
      <c r="I32" s="233">
        <f>I25+L25+P25</f>
        <v>-62120.37144206895</v>
      </c>
    </row>
    <row r="33" spans="1:18" x14ac:dyDescent="0.25">
      <c r="I33" s="233"/>
      <c r="J33" s="233"/>
    </row>
    <row r="34" spans="1:18" x14ac:dyDescent="0.25">
      <c r="A34" s="203" t="s">
        <v>277</v>
      </c>
      <c r="I34" s="233">
        <f>I32/2</f>
        <v>-31060.185721034475</v>
      </c>
    </row>
    <row r="35" spans="1:18" x14ac:dyDescent="0.25">
      <c r="I35" s="233"/>
    </row>
    <row r="37" spans="1:18" x14ac:dyDescent="0.25">
      <c r="I37" s="233"/>
    </row>
    <row r="39" spans="1:18" ht="22.5" customHeight="1" x14ac:dyDescent="0.25">
      <c r="B39" s="204"/>
      <c r="C39" s="204"/>
      <c r="D39" s="204"/>
      <c r="E39" s="204"/>
      <c r="F39" s="204"/>
      <c r="G39" s="204"/>
      <c r="H39" s="204"/>
      <c r="I39" s="204"/>
      <c r="L39" s="204"/>
      <c r="P39" s="204"/>
    </row>
    <row r="40" spans="1:18" ht="18.75" x14ac:dyDescent="0.3">
      <c r="A40" s="205" t="s">
        <v>241</v>
      </c>
      <c r="B40" s="206">
        <v>2008</v>
      </c>
      <c r="C40" s="206">
        <v>2009</v>
      </c>
      <c r="D40" s="206">
        <v>2010</v>
      </c>
      <c r="E40" s="206">
        <v>2011</v>
      </c>
      <c r="F40" s="206">
        <v>2012</v>
      </c>
      <c r="G40" s="206">
        <v>2013</v>
      </c>
      <c r="H40" s="206">
        <v>2014</v>
      </c>
      <c r="I40" s="206">
        <v>2019</v>
      </c>
      <c r="J40" s="207"/>
      <c r="K40" s="205" t="s">
        <v>242</v>
      </c>
      <c r="L40" s="206">
        <v>2019</v>
      </c>
      <c r="M40" s="208"/>
      <c r="O40" s="205" t="s">
        <v>243</v>
      </c>
      <c r="P40" s="206">
        <v>2019</v>
      </c>
      <c r="Q40" s="209"/>
    </row>
    <row r="41" spans="1:18" x14ac:dyDescent="0.25">
      <c r="A41" s="210" t="s">
        <v>244</v>
      </c>
      <c r="K41" s="210" t="s">
        <v>244</v>
      </c>
      <c r="M41" s="207"/>
      <c r="O41" s="210" t="s">
        <v>244</v>
      </c>
    </row>
    <row r="42" spans="1:18" x14ac:dyDescent="0.25">
      <c r="A42" s="210" t="s">
        <v>245</v>
      </c>
      <c r="I42" s="211">
        <v>0</v>
      </c>
      <c r="K42" s="210"/>
      <c r="L42" s="211"/>
      <c r="M42" s="207"/>
      <c r="O42" s="210"/>
    </row>
    <row r="43" spans="1:18" x14ac:dyDescent="0.25">
      <c r="A43" s="210" t="s">
        <v>246</v>
      </c>
      <c r="I43" s="211">
        <f>I42*0.2</f>
        <v>0</v>
      </c>
      <c r="K43" s="210"/>
      <c r="L43" s="211"/>
      <c r="M43" s="207"/>
      <c r="O43" s="210"/>
    </row>
    <row r="44" spans="1:18" x14ac:dyDescent="0.25">
      <c r="A44" s="212" t="s">
        <v>247</v>
      </c>
      <c r="B44" s="213"/>
      <c r="C44" s="213"/>
      <c r="D44" s="213"/>
      <c r="E44" s="213"/>
      <c r="F44" s="213"/>
      <c r="G44" s="213"/>
      <c r="H44" s="213"/>
      <c r="I44" s="213">
        <v>61.27</v>
      </c>
      <c r="J44" s="203" t="s">
        <v>248</v>
      </c>
      <c r="K44" s="212" t="s">
        <v>249</v>
      </c>
      <c r="L44" s="214">
        <v>1.36</v>
      </c>
      <c r="M44" s="203" t="s">
        <v>248</v>
      </c>
      <c r="O44" s="212" t="s">
        <v>249</v>
      </c>
      <c r="P44" s="215">
        <v>2.5099999999999998</v>
      </c>
      <c r="Q44" s="203" t="s">
        <v>248</v>
      </c>
      <c r="R44" s="207"/>
    </row>
    <row r="45" spans="1:18" x14ac:dyDescent="0.25">
      <c r="A45" s="212" t="s">
        <v>250</v>
      </c>
      <c r="B45" s="216">
        <v>366</v>
      </c>
      <c r="C45" s="216">
        <v>365</v>
      </c>
      <c r="D45" s="216">
        <v>365</v>
      </c>
      <c r="E45" s="216">
        <v>365</v>
      </c>
      <c r="F45" s="216">
        <v>366</v>
      </c>
      <c r="G45" s="216">
        <v>365</v>
      </c>
      <c r="H45" s="216">
        <v>365</v>
      </c>
      <c r="I45" s="216">
        <v>365</v>
      </c>
      <c r="K45" s="212" t="s">
        <v>250</v>
      </c>
      <c r="L45" s="216">
        <v>365</v>
      </c>
      <c r="O45" s="212" t="s">
        <v>250</v>
      </c>
      <c r="P45" s="236">
        <v>365</v>
      </c>
    </row>
    <row r="46" spans="1:18" x14ac:dyDescent="0.25">
      <c r="A46" s="212" t="s">
        <v>251</v>
      </c>
      <c r="B46" s="217"/>
      <c r="C46" s="217"/>
      <c r="D46" s="217"/>
      <c r="E46" s="217"/>
      <c r="F46" s="217"/>
      <c r="G46" s="217"/>
      <c r="H46" s="217"/>
      <c r="I46" s="218">
        <v>0</v>
      </c>
      <c r="J46" s="203" t="s">
        <v>252</v>
      </c>
      <c r="K46" s="212" t="s">
        <v>251</v>
      </c>
      <c r="L46" s="209">
        <f>4.99/5.8</f>
        <v>0.86034482758620701</v>
      </c>
      <c r="M46" s="203" t="s">
        <v>252</v>
      </c>
      <c r="O46" s="212" t="s">
        <v>251</v>
      </c>
      <c r="P46" s="209">
        <v>0</v>
      </c>
      <c r="Q46" s="203" t="s">
        <v>252</v>
      </c>
    </row>
    <row r="47" spans="1:18" x14ac:dyDescent="0.25">
      <c r="A47" s="212" t="s">
        <v>253</v>
      </c>
      <c r="B47" s="219">
        <f t="shared" ref="B47:H47" si="9">B46*B45*1000</f>
        <v>0</v>
      </c>
      <c r="C47" s="219">
        <f t="shared" si="9"/>
        <v>0</v>
      </c>
      <c r="D47" s="219">
        <f t="shared" si="9"/>
        <v>0</v>
      </c>
      <c r="E47" s="219">
        <f t="shared" si="9"/>
        <v>0</v>
      </c>
      <c r="F47" s="219">
        <f t="shared" si="9"/>
        <v>0</v>
      </c>
      <c r="G47" s="219">
        <f t="shared" si="9"/>
        <v>0</v>
      </c>
      <c r="H47" s="219">
        <f t="shared" si="9"/>
        <v>0</v>
      </c>
      <c r="I47" s="219">
        <f>I46*I45*1000</f>
        <v>0</v>
      </c>
      <c r="K47" s="212" t="s">
        <v>254</v>
      </c>
      <c r="L47" s="219">
        <f>L46*L45*1000</f>
        <v>314025.86206896557</v>
      </c>
      <c r="O47" s="212" t="s">
        <v>254</v>
      </c>
      <c r="P47" s="219">
        <f t="shared" ref="P47" si="10">P46*P45*1000</f>
        <v>0</v>
      </c>
    </row>
    <row r="48" spans="1:18" ht="15.75" thickBot="1" x14ac:dyDescent="0.3">
      <c r="A48" s="212" t="s">
        <v>255</v>
      </c>
      <c r="B48" s="220">
        <f t="shared" ref="B48:I48" si="11">+B47*B44</f>
        <v>0</v>
      </c>
      <c r="C48" s="220">
        <f t="shared" si="11"/>
        <v>0</v>
      </c>
      <c r="D48" s="220">
        <f t="shared" si="11"/>
        <v>0</v>
      </c>
      <c r="E48" s="220">
        <f t="shared" si="11"/>
        <v>0</v>
      </c>
      <c r="F48" s="220">
        <f t="shared" si="11"/>
        <v>0</v>
      </c>
      <c r="G48" s="220">
        <f t="shared" si="11"/>
        <v>0</v>
      </c>
      <c r="H48" s="220">
        <f t="shared" si="11"/>
        <v>0</v>
      </c>
      <c r="I48" s="221">
        <f t="shared" si="11"/>
        <v>0</v>
      </c>
      <c r="K48" s="212" t="s">
        <v>255</v>
      </c>
      <c r="L48" s="221">
        <f>+L47*L44*5.8</f>
        <v>2477036.0000000005</v>
      </c>
      <c r="O48" s="212" t="s">
        <v>255</v>
      </c>
      <c r="P48" s="221">
        <f>+P47*P44*5.8</f>
        <v>0</v>
      </c>
    </row>
    <row r="49" spans="1:17" ht="15.75" thickTop="1" x14ac:dyDescent="0.25">
      <c r="A49" s="212" t="s">
        <v>256</v>
      </c>
      <c r="B49" s="222">
        <f t="shared" ref="B49:I49" si="12">-B48*0.2</f>
        <v>0</v>
      </c>
      <c r="C49" s="222">
        <f t="shared" si="12"/>
        <v>0</v>
      </c>
      <c r="D49" s="222">
        <f t="shared" si="12"/>
        <v>0</v>
      </c>
      <c r="E49" s="222">
        <f t="shared" si="12"/>
        <v>0</v>
      </c>
      <c r="F49" s="222">
        <f t="shared" si="12"/>
        <v>0</v>
      </c>
      <c r="G49" s="222">
        <f t="shared" si="12"/>
        <v>0</v>
      </c>
      <c r="H49" s="223">
        <f t="shared" si="12"/>
        <v>0</v>
      </c>
      <c r="I49" s="224">
        <f t="shared" si="12"/>
        <v>0</v>
      </c>
      <c r="J49" s="203" t="s">
        <v>257</v>
      </c>
      <c r="K49" s="212" t="s">
        <v>258</v>
      </c>
      <c r="L49" s="224">
        <f>-L48*0.07</f>
        <v>-173392.52000000005</v>
      </c>
      <c r="M49" s="203" t="s">
        <v>259</v>
      </c>
      <c r="O49" s="212" t="s">
        <v>258</v>
      </c>
      <c r="P49" s="224">
        <f>-P48*0.07</f>
        <v>0</v>
      </c>
      <c r="Q49" s="203" t="s">
        <v>259</v>
      </c>
    </row>
    <row r="50" spans="1:17" x14ac:dyDescent="0.25">
      <c r="A50" s="212" t="s">
        <v>260</v>
      </c>
      <c r="B50" s="222"/>
      <c r="C50" s="222"/>
      <c r="D50" s="222"/>
      <c r="E50" s="222"/>
      <c r="F50" s="222"/>
      <c r="G50" s="222"/>
      <c r="H50" s="223"/>
      <c r="I50" s="222">
        <v>0</v>
      </c>
      <c r="K50" s="212" t="s">
        <v>260</v>
      </c>
      <c r="L50" s="222">
        <v>0</v>
      </c>
      <c r="O50" s="212" t="s">
        <v>260</v>
      </c>
      <c r="P50" s="222"/>
    </row>
    <row r="51" spans="1:17" x14ac:dyDescent="0.25">
      <c r="A51" s="212" t="s">
        <v>261</v>
      </c>
      <c r="B51" s="222"/>
      <c r="C51" s="222"/>
      <c r="D51" s="222"/>
      <c r="E51" s="222"/>
      <c r="F51" s="222"/>
      <c r="G51" s="222"/>
      <c r="H51" s="223"/>
      <c r="I51" s="222"/>
      <c r="K51" s="212" t="s">
        <v>261</v>
      </c>
      <c r="L51" s="222"/>
      <c r="O51" s="212" t="s">
        <v>261</v>
      </c>
      <c r="P51" s="222"/>
    </row>
    <row r="52" spans="1:17" x14ac:dyDescent="0.25">
      <c r="A52" s="212" t="s">
        <v>262</v>
      </c>
      <c r="B52" s="222"/>
      <c r="C52" s="222"/>
      <c r="D52" s="222"/>
      <c r="E52" s="222"/>
      <c r="F52" s="222"/>
      <c r="G52" s="222"/>
      <c r="H52" s="223"/>
      <c r="I52" s="222">
        <f>-I46*I45*2706</f>
        <v>0</v>
      </c>
      <c r="J52" s="203" t="s">
        <v>263</v>
      </c>
      <c r="K52" s="212" t="s">
        <v>262</v>
      </c>
      <c r="L52" s="222">
        <f>-L46*L45*2706</f>
        <v>-849753.98275862087</v>
      </c>
      <c r="O52" s="212" t="s">
        <v>262</v>
      </c>
      <c r="P52" s="222">
        <f>-P46*P45*2706</f>
        <v>0</v>
      </c>
    </row>
    <row r="53" spans="1:17" x14ac:dyDescent="0.25">
      <c r="A53" s="212" t="s">
        <v>264</v>
      </c>
      <c r="B53" s="225">
        <f t="shared" ref="B53:H53" si="13">+B48+B49</f>
        <v>0</v>
      </c>
      <c r="C53" s="225">
        <f t="shared" si="13"/>
        <v>0</v>
      </c>
      <c r="D53" s="225">
        <f t="shared" si="13"/>
        <v>0</v>
      </c>
      <c r="E53" s="225">
        <f t="shared" si="13"/>
        <v>0</v>
      </c>
      <c r="F53" s="225">
        <f t="shared" si="13"/>
        <v>0</v>
      </c>
      <c r="G53" s="225">
        <f t="shared" si="13"/>
        <v>0</v>
      </c>
      <c r="H53" s="226">
        <f t="shared" si="13"/>
        <v>0</v>
      </c>
      <c r="I53" s="225">
        <f>+I48+I49+I50+I51+I52</f>
        <v>0</v>
      </c>
      <c r="K53" s="212" t="s">
        <v>264</v>
      </c>
      <c r="L53" s="225">
        <f>+L48+L49+L50+L51+L52</f>
        <v>1453889.4972413797</v>
      </c>
      <c r="O53" s="212" t="s">
        <v>264</v>
      </c>
      <c r="P53" s="225">
        <f>+P48+P49+P50+P51+P52</f>
        <v>0</v>
      </c>
    </row>
    <row r="54" spans="1:17" x14ac:dyDescent="0.25">
      <c r="A54" s="212" t="s">
        <v>265</v>
      </c>
      <c r="B54" s="222">
        <f t="shared" ref="B54:I54" si="14">-B53*0.85</f>
        <v>0</v>
      </c>
      <c r="C54" s="222">
        <f t="shared" si="14"/>
        <v>0</v>
      </c>
      <c r="D54" s="222">
        <f t="shared" si="14"/>
        <v>0</v>
      </c>
      <c r="E54" s="222">
        <f t="shared" si="14"/>
        <v>0</v>
      </c>
      <c r="F54" s="222">
        <f t="shared" si="14"/>
        <v>0</v>
      </c>
      <c r="G54" s="222">
        <f t="shared" si="14"/>
        <v>0</v>
      </c>
      <c r="H54" s="223">
        <f t="shared" si="14"/>
        <v>0</v>
      </c>
      <c r="I54" s="222">
        <f t="shared" si="14"/>
        <v>0</v>
      </c>
      <c r="J54" s="203" t="s">
        <v>266</v>
      </c>
      <c r="K54" s="212" t="s">
        <v>267</v>
      </c>
      <c r="L54" s="222">
        <f>-L53*0.3</f>
        <v>-436166.84917241387</v>
      </c>
      <c r="O54" s="212" t="s">
        <v>267</v>
      </c>
      <c r="P54" s="222">
        <f>-P53*0.3</f>
        <v>0</v>
      </c>
    </row>
    <row r="55" spans="1:17" x14ac:dyDescent="0.25">
      <c r="A55" s="227"/>
      <c r="B55" s="228"/>
      <c r="C55" s="228"/>
      <c r="D55" s="228"/>
      <c r="E55" s="228"/>
      <c r="F55" s="228"/>
      <c r="G55" s="228"/>
      <c r="H55" s="228"/>
      <c r="I55" s="229"/>
      <c r="K55" s="227"/>
      <c r="L55" s="229"/>
      <c r="O55" s="227"/>
      <c r="P55" s="229"/>
    </row>
    <row r="56" spans="1:17" ht="15.75" thickBot="1" x14ac:dyDescent="0.3">
      <c r="A56" s="230" t="s">
        <v>268</v>
      </c>
      <c r="B56" s="231">
        <f t="shared" ref="B56:I56" si="15">+B53+B54</f>
        <v>0</v>
      </c>
      <c r="C56" s="231">
        <f t="shared" si="15"/>
        <v>0</v>
      </c>
      <c r="D56" s="231">
        <f t="shared" si="15"/>
        <v>0</v>
      </c>
      <c r="E56" s="231">
        <f t="shared" si="15"/>
        <v>0</v>
      </c>
      <c r="F56" s="231">
        <f t="shared" si="15"/>
        <v>0</v>
      </c>
      <c r="G56" s="231">
        <f t="shared" si="15"/>
        <v>0</v>
      </c>
      <c r="H56" s="231">
        <f t="shared" si="15"/>
        <v>0</v>
      </c>
      <c r="I56" s="220">
        <f t="shared" si="15"/>
        <v>0</v>
      </c>
      <c r="K56" s="230" t="s">
        <v>268</v>
      </c>
      <c r="L56" s="220">
        <f t="shared" ref="L56" si="16">+L53+L54</f>
        <v>1017722.6480689659</v>
      </c>
      <c r="O56" s="230" t="s">
        <v>268</v>
      </c>
      <c r="P56" s="220">
        <f t="shared" ref="P56" si="17">+P53+P54</f>
        <v>0</v>
      </c>
    </row>
    <row r="57" spans="1:17" ht="15.75" thickTop="1" x14ac:dyDescent="0.25"/>
    <row r="58" spans="1:17" ht="15.75" thickBot="1" x14ac:dyDescent="0.3">
      <c r="A58" s="203" t="s">
        <v>269</v>
      </c>
      <c r="I58" s="232">
        <f>I56-I52</f>
        <v>0</v>
      </c>
      <c r="J58" s="203" t="s">
        <v>270</v>
      </c>
      <c r="K58" s="203" t="s">
        <v>269</v>
      </c>
      <c r="L58" s="232">
        <f>L56-L52</f>
        <v>1867476.6308275866</v>
      </c>
      <c r="M58" s="203" t="s">
        <v>270</v>
      </c>
      <c r="O58" s="203" t="s">
        <v>269</v>
      </c>
      <c r="P58" s="232">
        <f>P56-P52</f>
        <v>0</v>
      </c>
      <c r="Q58" s="203" t="s">
        <v>270</v>
      </c>
    </row>
    <row r="59" spans="1:17" ht="15.75" thickTop="1" x14ac:dyDescent="0.25"/>
    <row r="60" spans="1:17" x14ac:dyDescent="0.25">
      <c r="A60" s="210" t="s">
        <v>245</v>
      </c>
      <c r="I60" s="211">
        <v>0</v>
      </c>
    </row>
    <row r="61" spans="1:17" x14ac:dyDescent="0.25">
      <c r="A61" s="210" t="s">
        <v>271</v>
      </c>
      <c r="I61" s="211">
        <f>-I60*0.2*0.85</f>
        <v>0</v>
      </c>
    </row>
    <row r="62" spans="1:17" x14ac:dyDescent="0.25">
      <c r="A62" s="203" t="s">
        <v>272</v>
      </c>
      <c r="I62" s="233">
        <f>I61+I60+I58</f>
        <v>0</v>
      </c>
    </row>
    <row r="63" spans="1:17" x14ac:dyDescent="0.25">
      <c r="A63" s="203" t="s">
        <v>273</v>
      </c>
      <c r="B63" s="234">
        <v>2014</v>
      </c>
      <c r="C63" s="234"/>
      <c r="D63" s="234"/>
      <c r="E63" s="234"/>
      <c r="F63" s="234"/>
      <c r="G63" s="234"/>
      <c r="H63" s="234"/>
      <c r="I63" s="235">
        <f>I62*0.3</f>
        <v>0</v>
      </c>
      <c r="K63" s="203" t="s">
        <v>274</v>
      </c>
      <c r="L63" s="235">
        <f>L58*0.3</f>
        <v>560242.98924827599</v>
      </c>
      <c r="O63" s="203" t="s">
        <v>273</v>
      </c>
      <c r="P63" s="235">
        <f>P58*0.3</f>
        <v>0</v>
      </c>
    </row>
    <row r="64" spans="1:17" hidden="1" x14ac:dyDescent="0.25"/>
    <row r="65" spans="1:16" hidden="1" x14ac:dyDescent="0.25"/>
    <row r="66" spans="1:16" hidden="1" x14ac:dyDescent="0.25"/>
    <row r="67" spans="1:16" hidden="1" x14ac:dyDescent="0.25"/>
    <row r="68" spans="1:16" x14ac:dyDescent="0.25">
      <c r="P68" s="233"/>
    </row>
    <row r="70" spans="1:16" x14ac:dyDescent="0.25">
      <c r="A70" s="203" t="s">
        <v>275</v>
      </c>
      <c r="I70" s="233">
        <f>I63+L63+P63</f>
        <v>560242.98924827599</v>
      </c>
    </row>
    <row r="71" spans="1:16" x14ac:dyDescent="0.25">
      <c r="A71" s="210" t="s">
        <v>276</v>
      </c>
      <c r="B71" s="210"/>
      <c r="C71" s="210"/>
      <c r="D71" s="210"/>
      <c r="E71" s="210"/>
      <c r="F71" s="210"/>
      <c r="G71" s="210"/>
      <c r="H71" s="210"/>
      <c r="I71" s="237">
        <f>I70/12</f>
        <v>46686.915770689666</v>
      </c>
      <c r="J71" s="23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3" workbookViewId="0">
      <selection activeCell="C48" sqref="C48"/>
    </sheetView>
  </sheetViews>
  <sheetFormatPr defaultRowHeight="12.75" x14ac:dyDescent="0.2"/>
  <cols>
    <col min="1" max="1" width="7.140625" customWidth="1"/>
    <col min="2" max="2" width="30" customWidth="1"/>
    <col min="3" max="3" width="21" customWidth="1"/>
  </cols>
  <sheetData>
    <row r="1" spans="1:3" ht="25.5" x14ac:dyDescent="0.35">
      <c r="A1" s="20" t="s">
        <v>214</v>
      </c>
    </row>
    <row r="4" spans="1:3" x14ac:dyDescent="0.2">
      <c r="A4" s="21" t="s">
        <v>145</v>
      </c>
      <c r="B4" s="21" t="s">
        <v>125</v>
      </c>
      <c r="C4" s="21" t="s">
        <v>146</v>
      </c>
    </row>
    <row r="5" spans="1:3" x14ac:dyDescent="0.2">
      <c r="A5" s="17">
        <v>1</v>
      </c>
      <c r="B5" s="19" t="s">
        <v>154</v>
      </c>
      <c r="C5" s="18">
        <f>Scaffolding!H46</f>
        <v>89160.93526007465</v>
      </c>
    </row>
    <row r="6" spans="1:3" x14ac:dyDescent="0.2">
      <c r="A6" s="17">
        <v>2</v>
      </c>
      <c r="B6" s="19" t="s">
        <v>147</v>
      </c>
      <c r="C6" s="18">
        <f>'Installation Works'!H230</f>
        <v>383005.8298533457</v>
      </c>
    </row>
    <row r="7" spans="1:3" x14ac:dyDescent="0.2">
      <c r="A7" s="17">
        <v>3</v>
      </c>
      <c r="B7" s="19" t="s">
        <v>206</v>
      </c>
      <c r="C7" s="18">
        <f>'PACO Works'!F8</f>
        <v>269500</v>
      </c>
    </row>
    <row r="8" spans="1:3" x14ac:dyDescent="0.2">
      <c r="A8" s="17"/>
      <c r="B8" s="104" t="s">
        <v>118</v>
      </c>
      <c r="C8" s="147">
        <f>SUM(C5:C7)</f>
        <v>741666.76511342032</v>
      </c>
    </row>
    <row r="13" spans="1:3" x14ac:dyDescent="0.2">
      <c r="C13" s="154"/>
    </row>
    <row r="14" spans="1:3" x14ac:dyDescent="0.2">
      <c r="B14" s="178" t="s">
        <v>239</v>
      </c>
      <c r="C14" s="152"/>
    </row>
    <row r="15" spans="1:3" x14ac:dyDescent="0.2">
      <c r="C15" s="152"/>
    </row>
    <row r="16" spans="1:3" x14ac:dyDescent="0.2">
      <c r="C16" s="152"/>
    </row>
    <row r="17" spans="3:3" x14ac:dyDescent="0.2">
      <c r="C17" s="152"/>
    </row>
    <row r="18" spans="3:3" x14ac:dyDescent="0.2">
      <c r="C18" s="152"/>
    </row>
    <row r="19" spans="3:3" x14ac:dyDescent="0.2">
      <c r="C19" s="152"/>
    </row>
    <row r="20" spans="3:3" x14ac:dyDescent="0.2">
      <c r="C20" s="153"/>
    </row>
    <row r="40" spans="2:4" x14ac:dyDescent="0.2">
      <c r="B40" s="178" t="s">
        <v>240</v>
      </c>
    </row>
    <row r="41" spans="2:4" x14ac:dyDescent="0.2">
      <c r="B41">
        <f>0.25*365</f>
        <v>91.25</v>
      </c>
    </row>
    <row r="43" spans="2:4" x14ac:dyDescent="0.2">
      <c r="B43" s="238" t="s">
        <v>278</v>
      </c>
      <c r="C43">
        <f>20*91/365</f>
        <v>4.9863013698630141</v>
      </c>
      <c r="D43" s="238" t="s">
        <v>279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6"/>
  <sheetViews>
    <sheetView topLeftCell="A16" zoomScaleNormal="100" workbookViewId="0">
      <selection activeCell="F54" sqref="F54"/>
    </sheetView>
  </sheetViews>
  <sheetFormatPr defaultColWidth="8.7109375" defaultRowHeight="12.75" x14ac:dyDescent="0.2"/>
  <cols>
    <col min="1" max="1" width="6" style="30" customWidth="1"/>
    <col min="2" max="2" width="39.5703125" style="69" customWidth="1"/>
    <col min="3" max="3" width="10.85546875" style="26" customWidth="1"/>
    <col min="4" max="4" width="9.140625" style="28" bestFit="1" customWidth="1"/>
    <col min="5" max="5" width="11.140625" style="28" bestFit="1" customWidth="1"/>
    <col min="6" max="6" width="17.42578125" style="29" bestFit="1" customWidth="1"/>
    <col min="7" max="7" width="11.140625" style="28" bestFit="1" customWidth="1"/>
    <col min="8" max="8" width="13.85546875" style="28" bestFit="1" customWidth="1"/>
    <col min="9" max="11" width="8.7109375" style="29"/>
    <col min="12" max="12" width="35.42578125" style="29" bestFit="1" customWidth="1"/>
    <col min="13" max="13" width="12.140625" style="29" customWidth="1"/>
    <col min="14" max="14" width="14.140625" style="29" customWidth="1"/>
    <col min="15" max="15" width="13.140625" style="29" customWidth="1"/>
    <col min="16" max="16" width="10.140625" style="29" bestFit="1" customWidth="1"/>
    <col min="17" max="17" width="11.140625" style="29" bestFit="1" customWidth="1"/>
    <col min="18" max="18" width="13.85546875" style="29" bestFit="1" customWidth="1"/>
    <col min="19" max="16384" width="8.7109375" style="29"/>
  </cols>
  <sheetData>
    <row r="1" spans="1:8" ht="23.25" x14ac:dyDescent="0.35">
      <c r="A1" s="24" t="s">
        <v>154</v>
      </c>
      <c r="B1" s="25"/>
      <c r="D1" s="22"/>
      <c r="E1" s="23"/>
      <c r="F1" s="23"/>
      <c r="G1" s="27"/>
    </row>
    <row r="2" spans="1:8" ht="12" customHeight="1" x14ac:dyDescent="0.2">
      <c r="B2" s="25"/>
      <c r="D2" s="23"/>
      <c r="E2" s="23"/>
      <c r="F2" s="23"/>
      <c r="G2" s="27"/>
    </row>
    <row r="3" spans="1:8" ht="18.75" thickBot="1" x14ac:dyDescent="0.3">
      <c r="B3" s="31" t="s">
        <v>162</v>
      </c>
      <c r="D3" s="23"/>
      <c r="E3" s="23"/>
      <c r="F3" s="23"/>
      <c r="G3" s="27"/>
    </row>
    <row r="4" spans="1:8" ht="31.5" customHeight="1" x14ac:dyDescent="0.2">
      <c r="A4" s="32" t="s">
        <v>83</v>
      </c>
      <c r="B4" s="33" t="s">
        <v>0</v>
      </c>
      <c r="C4" s="34" t="s">
        <v>1</v>
      </c>
      <c r="D4" s="190" t="s">
        <v>117</v>
      </c>
      <c r="E4" s="191"/>
      <c r="F4" s="34" t="s">
        <v>119</v>
      </c>
      <c r="G4" s="190" t="s">
        <v>21</v>
      </c>
      <c r="H4" s="191"/>
    </row>
    <row r="5" spans="1:8" ht="18.75" customHeight="1" x14ac:dyDescent="0.2">
      <c r="A5" s="35"/>
      <c r="B5" s="36"/>
      <c r="C5" s="37"/>
      <c r="D5" s="192" t="s">
        <v>2</v>
      </c>
      <c r="E5" s="193" t="s">
        <v>3</v>
      </c>
      <c r="F5" s="5"/>
      <c r="G5" s="192" t="s">
        <v>2</v>
      </c>
      <c r="H5" s="193" t="s">
        <v>3</v>
      </c>
    </row>
    <row r="6" spans="1:8" ht="27.75" hidden="1" customHeight="1" x14ac:dyDescent="0.2">
      <c r="A6" s="35"/>
      <c r="B6" s="36"/>
      <c r="C6" s="37"/>
      <c r="D6" s="192"/>
      <c r="E6" s="193"/>
      <c r="F6" s="5"/>
      <c r="G6" s="194"/>
      <c r="H6" s="195"/>
    </row>
    <row r="7" spans="1:8" x14ac:dyDescent="0.2">
      <c r="A7" s="38">
        <v>1</v>
      </c>
      <c r="B7" s="39" t="s">
        <v>156</v>
      </c>
      <c r="C7" s="15"/>
      <c r="D7" s="40"/>
      <c r="E7" s="41"/>
      <c r="F7" s="42"/>
      <c r="G7" s="40"/>
      <c r="H7" s="103"/>
    </row>
    <row r="8" spans="1:8" x14ac:dyDescent="0.2">
      <c r="A8" s="1"/>
      <c r="B8" s="7" t="s">
        <v>155</v>
      </c>
      <c r="C8" s="14" t="s">
        <v>56</v>
      </c>
      <c r="D8" s="40">
        <v>1800</v>
      </c>
      <c r="E8" s="41">
        <v>85000</v>
      </c>
      <c r="F8" s="42">
        <v>1</v>
      </c>
      <c r="G8" s="40">
        <f t="shared" ref="G8:G13" si="0">D8*F8</f>
        <v>1800</v>
      </c>
      <c r="H8" s="103">
        <f t="shared" ref="H8:H13" si="1">E8*F8</f>
        <v>85000</v>
      </c>
    </row>
    <row r="9" spans="1:8" x14ac:dyDescent="0.2">
      <c r="A9" s="1">
        <v>2</v>
      </c>
      <c r="B9" s="39" t="s">
        <v>159</v>
      </c>
      <c r="C9" s="43"/>
      <c r="D9" s="40">
        <v>0</v>
      </c>
      <c r="E9" s="41">
        <v>0</v>
      </c>
      <c r="F9" s="42"/>
      <c r="G9" s="40">
        <f t="shared" si="0"/>
        <v>0</v>
      </c>
      <c r="H9" s="103">
        <f t="shared" si="1"/>
        <v>0</v>
      </c>
    </row>
    <row r="10" spans="1:8" ht="15" customHeight="1" x14ac:dyDescent="0.2">
      <c r="A10" s="44" t="s">
        <v>4</v>
      </c>
      <c r="B10" s="45" t="s">
        <v>157</v>
      </c>
      <c r="C10" s="46" t="s">
        <v>160</v>
      </c>
      <c r="D10" s="40">
        <v>0</v>
      </c>
      <c r="E10" s="41">
        <v>16000</v>
      </c>
      <c r="F10" s="42">
        <f>10*60</f>
        <v>600</v>
      </c>
      <c r="G10" s="40">
        <f t="shared" si="0"/>
        <v>0</v>
      </c>
      <c r="H10" s="103">
        <f t="shared" si="1"/>
        <v>9600000</v>
      </c>
    </row>
    <row r="11" spans="1:8" ht="15" customHeight="1" x14ac:dyDescent="0.2">
      <c r="A11" s="44" t="s">
        <v>6</v>
      </c>
      <c r="B11" s="45" t="s">
        <v>158</v>
      </c>
      <c r="C11" s="46" t="s">
        <v>160</v>
      </c>
      <c r="D11" s="40">
        <v>0</v>
      </c>
      <c r="E11" s="41">
        <v>19000</v>
      </c>
      <c r="F11" s="42">
        <v>60</v>
      </c>
      <c r="G11" s="40">
        <f t="shared" si="0"/>
        <v>0</v>
      </c>
      <c r="H11" s="103">
        <f t="shared" si="1"/>
        <v>1140000</v>
      </c>
    </row>
    <row r="12" spans="1:8" x14ac:dyDescent="0.2">
      <c r="A12" s="1">
        <v>3</v>
      </c>
      <c r="B12" s="39" t="s">
        <v>51</v>
      </c>
      <c r="C12" s="15"/>
      <c r="D12" s="40">
        <v>0</v>
      </c>
      <c r="E12" s="41">
        <v>0</v>
      </c>
      <c r="F12" s="42"/>
      <c r="G12" s="40">
        <f t="shared" si="0"/>
        <v>0</v>
      </c>
      <c r="H12" s="103">
        <f t="shared" si="1"/>
        <v>0</v>
      </c>
    </row>
    <row r="13" spans="1:8" ht="13.5" thickBot="1" x14ac:dyDescent="0.25">
      <c r="A13" s="6"/>
      <c r="B13" s="7" t="s">
        <v>57</v>
      </c>
      <c r="C13" s="16" t="s">
        <v>63</v>
      </c>
      <c r="D13" s="40">
        <v>959.47</v>
      </c>
      <c r="E13" s="41">
        <v>60000</v>
      </c>
      <c r="F13" s="42">
        <v>1</v>
      </c>
      <c r="G13" s="40">
        <f t="shared" si="0"/>
        <v>959.47</v>
      </c>
      <c r="H13" s="103">
        <f t="shared" si="1"/>
        <v>60000</v>
      </c>
    </row>
    <row r="14" spans="1:8" ht="22.5" customHeight="1" thickBot="1" x14ac:dyDescent="0.25">
      <c r="A14" s="64"/>
      <c r="B14" s="65" t="s">
        <v>21</v>
      </c>
      <c r="C14" s="66"/>
      <c r="D14" s="67"/>
      <c r="E14" s="68"/>
      <c r="F14" s="100"/>
      <c r="G14" s="67">
        <f>SUM(G7:G13)</f>
        <v>2759.4700000000003</v>
      </c>
      <c r="H14" s="101">
        <f>SUM(H8:H13)</f>
        <v>10885000</v>
      </c>
    </row>
    <row r="16" spans="1:8" x14ac:dyDescent="0.2">
      <c r="G16" s="70" t="s">
        <v>133</v>
      </c>
      <c r="H16" s="71">
        <f>G14+H14/303.0303</f>
        <v>38679.970359205006</v>
      </c>
    </row>
    <row r="17" spans="1:8" x14ac:dyDescent="0.2">
      <c r="G17" s="70"/>
      <c r="H17" s="71"/>
    </row>
    <row r="18" spans="1:8" ht="18.75" thickBot="1" x14ac:dyDescent="0.3">
      <c r="B18" s="31" t="s">
        <v>163</v>
      </c>
      <c r="D18" s="23"/>
      <c r="E18" s="23"/>
      <c r="F18" s="23"/>
      <c r="G18" s="27"/>
    </row>
    <row r="19" spans="1:8" x14ac:dyDescent="0.2">
      <c r="A19" s="32" t="s">
        <v>83</v>
      </c>
      <c r="B19" s="33" t="s">
        <v>0</v>
      </c>
      <c r="C19" s="34" t="s">
        <v>1</v>
      </c>
      <c r="D19" s="190" t="s">
        <v>117</v>
      </c>
      <c r="E19" s="191"/>
      <c r="F19" s="34" t="s">
        <v>119</v>
      </c>
      <c r="G19" s="190" t="s">
        <v>21</v>
      </c>
      <c r="H19" s="191"/>
    </row>
    <row r="20" spans="1:8" x14ac:dyDescent="0.2">
      <c r="A20" s="35"/>
      <c r="B20" s="36"/>
      <c r="C20" s="37"/>
      <c r="D20" s="192" t="s">
        <v>2</v>
      </c>
      <c r="E20" s="193" t="s">
        <v>3</v>
      </c>
      <c r="F20" s="5"/>
      <c r="G20" s="192" t="s">
        <v>2</v>
      </c>
      <c r="H20" s="193" t="s">
        <v>3</v>
      </c>
    </row>
    <row r="21" spans="1:8" x14ac:dyDescent="0.2">
      <c r="A21" s="35"/>
      <c r="B21" s="36"/>
      <c r="C21" s="37"/>
      <c r="D21" s="192"/>
      <c r="E21" s="193"/>
      <c r="F21" s="5"/>
      <c r="G21" s="194"/>
      <c r="H21" s="195"/>
    </row>
    <row r="22" spans="1:8" x14ac:dyDescent="0.2">
      <c r="A22" s="38">
        <v>1</v>
      </c>
      <c r="B22" s="39" t="s">
        <v>156</v>
      </c>
      <c r="C22" s="15"/>
      <c r="D22" s="40"/>
      <c r="E22" s="41"/>
      <c r="F22" s="42"/>
      <c r="G22" s="40"/>
      <c r="H22" s="103"/>
    </row>
    <row r="23" spans="1:8" x14ac:dyDescent="0.2">
      <c r="A23" s="1"/>
      <c r="B23" s="7" t="s">
        <v>155</v>
      </c>
      <c r="C23" s="14" t="s">
        <v>56</v>
      </c>
      <c r="D23" s="40">
        <v>175</v>
      </c>
      <c r="E23" s="41">
        <v>45000</v>
      </c>
      <c r="F23" s="42">
        <v>1</v>
      </c>
      <c r="G23" s="40">
        <f t="shared" ref="G23:G28" si="2">D23*F23</f>
        <v>175</v>
      </c>
      <c r="H23" s="103">
        <f t="shared" ref="H23:H28" si="3">E23*F23</f>
        <v>45000</v>
      </c>
    </row>
    <row r="24" spans="1:8" x14ac:dyDescent="0.2">
      <c r="A24" s="1">
        <v>2</v>
      </c>
      <c r="B24" s="39" t="s">
        <v>159</v>
      </c>
      <c r="C24" s="43"/>
      <c r="D24" s="40">
        <v>0</v>
      </c>
      <c r="E24" s="41">
        <v>0</v>
      </c>
      <c r="F24" s="42"/>
      <c r="G24" s="40">
        <f t="shared" si="2"/>
        <v>0</v>
      </c>
      <c r="H24" s="103">
        <f t="shared" si="3"/>
        <v>0</v>
      </c>
    </row>
    <row r="25" spans="1:8" ht="30" customHeight="1" x14ac:dyDescent="0.2">
      <c r="A25" s="44" t="s">
        <v>4</v>
      </c>
      <c r="B25" s="45" t="s">
        <v>164</v>
      </c>
      <c r="C25" s="46" t="s">
        <v>160</v>
      </c>
      <c r="D25" s="40">
        <v>587.4</v>
      </c>
      <c r="E25" s="41"/>
      <c r="F25" s="42">
        <v>60</v>
      </c>
      <c r="G25" s="40">
        <f t="shared" si="2"/>
        <v>35244</v>
      </c>
      <c r="H25" s="103">
        <f t="shared" si="3"/>
        <v>0</v>
      </c>
    </row>
    <row r="26" spans="1:8" x14ac:dyDescent="0.2">
      <c r="A26" s="44" t="s">
        <v>6</v>
      </c>
      <c r="B26" s="45" t="s">
        <v>165</v>
      </c>
      <c r="C26" s="46" t="s">
        <v>160</v>
      </c>
      <c r="D26" s="40">
        <v>100</v>
      </c>
      <c r="E26" s="41"/>
      <c r="F26" s="42">
        <v>60</v>
      </c>
      <c r="G26" s="40">
        <f t="shared" si="2"/>
        <v>6000</v>
      </c>
      <c r="H26" s="103">
        <f t="shared" si="3"/>
        <v>0</v>
      </c>
    </row>
    <row r="27" spans="1:8" x14ac:dyDescent="0.2">
      <c r="A27" s="1">
        <v>3</v>
      </c>
      <c r="B27" s="39" t="s">
        <v>51</v>
      </c>
      <c r="C27" s="15"/>
      <c r="D27" s="40">
        <v>0</v>
      </c>
      <c r="E27" s="41">
        <v>0</v>
      </c>
      <c r="F27" s="42"/>
      <c r="G27" s="40">
        <f t="shared" si="2"/>
        <v>0</v>
      </c>
      <c r="H27" s="103">
        <f t="shared" si="3"/>
        <v>0</v>
      </c>
    </row>
    <row r="28" spans="1:8" ht="13.5" customHeight="1" thickBot="1" x14ac:dyDescent="0.25">
      <c r="A28" s="6"/>
      <c r="B28" s="7" t="s">
        <v>57</v>
      </c>
      <c r="C28" s="16" t="s">
        <v>63</v>
      </c>
      <c r="D28" s="40">
        <v>175</v>
      </c>
      <c r="E28" s="41">
        <v>45000</v>
      </c>
      <c r="F28" s="42">
        <v>1</v>
      </c>
      <c r="G28" s="40">
        <f t="shared" si="2"/>
        <v>175</v>
      </c>
      <c r="H28" s="103">
        <f t="shared" si="3"/>
        <v>45000</v>
      </c>
    </row>
    <row r="29" spans="1:8" ht="13.5" customHeight="1" thickBot="1" x14ac:dyDescent="0.25">
      <c r="A29" s="64"/>
      <c r="B29" s="65" t="s">
        <v>21</v>
      </c>
      <c r="C29" s="66"/>
      <c r="D29" s="67"/>
      <c r="E29" s="68"/>
      <c r="F29" s="100"/>
      <c r="G29" s="67">
        <f>SUM(G22:G28)</f>
        <v>41594</v>
      </c>
      <c r="H29" s="101">
        <f>SUM(H23:H28)</f>
        <v>90000</v>
      </c>
    </row>
    <row r="30" spans="1:8" ht="13.5" customHeight="1" x14ac:dyDescent="0.2"/>
    <row r="31" spans="1:8" ht="13.5" customHeight="1" x14ac:dyDescent="0.2">
      <c r="G31" s="70" t="s">
        <v>133</v>
      </c>
      <c r="H31" s="71">
        <f>G29+H29/303.0303</f>
        <v>41891.000002970002</v>
      </c>
    </row>
    <row r="32" spans="1:8" ht="13.5" customHeight="1" x14ac:dyDescent="0.2">
      <c r="G32" s="70"/>
      <c r="H32" s="71"/>
    </row>
    <row r="33" spans="1:8" ht="18.75" thickBot="1" x14ac:dyDescent="0.3">
      <c r="B33" s="31" t="s">
        <v>122</v>
      </c>
    </row>
    <row r="34" spans="1:8" ht="13.5" thickBot="1" x14ac:dyDescent="0.25">
      <c r="A34" s="112"/>
      <c r="B34" s="113"/>
      <c r="C34" s="113"/>
      <c r="D34" s="113"/>
      <c r="E34" s="188" t="s">
        <v>123</v>
      </c>
      <c r="F34" s="188"/>
      <c r="G34" s="188" t="s">
        <v>124</v>
      </c>
      <c r="H34" s="189"/>
    </row>
    <row r="35" spans="1:8" x14ac:dyDescent="0.2">
      <c r="A35" s="82"/>
      <c r="B35" s="83" t="s">
        <v>125</v>
      </c>
      <c r="C35" s="83" t="s">
        <v>126</v>
      </c>
      <c r="D35" s="83" t="s">
        <v>127</v>
      </c>
      <c r="E35" s="84" t="s">
        <v>128</v>
      </c>
      <c r="F35" s="84" t="s">
        <v>3</v>
      </c>
      <c r="G35" s="84" t="s">
        <v>128</v>
      </c>
      <c r="H35" s="85" t="s">
        <v>3</v>
      </c>
    </row>
    <row r="36" spans="1:8" ht="14.25" x14ac:dyDescent="0.2">
      <c r="A36" s="86">
        <v>1</v>
      </c>
      <c r="B36" s="87" t="s">
        <v>129</v>
      </c>
      <c r="C36" s="87" t="s">
        <v>130</v>
      </c>
      <c r="D36" s="87"/>
      <c r="E36" s="88">
        <v>0</v>
      </c>
      <c r="F36" s="88">
        <v>554662.16</v>
      </c>
      <c r="G36" s="88">
        <f>D36*E36</f>
        <v>0</v>
      </c>
      <c r="H36" s="89">
        <f>D36*F36</f>
        <v>0</v>
      </c>
    </row>
    <row r="37" spans="1:8" ht="14.25" x14ac:dyDescent="0.2">
      <c r="A37" s="86">
        <v>2</v>
      </c>
      <c r="B37" s="87" t="s">
        <v>131</v>
      </c>
      <c r="C37" s="87" t="s">
        <v>130</v>
      </c>
      <c r="D37" s="87">
        <v>2</v>
      </c>
      <c r="E37" s="88">
        <v>0</v>
      </c>
      <c r="F37" s="88">
        <v>578883.5</v>
      </c>
      <c r="G37" s="88">
        <f>D37*E37</f>
        <v>0</v>
      </c>
      <c r="H37" s="89">
        <f>D37*F37</f>
        <v>1157767</v>
      </c>
    </row>
    <row r="38" spans="1:8" ht="14.25" x14ac:dyDescent="0.2">
      <c r="A38" s="86">
        <v>3</v>
      </c>
      <c r="B38" s="87" t="s">
        <v>132</v>
      </c>
      <c r="C38" s="87" t="s">
        <v>130</v>
      </c>
      <c r="D38" s="87">
        <v>2</v>
      </c>
      <c r="E38" s="88">
        <v>0</v>
      </c>
      <c r="F38" s="88">
        <v>722626.32</v>
      </c>
      <c r="G38" s="88">
        <f>D38*E38</f>
        <v>0</v>
      </c>
      <c r="H38" s="89">
        <f>D38*F38</f>
        <v>1445252.64</v>
      </c>
    </row>
    <row r="39" spans="1:8" ht="15" thickBot="1" x14ac:dyDescent="0.25">
      <c r="A39" s="90"/>
      <c r="B39" s="91" t="s">
        <v>118</v>
      </c>
      <c r="C39" s="91"/>
      <c r="D39" s="91"/>
      <c r="E39" s="91"/>
      <c r="F39" s="91"/>
      <c r="G39" s="91"/>
      <c r="H39" s="92">
        <f>SUM(H36:H38)</f>
        <v>2603019.6399999997</v>
      </c>
    </row>
    <row r="40" spans="1:8" x14ac:dyDescent="0.2">
      <c r="D40" s="29"/>
      <c r="E40" s="29"/>
      <c r="G40" s="29"/>
      <c r="H40" s="29" t="s">
        <v>152</v>
      </c>
    </row>
    <row r="41" spans="1:8" x14ac:dyDescent="0.2">
      <c r="D41" s="29"/>
      <c r="E41" s="29"/>
      <c r="G41" s="70" t="s">
        <v>133</v>
      </c>
      <c r="H41" s="71">
        <f>H39/303.0303</f>
        <v>8589.9648978996483</v>
      </c>
    </row>
    <row r="42" spans="1:8" x14ac:dyDescent="0.2">
      <c r="D42" s="29"/>
      <c r="E42" s="29"/>
      <c r="G42" s="70"/>
      <c r="H42" s="71"/>
    </row>
    <row r="46" spans="1:8" x14ac:dyDescent="0.2">
      <c r="F46" s="109" t="s">
        <v>21</v>
      </c>
      <c r="G46" s="109" t="s">
        <v>133</v>
      </c>
      <c r="H46" s="110">
        <f>H41+H31+H16</f>
        <v>89160.93526007465</v>
      </c>
    </row>
  </sheetData>
  <mergeCells count="14">
    <mergeCell ref="D4:E4"/>
    <mergeCell ref="G4:H4"/>
    <mergeCell ref="D5:D6"/>
    <mergeCell ref="E5:E6"/>
    <mergeCell ref="G5:G6"/>
    <mergeCell ref="H5:H6"/>
    <mergeCell ref="E34:F34"/>
    <mergeCell ref="G34:H34"/>
    <mergeCell ref="D19:E19"/>
    <mergeCell ref="G19:H19"/>
    <mergeCell ref="D20:D21"/>
    <mergeCell ref="E20:E21"/>
    <mergeCell ref="G20:G21"/>
    <mergeCell ref="H20:H2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2"/>
  <sheetViews>
    <sheetView zoomScaleNormal="100" workbookViewId="0">
      <pane xSplit="2" ySplit="6" topLeftCell="D7" activePane="bottomRight" state="frozen"/>
      <selection pane="topRight" activeCell="C1" sqref="C1"/>
      <selection pane="bottomLeft" activeCell="A4" sqref="A4"/>
      <selection pane="bottomRight" activeCell="B162" sqref="B162:B163"/>
    </sheetView>
  </sheetViews>
  <sheetFormatPr defaultColWidth="8.7109375" defaultRowHeight="12.75" x14ac:dyDescent="0.2"/>
  <cols>
    <col min="1" max="1" width="6" style="30" customWidth="1"/>
    <col min="2" max="2" width="31.140625" style="69" customWidth="1"/>
    <col min="3" max="3" width="10.85546875" style="26" customWidth="1"/>
    <col min="4" max="4" width="10.140625" style="28" bestFit="1" customWidth="1"/>
    <col min="5" max="5" width="12.85546875" style="28" bestFit="1" customWidth="1"/>
    <col min="6" max="6" width="15.7109375" style="29" customWidth="1"/>
    <col min="7" max="7" width="12.7109375" style="28" bestFit="1" customWidth="1"/>
    <col min="8" max="8" width="16" style="28" customWidth="1"/>
    <col min="9" max="9" width="8.7109375" style="29"/>
    <col min="10" max="12" width="10.85546875" style="29" bestFit="1" customWidth="1"/>
    <col min="13" max="13" width="9.140625" style="29" bestFit="1" customWidth="1"/>
    <col min="14" max="16384" width="8.7109375" style="29"/>
  </cols>
  <sheetData>
    <row r="1" spans="1:10" ht="23.25" x14ac:dyDescent="0.35">
      <c r="A1" s="24" t="s">
        <v>147</v>
      </c>
      <c r="B1" s="25"/>
      <c r="D1" s="22"/>
      <c r="E1" s="23"/>
      <c r="F1" s="23"/>
      <c r="G1" s="27"/>
    </row>
    <row r="2" spans="1:10" ht="12" customHeight="1" x14ac:dyDescent="0.2">
      <c r="B2" s="25"/>
      <c r="D2" s="23"/>
      <c r="E2" s="23"/>
      <c r="F2" s="23"/>
      <c r="G2" s="27"/>
    </row>
    <row r="3" spans="1:10" ht="18.75" thickBot="1" x14ac:dyDescent="0.3">
      <c r="B3" s="31" t="s">
        <v>149</v>
      </c>
      <c r="D3" s="23"/>
      <c r="E3" s="23"/>
      <c r="F3" s="23"/>
      <c r="G3" s="27"/>
      <c r="J3" s="117"/>
    </row>
    <row r="4" spans="1:10" ht="31.5" customHeight="1" x14ac:dyDescent="0.2">
      <c r="A4" s="32" t="s">
        <v>83</v>
      </c>
      <c r="B4" s="33" t="s">
        <v>0</v>
      </c>
      <c r="C4" s="34" t="s">
        <v>1</v>
      </c>
      <c r="D4" s="190" t="s">
        <v>117</v>
      </c>
      <c r="E4" s="191"/>
      <c r="F4" s="34" t="s">
        <v>119</v>
      </c>
      <c r="G4" s="190" t="s">
        <v>21</v>
      </c>
      <c r="H4" s="191"/>
    </row>
    <row r="5" spans="1:10" ht="18.75" customHeight="1" x14ac:dyDescent="0.2">
      <c r="A5" s="35"/>
      <c r="B5" s="36"/>
      <c r="C5" s="37"/>
      <c r="D5" s="192" t="s">
        <v>2</v>
      </c>
      <c r="E5" s="193" t="s">
        <v>3</v>
      </c>
      <c r="F5" s="5"/>
      <c r="G5" s="192" t="s">
        <v>2</v>
      </c>
      <c r="H5" s="193" t="s">
        <v>3</v>
      </c>
    </row>
    <row r="6" spans="1:10" ht="27.75" hidden="1" customHeight="1" x14ac:dyDescent="0.2">
      <c r="A6" s="35"/>
      <c r="B6" s="36"/>
      <c r="C6" s="37"/>
      <c r="D6" s="192"/>
      <c r="E6" s="193"/>
      <c r="F6" s="5"/>
      <c r="G6" s="194"/>
      <c r="H6" s="195"/>
    </row>
    <row r="7" spans="1:10" ht="24" x14ac:dyDescent="0.2">
      <c r="A7" s="38">
        <v>1</v>
      </c>
      <c r="B7" s="39" t="s">
        <v>68</v>
      </c>
      <c r="C7" s="15"/>
      <c r="D7" s="40"/>
      <c r="E7" s="41"/>
      <c r="F7" s="42"/>
      <c r="G7" s="40"/>
      <c r="H7" s="103"/>
    </row>
    <row r="8" spans="1:10" x14ac:dyDescent="0.2">
      <c r="A8" s="1" t="s">
        <v>7</v>
      </c>
      <c r="B8" s="7" t="s">
        <v>57</v>
      </c>
      <c r="C8" s="14" t="s">
        <v>56</v>
      </c>
      <c r="D8" s="40">
        <v>5131.28</v>
      </c>
      <c r="E8" s="41">
        <v>380893.92</v>
      </c>
      <c r="F8" s="42">
        <v>1</v>
      </c>
      <c r="G8" s="40">
        <f>D8*F8</f>
        <v>5131.28</v>
      </c>
      <c r="H8" s="103">
        <f>E8*F8</f>
        <v>380893.92</v>
      </c>
    </row>
    <row r="9" spans="1:10" ht="36" x14ac:dyDescent="0.2">
      <c r="A9" s="169">
        <v>5</v>
      </c>
      <c r="B9" s="170" t="s">
        <v>207</v>
      </c>
      <c r="C9" s="171" t="s">
        <v>55</v>
      </c>
      <c r="D9" s="40"/>
      <c r="E9" s="41"/>
      <c r="F9" s="42"/>
      <c r="G9" s="40">
        <f>D9*F9</f>
        <v>0</v>
      </c>
      <c r="H9" s="103">
        <f>E9*F9</f>
        <v>0</v>
      </c>
    </row>
    <row r="10" spans="1:10" x14ac:dyDescent="0.2">
      <c r="A10" s="172" t="s">
        <v>13</v>
      </c>
      <c r="B10" s="173" t="s">
        <v>12</v>
      </c>
      <c r="C10" s="174" t="s">
        <v>84</v>
      </c>
      <c r="D10" s="40">
        <v>0</v>
      </c>
      <c r="E10" s="41">
        <v>140038.79999999999</v>
      </c>
      <c r="F10" s="42">
        <v>6</v>
      </c>
      <c r="G10" s="40">
        <f>D10*F10</f>
        <v>0</v>
      </c>
      <c r="H10" s="103">
        <f>E10*F10</f>
        <v>840232.79999999993</v>
      </c>
    </row>
    <row r="11" spans="1:10" ht="36" x14ac:dyDescent="0.2">
      <c r="A11" s="1">
        <v>6</v>
      </c>
      <c r="B11" s="8" t="s">
        <v>85</v>
      </c>
      <c r="C11" s="43" t="s">
        <v>55</v>
      </c>
      <c r="D11" s="40">
        <v>0</v>
      </c>
      <c r="E11" s="41">
        <v>0</v>
      </c>
      <c r="F11" s="42"/>
      <c r="G11" s="40">
        <f t="shared" ref="G11:G80" si="0">D11*F11</f>
        <v>0</v>
      </c>
      <c r="H11" s="103">
        <f t="shared" ref="H11:H80" si="1">E11*F11</f>
        <v>0</v>
      </c>
    </row>
    <row r="12" spans="1:10" ht="15" customHeight="1" x14ac:dyDescent="0.2">
      <c r="A12" s="44" t="s">
        <v>4</v>
      </c>
      <c r="B12" s="45" t="s">
        <v>86</v>
      </c>
      <c r="C12" s="46" t="s">
        <v>84</v>
      </c>
      <c r="D12" s="40">
        <v>0</v>
      </c>
      <c r="E12" s="41">
        <v>140038.79999999999</v>
      </c>
      <c r="F12" s="42"/>
      <c r="G12" s="40">
        <f t="shared" si="0"/>
        <v>0</v>
      </c>
      <c r="H12" s="103">
        <f t="shared" si="1"/>
        <v>0</v>
      </c>
    </row>
    <row r="13" spans="1:10" ht="15" customHeight="1" x14ac:dyDescent="0.2">
      <c r="A13" s="44" t="s">
        <v>6</v>
      </c>
      <c r="B13" s="45" t="s">
        <v>87</v>
      </c>
      <c r="C13" s="46" t="s">
        <v>84</v>
      </c>
      <c r="D13" s="40">
        <v>0</v>
      </c>
      <c r="E13" s="41">
        <v>140038.79999999999</v>
      </c>
      <c r="F13" s="42"/>
      <c r="G13" s="40">
        <f t="shared" si="0"/>
        <v>0</v>
      </c>
      <c r="H13" s="103">
        <f t="shared" si="1"/>
        <v>0</v>
      </c>
    </row>
    <row r="14" spans="1:10" ht="15" customHeight="1" x14ac:dyDescent="0.2">
      <c r="A14" s="44" t="s">
        <v>7</v>
      </c>
      <c r="B14" s="45" t="s">
        <v>88</v>
      </c>
      <c r="C14" s="46" t="s">
        <v>84</v>
      </c>
      <c r="D14" s="40">
        <v>0</v>
      </c>
      <c r="E14" s="41">
        <v>140038.79999999999</v>
      </c>
      <c r="F14" s="42"/>
      <c r="G14" s="40">
        <f t="shared" si="0"/>
        <v>0</v>
      </c>
      <c r="H14" s="103">
        <f t="shared" si="1"/>
        <v>0</v>
      </c>
    </row>
    <row r="15" spans="1:10" ht="15" customHeight="1" x14ac:dyDescent="0.2">
      <c r="A15" s="44" t="s">
        <v>11</v>
      </c>
      <c r="B15" s="45" t="s">
        <v>89</v>
      </c>
      <c r="C15" s="46" t="s">
        <v>84</v>
      </c>
      <c r="D15" s="40">
        <v>0</v>
      </c>
      <c r="E15" s="41">
        <v>140038.79999999999</v>
      </c>
      <c r="F15" s="42"/>
      <c r="G15" s="40">
        <f t="shared" si="0"/>
        <v>0</v>
      </c>
      <c r="H15" s="103">
        <f t="shared" si="1"/>
        <v>0</v>
      </c>
    </row>
    <row r="16" spans="1:10" ht="15" customHeight="1" x14ac:dyDescent="0.2">
      <c r="A16" s="44" t="s">
        <v>13</v>
      </c>
      <c r="B16" s="45" t="s">
        <v>26</v>
      </c>
      <c r="C16" s="46" t="s">
        <v>84</v>
      </c>
      <c r="D16" s="40">
        <v>0</v>
      </c>
      <c r="E16" s="41">
        <v>140038.79999999999</v>
      </c>
      <c r="F16" s="42"/>
      <c r="G16" s="40">
        <f t="shared" si="0"/>
        <v>0</v>
      </c>
      <c r="H16" s="103">
        <f t="shared" si="1"/>
        <v>0</v>
      </c>
    </row>
    <row r="17" spans="1:8" ht="15" customHeight="1" x14ac:dyDescent="0.2">
      <c r="A17" s="44" t="s">
        <v>15</v>
      </c>
      <c r="B17" s="45" t="s">
        <v>90</v>
      </c>
      <c r="C17" s="46" t="s">
        <v>84</v>
      </c>
      <c r="D17" s="40">
        <v>0</v>
      </c>
      <c r="E17" s="41">
        <v>140038.79999999999</v>
      </c>
      <c r="F17" s="42"/>
      <c r="G17" s="40">
        <f t="shared" si="0"/>
        <v>0</v>
      </c>
      <c r="H17" s="103">
        <f t="shared" si="1"/>
        <v>0</v>
      </c>
    </row>
    <row r="18" spans="1:8" ht="11.25" customHeight="1" x14ac:dyDescent="0.2">
      <c r="A18" s="44" t="s">
        <v>41</v>
      </c>
      <c r="B18" s="45" t="s">
        <v>36</v>
      </c>
      <c r="C18" s="46" t="s">
        <v>84</v>
      </c>
      <c r="D18" s="40">
        <v>0</v>
      </c>
      <c r="E18" s="41">
        <v>140038.79999999999</v>
      </c>
      <c r="F18" s="42"/>
      <c r="G18" s="40">
        <f t="shared" si="0"/>
        <v>0</v>
      </c>
      <c r="H18" s="103">
        <f t="shared" si="1"/>
        <v>0</v>
      </c>
    </row>
    <row r="19" spans="1:8" ht="36" x14ac:dyDescent="0.2">
      <c r="A19" s="1">
        <v>7</v>
      </c>
      <c r="B19" s="8" t="s">
        <v>17</v>
      </c>
      <c r="C19" s="43" t="s">
        <v>18</v>
      </c>
      <c r="D19" s="40">
        <v>0</v>
      </c>
      <c r="E19" s="41">
        <v>140038.79999999999</v>
      </c>
      <c r="F19" s="42">
        <v>1</v>
      </c>
      <c r="G19" s="40">
        <f t="shared" si="0"/>
        <v>0</v>
      </c>
      <c r="H19" s="103">
        <f t="shared" si="1"/>
        <v>140038.79999999999</v>
      </c>
    </row>
    <row r="20" spans="1:8" ht="24" x14ac:dyDescent="0.2">
      <c r="A20" s="1">
        <v>8</v>
      </c>
      <c r="B20" s="47" t="s">
        <v>22</v>
      </c>
      <c r="C20" s="48" t="s">
        <v>23</v>
      </c>
      <c r="D20" s="40">
        <v>0</v>
      </c>
      <c r="E20" s="41">
        <v>0</v>
      </c>
      <c r="F20" s="42"/>
      <c r="G20" s="40">
        <f t="shared" si="0"/>
        <v>0</v>
      </c>
      <c r="H20" s="103">
        <f t="shared" si="1"/>
        <v>0</v>
      </c>
    </row>
    <row r="21" spans="1:8" x14ac:dyDescent="0.2">
      <c r="A21" s="6" t="s">
        <v>4</v>
      </c>
      <c r="B21" s="9" t="s">
        <v>8</v>
      </c>
      <c r="C21" s="49" t="s">
        <v>5</v>
      </c>
      <c r="D21" s="40">
        <v>21.12</v>
      </c>
      <c r="E21" s="41">
        <v>1747.68</v>
      </c>
      <c r="F21" s="42"/>
      <c r="G21" s="40">
        <f t="shared" si="0"/>
        <v>0</v>
      </c>
      <c r="H21" s="103">
        <f t="shared" si="1"/>
        <v>0</v>
      </c>
    </row>
    <row r="22" spans="1:8" x14ac:dyDescent="0.2">
      <c r="A22" s="6" t="s">
        <v>6</v>
      </c>
      <c r="B22" s="9" t="s">
        <v>9</v>
      </c>
      <c r="C22" s="49" t="s">
        <v>5</v>
      </c>
      <c r="D22" s="40">
        <v>36.96</v>
      </c>
      <c r="E22" s="41">
        <v>3064.16</v>
      </c>
      <c r="F22" s="42"/>
      <c r="G22" s="40">
        <f t="shared" si="0"/>
        <v>0</v>
      </c>
      <c r="H22" s="103">
        <f t="shared" si="1"/>
        <v>0</v>
      </c>
    </row>
    <row r="23" spans="1:8" x14ac:dyDescent="0.2">
      <c r="A23" s="6" t="s">
        <v>7</v>
      </c>
      <c r="B23" s="9" t="s">
        <v>10</v>
      </c>
      <c r="C23" s="49" t="s">
        <v>5</v>
      </c>
      <c r="D23" s="40">
        <v>55.44</v>
      </c>
      <c r="E23" s="41">
        <v>4594.4800000000005</v>
      </c>
      <c r="F23" s="42"/>
      <c r="G23" s="40">
        <f t="shared" si="0"/>
        <v>0</v>
      </c>
      <c r="H23" s="103">
        <f t="shared" si="1"/>
        <v>0</v>
      </c>
    </row>
    <row r="24" spans="1:8" x14ac:dyDescent="0.2">
      <c r="A24" s="6" t="s">
        <v>11</v>
      </c>
      <c r="B24" s="9" t="s">
        <v>12</v>
      </c>
      <c r="C24" s="49" t="s">
        <v>5</v>
      </c>
      <c r="D24" s="40">
        <v>64.239999999999995</v>
      </c>
      <c r="E24" s="41">
        <v>5361.84</v>
      </c>
      <c r="F24" s="42">
        <v>6</v>
      </c>
      <c r="G24" s="40">
        <f t="shared" si="0"/>
        <v>385.43999999999994</v>
      </c>
      <c r="H24" s="103">
        <f t="shared" si="1"/>
        <v>32171.040000000001</v>
      </c>
    </row>
    <row r="25" spans="1:8" x14ac:dyDescent="0.2">
      <c r="A25" s="6" t="s">
        <v>13</v>
      </c>
      <c r="B25" s="9" t="s">
        <v>14</v>
      </c>
      <c r="C25" s="49" t="s">
        <v>5</v>
      </c>
      <c r="D25" s="40">
        <v>110</v>
      </c>
      <c r="E25" s="41">
        <v>9193.36</v>
      </c>
      <c r="F25" s="42"/>
      <c r="G25" s="40">
        <f t="shared" si="0"/>
        <v>0</v>
      </c>
      <c r="H25" s="103">
        <f>E25*F25</f>
        <v>0</v>
      </c>
    </row>
    <row r="26" spans="1:8" x14ac:dyDescent="0.2">
      <c r="A26" s="6" t="s">
        <v>15</v>
      </c>
      <c r="B26" s="9" t="s">
        <v>16</v>
      </c>
      <c r="C26" s="49" t="s">
        <v>5</v>
      </c>
      <c r="D26" s="40">
        <v>146.96</v>
      </c>
      <c r="E26" s="41">
        <v>12257.52</v>
      </c>
      <c r="F26" s="42"/>
      <c r="G26" s="40">
        <f t="shared" si="0"/>
        <v>0</v>
      </c>
      <c r="H26" s="103">
        <f t="shared" si="1"/>
        <v>0</v>
      </c>
    </row>
    <row r="27" spans="1:8" x14ac:dyDescent="0.2">
      <c r="A27" s="1">
        <v>11</v>
      </c>
      <c r="B27" s="47" t="s">
        <v>69</v>
      </c>
      <c r="C27" s="48" t="s">
        <v>23</v>
      </c>
      <c r="D27" s="40">
        <v>0</v>
      </c>
      <c r="E27" s="41">
        <v>0</v>
      </c>
      <c r="F27" s="42"/>
      <c r="G27" s="40">
        <f t="shared" si="0"/>
        <v>0</v>
      </c>
      <c r="H27" s="103">
        <f t="shared" si="1"/>
        <v>0</v>
      </c>
    </row>
    <row r="28" spans="1:8" x14ac:dyDescent="0.2">
      <c r="A28" s="6" t="s">
        <v>4</v>
      </c>
      <c r="B28" s="9" t="s">
        <v>8</v>
      </c>
      <c r="C28" s="48" t="s">
        <v>5</v>
      </c>
      <c r="D28" s="40">
        <v>93.28</v>
      </c>
      <c r="E28" s="41">
        <v>7742.24</v>
      </c>
      <c r="F28" s="42"/>
      <c r="G28" s="40">
        <f t="shared" si="0"/>
        <v>0</v>
      </c>
      <c r="H28" s="103">
        <f t="shared" si="1"/>
        <v>0</v>
      </c>
    </row>
    <row r="29" spans="1:8" x14ac:dyDescent="0.2">
      <c r="A29" s="6" t="s">
        <v>6</v>
      </c>
      <c r="B29" s="9" t="s">
        <v>9</v>
      </c>
      <c r="C29" s="48" t="s">
        <v>5</v>
      </c>
      <c r="D29" s="40">
        <v>278.95999999999998</v>
      </c>
      <c r="E29" s="41">
        <v>23231.119999999999</v>
      </c>
      <c r="F29" s="42"/>
      <c r="G29" s="40">
        <f t="shared" si="0"/>
        <v>0</v>
      </c>
      <c r="H29" s="103">
        <f t="shared" si="1"/>
        <v>0</v>
      </c>
    </row>
    <row r="30" spans="1:8" x14ac:dyDescent="0.2">
      <c r="A30" s="6" t="s">
        <v>7</v>
      </c>
      <c r="B30" s="9" t="s">
        <v>10</v>
      </c>
      <c r="C30" s="48" t="s">
        <v>5</v>
      </c>
      <c r="D30" s="40">
        <v>334.4</v>
      </c>
      <c r="E30" s="41">
        <v>27880.16</v>
      </c>
      <c r="F30" s="42"/>
      <c r="G30" s="40">
        <f t="shared" si="0"/>
        <v>0</v>
      </c>
      <c r="H30" s="103">
        <f t="shared" si="1"/>
        <v>0</v>
      </c>
    </row>
    <row r="31" spans="1:8" x14ac:dyDescent="0.2">
      <c r="A31" s="6" t="s">
        <v>11</v>
      </c>
      <c r="B31" s="9" t="s">
        <v>12</v>
      </c>
      <c r="C31" s="48" t="s">
        <v>5</v>
      </c>
      <c r="D31" s="40">
        <v>557.91999999999996</v>
      </c>
      <c r="E31" s="41">
        <v>46466.64</v>
      </c>
      <c r="F31" s="42">
        <v>1</v>
      </c>
      <c r="G31" s="40">
        <f t="shared" si="0"/>
        <v>557.91999999999996</v>
      </c>
      <c r="H31" s="103">
        <f t="shared" si="1"/>
        <v>46466.64</v>
      </c>
    </row>
    <row r="32" spans="1:8" x14ac:dyDescent="0.2">
      <c r="A32" s="6" t="s">
        <v>13</v>
      </c>
      <c r="B32" s="9" t="s">
        <v>14</v>
      </c>
      <c r="C32" s="48" t="s">
        <v>5</v>
      </c>
      <c r="D32" s="40">
        <v>929.28</v>
      </c>
      <c r="E32" s="41">
        <v>77445.279999999999</v>
      </c>
      <c r="F32" s="42"/>
      <c r="G32" s="40">
        <f>D32*F32</f>
        <v>0</v>
      </c>
      <c r="H32" s="103">
        <f t="shared" si="1"/>
        <v>0</v>
      </c>
    </row>
    <row r="33" spans="1:8" x14ac:dyDescent="0.2">
      <c r="A33" s="6" t="s">
        <v>15</v>
      </c>
      <c r="B33" s="9" t="s">
        <v>16</v>
      </c>
      <c r="C33" s="48" t="s">
        <v>5</v>
      </c>
      <c r="D33" s="40">
        <v>1208.24</v>
      </c>
      <c r="E33" s="41">
        <v>100676.4</v>
      </c>
      <c r="F33" s="42"/>
      <c r="G33" s="40">
        <f t="shared" si="0"/>
        <v>0</v>
      </c>
      <c r="H33" s="103">
        <f t="shared" si="1"/>
        <v>0</v>
      </c>
    </row>
    <row r="34" spans="1:8" customFormat="1" ht="24" x14ac:dyDescent="0.2">
      <c r="A34" s="50">
        <v>12</v>
      </c>
      <c r="B34" s="51" t="s">
        <v>195</v>
      </c>
      <c r="C34" s="15" t="s">
        <v>20</v>
      </c>
      <c r="D34" s="155">
        <v>0</v>
      </c>
      <c r="E34" s="156">
        <v>0</v>
      </c>
      <c r="F34" s="155"/>
      <c r="G34" s="155">
        <f t="shared" si="0"/>
        <v>0</v>
      </c>
      <c r="H34" s="157">
        <f t="shared" si="1"/>
        <v>0</v>
      </c>
    </row>
    <row r="35" spans="1:8" customFormat="1" x14ac:dyDescent="0.2">
      <c r="A35" s="52" t="s">
        <v>4</v>
      </c>
      <c r="B35" s="10" t="s">
        <v>93</v>
      </c>
      <c r="C35" s="15" t="s">
        <v>5</v>
      </c>
      <c r="D35" s="155">
        <v>12.32</v>
      </c>
      <c r="E35" s="156">
        <v>1031.3599999999999</v>
      </c>
      <c r="F35" s="155"/>
      <c r="G35" s="155">
        <f t="shared" si="0"/>
        <v>0</v>
      </c>
      <c r="H35" s="157">
        <f t="shared" si="1"/>
        <v>0</v>
      </c>
    </row>
    <row r="36" spans="1:8" customFormat="1" x14ac:dyDescent="0.2">
      <c r="A36" s="6" t="s">
        <v>95</v>
      </c>
      <c r="B36" s="9" t="s">
        <v>94</v>
      </c>
      <c r="C36" s="48" t="s">
        <v>5</v>
      </c>
      <c r="D36" s="155">
        <v>31.68</v>
      </c>
      <c r="E36" s="156">
        <v>2664.64</v>
      </c>
      <c r="F36" s="155"/>
      <c r="G36" s="155">
        <f t="shared" si="0"/>
        <v>0</v>
      </c>
      <c r="H36" s="157">
        <f t="shared" si="1"/>
        <v>0</v>
      </c>
    </row>
    <row r="37" spans="1:8" customFormat="1" x14ac:dyDescent="0.2">
      <c r="A37" s="6" t="s">
        <v>96</v>
      </c>
      <c r="B37" s="9" t="s">
        <v>97</v>
      </c>
      <c r="C37" s="48" t="s">
        <v>5</v>
      </c>
      <c r="D37" s="155">
        <v>80.08</v>
      </c>
      <c r="E37" s="156">
        <v>6659.84</v>
      </c>
      <c r="F37" s="155"/>
      <c r="G37" s="155">
        <f t="shared" si="0"/>
        <v>0</v>
      </c>
      <c r="H37" s="157">
        <f t="shared" si="1"/>
        <v>0</v>
      </c>
    </row>
    <row r="38" spans="1:8" customFormat="1" x14ac:dyDescent="0.2">
      <c r="A38" s="6" t="s">
        <v>99</v>
      </c>
      <c r="B38" s="9" t="s">
        <v>101</v>
      </c>
      <c r="C38" s="48" t="s">
        <v>5</v>
      </c>
      <c r="D38" s="155">
        <v>127.6</v>
      </c>
      <c r="E38" s="156">
        <v>10659.44</v>
      </c>
      <c r="F38" s="155"/>
      <c r="G38" s="155">
        <f t="shared" si="0"/>
        <v>0</v>
      </c>
      <c r="H38" s="157">
        <f t="shared" si="1"/>
        <v>0</v>
      </c>
    </row>
    <row r="39" spans="1:8" customFormat="1" x14ac:dyDescent="0.2">
      <c r="A39" s="6" t="s">
        <v>100</v>
      </c>
      <c r="B39" s="9" t="s">
        <v>98</v>
      </c>
      <c r="C39" s="48" t="s">
        <v>5</v>
      </c>
      <c r="D39" s="155">
        <v>160.16</v>
      </c>
      <c r="E39" s="156">
        <v>13323.2</v>
      </c>
      <c r="F39" s="155"/>
      <c r="G39" s="155">
        <f t="shared" si="0"/>
        <v>0</v>
      </c>
      <c r="H39" s="157">
        <f t="shared" si="1"/>
        <v>0</v>
      </c>
    </row>
    <row r="40" spans="1:8" customFormat="1" x14ac:dyDescent="0.2">
      <c r="A40" s="6" t="s">
        <v>104</v>
      </c>
      <c r="B40" s="9" t="s">
        <v>102</v>
      </c>
      <c r="C40" s="48" t="s">
        <v>5</v>
      </c>
      <c r="D40" s="155">
        <v>240.24</v>
      </c>
      <c r="E40" s="156">
        <v>19983.920000000002</v>
      </c>
      <c r="F40" s="155"/>
      <c r="G40" s="155">
        <f t="shared" si="0"/>
        <v>0</v>
      </c>
      <c r="H40" s="157">
        <f t="shared" si="1"/>
        <v>0</v>
      </c>
    </row>
    <row r="41" spans="1:8" customFormat="1" x14ac:dyDescent="0.2">
      <c r="A41" s="6" t="s">
        <v>105</v>
      </c>
      <c r="B41" s="9" t="s">
        <v>103</v>
      </c>
      <c r="C41" s="48" t="s">
        <v>5</v>
      </c>
      <c r="D41" s="155">
        <v>315.04000000000002</v>
      </c>
      <c r="E41" s="156">
        <v>26263.599999999999</v>
      </c>
      <c r="F41" s="155"/>
      <c r="G41" s="155">
        <f t="shared" si="0"/>
        <v>0</v>
      </c>
      <c r="H41" s="157">
        <f t="shared" si="1"/>
        <v>0</v>
      </c>
    </row>
    <row r="42" spans="1:8" customFormat="1" x14ac:dyDescent="0.2">
      <c r="A42" s="6" t="s">
        <v>110</v>
      </c>
      <c r="B42" s="9" t="s">
        <v>106</v>
      </c>
      <c r="C42" s="48" t="s">
        <v>5</v>
      </c>
      <c r="D42" s="155">
        <v>415.36</v>
      </c>
      <c r="E42" s="156">
        <v>34633.279999999999</v>
      </c>
      <c r="F42" s="155"/>
      <c r="G42" s="155">
        <f t="shared" si="0"/>
        <v>0</v>
      </c>
      <c r="H42" s="157">
        <f t="shared" si="1"/>
        <v>0</v>
      </c>
    </row>
    <row r="43" spans="1:8" customFormat="1" x14ac:dyDescent="0.2">
      <c r="A43" s="6" t="s">
        <v>111</v>
      </c>
      <c r="B43" s="9" t="s">
        <v>107</v>
      </c>
      <c r="C43" s="48" t="s">
        <v>5</v>
      </c>
      <c r="D43" s="155">
        <v>550</v>
      </c>
      <c r="E43" s="156">
        <v>45808.4</v>
      </c>
      <c r="F43" s="155"/>
      <c r="G43" s="155">
        <f t="shared" si="0"/>
        <v>0</v>
      </c>
      <c r="H43" s="157">
        <f t="shared" si="1"/>
        <v>0</v>
      </c>
    </row>
    <row r="44" spans="1:8" customFormat="1" x14ac:dyDescent="0.2">
      <c r="A44" s="6" t="s">
        <v>112</v>
      </c>
      <c r="B44" s="9" t="s">
        <v>108</v>
      </c>
      <c r="C44" s="48" t="s">
        <v>5</v>
      </c>
      <c r="D44" s="155">
        <v>728.64</v>
      </c>
      <c r="E44" s="156">
        <v>60754.32</v>
      </c>
      <c r="F44" s="155"/>
      <c r="G44" s="155">
        <f t="shared" si="0"/>
        <v>0</v>
      </c>
      <c r="H44" s="157">
        <f t="shared" si="1"/>
        <v>0</v>
      </c>
    </row>
    <row r="45" spans="1:8" customFormat="1" x14ac:dyDescent="0.2">
      <c r="A45" s="6" t="s">
        <v>113</v>
      </c>
      <c r="B45" s="9" t="s">
        <v>109</v>
      </c>
      <c r="C45" s="48" t="s">
        <v>5</v>
      </c>
      <c r="D45" s="155">
        <v>968.88</v>
      </c>
      <c r="E45" s="156">
        <v>80767.28</v>
      </c>
      <c r="F45" s="155"/>
      <c r="G45" s="155">
        <f t="shared" si="0"/>
        <v>0</v>
      </c>
      <c r="H45" s="157">
        <f t="shared" si="1"/>
        <v>0</v>
      </c>
    </row>
    <row r="46" spans="1:8" ht="32.25" customHeight="1" x14ac:dyDescent="0.2">
      <c r="A46" s="50">
        <v>13</v>
      </c>
      <c r="B46" s="51" t="s">
        <v>92</v>
      </c>
      <c r="C46" s="15" t="s">
        <v>19</v>
      </c>
      <c r="D46" s="40">
        <v>0</v>
      </c>
      <c r="E46" s="41">
        <v>0</v>
      </c>
      <c r="F46" s="42"/>
      <c r="G46" s="40">
        <f t="shared" si="0"/>
        <v>0</v>
      </c>
      <c r="H46" s="103">
        <f t="shared" si="1"/>
        <v>0</v>
      </c>
    </row>
    <row r="47" spans="1:8" ht="15" customHeight="1" x14ac:dyDescent="0.2">
      <c r="A47" s="52" t="s">
        <v>4</v>
      </c>
      <c r="B47" s="10" t="s">
        <v>93</v>
      </c>
      <c r="C47" s="46" t="s">
        <v>5</v>
      </c>
      <c r="D47" s="40">
        <v>21.12</v>
      </c>
      <c r="E47" s="41">
        <v>1763.52</v>
      </c>
      <c r="F47" s="42"/>
      <c r="G47" s="40">
        <f t="shared" si="0"/>
        <v>0</v>
      </c>
      <c r="H47" s="103">
        <f t="shared" si="1"/>
        <v>0</v>
      </c>
    </row>
    <row r="48" spans="1:8" ht="15.75" customHeight="1" x14ac:dyDescent="0.2">
      <c r="A48" s="6" t="s">
        <v>95</v>
      </c>
      <c r="B48" s="9" t="s">
        <v>94</v>
      </c>
      <c r="C48" s="46" t="s">
        <v>5</v>
      </c>
      <c r="D48" s="40">
        <v>37.840000000000003</v>
      </c>
      <c r="E48" s="41">
        <v>3179.44</v>
      </c>
      <c r="F48" s="42"/>
      <c r="G48" s="40">
        <f t="shared" si="0"/>
        <v>0</v>
      </c>
      <c r="H48" s="103">
        <f t="shared" si="1"/>
        <v>0</v>
      </c>
    </row>
    <row r="49" spans="1:8" ht="15.75" customHeight="1" x14ac:dyDescent="0.2">
      <c r="A49" s="6" t="s">
        <v>96</v>
      </c>
      <c r="B49" s="9" t="s">
        <v>97</v>
      </c>
      <c r="C49" s="46" t="s">
        <v>5</v>
      </c>
      <c r="D49" s="40">
        <v>50.160000000000004</v>
      </c>
      <c r="E49" s="41">
        <v>4173.84</v>
      </c>
      <c r="F49" s="42"/>
      <c r="G49" s="40">
        <f t="shared" si="0"/>
        <v>0</v>
      </c>
      <c r="H49" s="103">
        <f t="shared" si="1"/>
        <v>0</v>
      </c>
    </row>
    <row r="50" spans="1:8" ht="15" customHeight="1" x14ac:dyDescent="0.2">
      <c r="A50" s="6" t="s">
        <v>99</v>
      </c>
      <c r="B50" s="9" t="s">
        <v>101</v>
      </c>
      <c r="C50" s="46" t="s">
        <v>5</v>
      </c>
      <c r="D50" s="40">
        <v>66</v>
      </c>
      <c r="E50" s="41">
        <v>5486.8</v>
      </c>
      <c r="F50" s="42"/>
      <c r="G50" s="40">
        <f t="shared" si="0"/>
        <v>0</v>
      </c>
      <c r="H50" s="103">
        <f t="shared" si="1"/>
        <v>0</v>
      </c>
    </row>
    <row r="51" spans="1:8" ht="15" customHeight="1" x14ac:dyDescent="0.2">
      <c r="A51" s="6" t="s">
        <v>100</v>
      </c>
      <c r="B51" s="9" t="s">
        <v>98</v>
      </c>
      <c r="C51" s="46" t="s">
        <v>5</v>
      </c>
      <c r="D51" s="40">
        <v>86.24</v>
      </c>
      <c r="E51" s="41">
        <v>7222.16</v>
      </c>
      <c r="F51" s="42"/>
      <c r="G51" s="40">
        <f t="shared" si="0"/>
        <v>0</v>
      </c>
      <c r="H51" s="103">
        <f t="shared" si="1"/>
        <v>0</v>
      </c>
    </row>
    <row r="52" spans="1:8" ht="15.75" customHeight="1" x14ac:dyDescent="0.2">
      <c r="A52" s="6" t="s">
        <v>104</v>
      </c>
      <c r="B52" s="9" t="s">
        <v>102</v>
      </c>
      <c r="C52" s="46" t="s">
        <v>5</v>
      </c>
      <c r="D52" s="40">
        <v>114.4</v>
      </c>
      <c r="E52" s="41">
        <v>9518.9600000000009</v>
      </c>
      <c r="F52" s="42"/>
      <c r="G52" s="40">
        <f t="shared" si="0"/>
        <v>0</v>
      </c>
      <c r="H52" s="103">
        <f t="shared" si="1"/>
        <v>0</v>
      </c>
    </row>
    <row r="53" spans="1:8" ht="15.75" customHeight="1" x14ac:dyDescent="0.2">
      <c r="A53" s="6" t="s">
        <v>105</v>
      </c>
      <c r="B53" s="9" t="s">
        <v>103</v>
      </c>
      <c r="C53" s="46" t="s">
        <v>5</v>
      </c>
      <c r="D53" s="40">
        <v>150.47999999999999</v>
      </c>
      <c r="E53" s="41">
        <v>12562</v>
      </c>
      <c r="F53" s="42">
        <v>75</v>
      </c>
      <c r="G53" s="40">
        <f t="shared" si="0"/>
        <v>11286</v>
      </c>
      <c r="H53" s="103">
        <f t="shared" si="1"/>
        <v>942150</v>
      </c>
    </row>
    <row r="54" spans="1:8" ht="15" customHeight="1" x14ac:dyDescent="0.2">
      <c r="A54" s="6" t="s">
        <v>110</v>
      </c>
      <c r="B54" s="9" t="s">
        <v>106</v>
      </c>
      <c r="C54" s="46" t="s">
        <v>5</v>
      </c>
      <c r="D54" s="40">
        <v>198.88</v>
      </c>
      <c r="E54" s="41">
        <v>16597.68</v>
      </c>
      <c r="F54" s="42"/>
      <c r="G54" s="40">
        <f t="shared" si="0"/>
        <v>0</v>
      </c>
      <c r="H54" s="103">
        <f t="shared" si="1"/>
        <v>0</v>
      </c>
    </row>
    <row r="55" spans="1:8" ht="15" customHeight="1" x14ac:dyDescent="0.2">
      <c r="A55" s="6" t="s">
        <v>111</v>
      </c>
      <c r="B55" s="9" t="s">
        <v>107</v>
      </c>
      <c r="C55" s="46" t="s">
        <v>5</v>
      </c>
      <c r="D55" s="40">
        <v>263.12</v>
      </c>
      <c r="E55" s="41">
        <v>21956</v>
      </c>
      <c r="F55" s="42"/>
      <c r="G55" s="40">
        <f t="shared" si="0"/>
        <v>0</v>
      </c>
      <c r="H55" s="103">
        <f t="shared" si="1"/>
        <v>0</v>
      </c>
    </row>
    <row r="56" spans="1:8" ht="15" customHeight="1" x14ac:dyDescent="0.2">
      <c r="A56" s="6" t="s">
        <v>112</v>
      </c>
      <c r="B56" s="9" t="s">
        <v>108</v>
      </c>
      <c r="C56" s="46" t="s">
        <v>5</v>
      </c>
      <c r="D56" s="40">
        <v>349.36</v>
      </c>
      <c r="E56" s="41">
        <v>29076.959999999999</v>
      </c>
      <c r="F56" s="42"/>
      <c r="G56" s="40">
        <f t="shared" si="0"/>
        <v>0</v>
      </c>
      <c r="H56" s="103">
        <f t="shared" si="1"/>
        <v>0</v>
      </c>
    </row>
    <row r="57" spans="1:8" ht="15" customHeight="1" x14ac:dyDescent="0.2">
      <c r="A57" s="6" t="s">
        <v>113</v>
      </c>
      <c r="B57" s="9" t="s">
        <v>109</v>
      </c>
      <c r="C57" s="46" t="s">
        <v>5</v>
      </c>
      <c r="D57" s="40">
        <v>462.88</v>
      </c>
      <c r="E57" s="41">
        <v>38548.400000000001</v>
      </c>
      <c r="F57" s="42">
        <v>10</v>
      </c>
      <c r="G57" s="40">
        <f t="shared" si="0"/>
        <v>4628.8</v>
      </c>
      <c r="H57" s="103">
        <f t="shared" si="1"/>
        <v>385484</v>
      </c>
    </row>
    <row r="58" spans="1:8" ht="36" x14ac:dyDescent="0.2">
      <c r="A58" s="1">
        <v>14</v>
      </c>
      <c r="B58" s="47" t="s">
        <v>65</v>
      </c>
      <c r="C58" s="48" t="s">
        <v>20</v>
      </c>
      <c r="D58" s="40">
        <v>0</v>
      </c>
      <c r="E58" s="41">
        <v>0</v>
      </c>
      <c r="F58" s="42"/>
      <c r="G58" s="40">
        <f t="shared" si="0"/>
        <v>0</v>
      </c>
      <c r="H58" s="103">
        <f t="shared" si="1"/>
        <v>0</v>
      </c>
    </row>
    <row r="59" spans="1:8" x14ac:dyDescent="0.2">
      <c r="A59" s="6" t="s">
        <v>4</v>
      </c>
      <c r="B59" s="9" t="s">
        <v>8</v>
      </c>
      <c r="C59" s="48" t="s">
        <v>5</v>
      </c>
      <c r="D59" s="40">
        <v>38.72</v>
      </c>
      <c r="E59" s="41">
        <v>3246.32</v>
      </c>
      <c r="F59" s="42"/>
      <c r="G59" s="40">
        <f t="shared" si="0"/>
        <v>0</v>
      </c>
      <c r="H59" s="103">
        <f t="shared" si="1"/>
        <v>0</v>
      </c>
    </row>
    <row r="60" spans="1:8" x14ac:dyDescent="0.2">
      <c r="A60" s="6" t="s">
        <v>6</v>
      </c>
      <c r="B60" s="9" t="s">
        <v>9</v>
      </c>
      <c r="C60" s="48" t="s">
        <v>5</v>
      </c>
      <c r="D60" s="40">
        <v>65.12</v>
      </c>
      <c r="E60" s="41">
        <v>5411.12</v>
      </c>
      <c r="F60" s="42"/>
      <c r="G60" s="40">
        <f t="shared" si="0"/>
        <v>0</v>
      </c>
      <c r="H60" s="103">
        <f t="shared" si="1"/>
        <v>0</v>
      </c>
    </row>
    <row r="61" spans="1:8" x14ac:dyDescent="0.2">
      <c r="A61" s="6" t="s">
        <v>7</v>
      </c>
      <c r="B61" s="9" t="s">
        <v>10</v>
      </c>
      <c r="C61" s="48" t="s">
        <v>5</v>
      </c>
      <c r="D61" s="40">
        <v>78.320000000000007</v>
      </c>
      <c r="E61" s="41">
        <v>6495.28</v>
      </c>
      <c r="F61" s="42"/>
      <c r="G61" s="40">
        <f t="shared" si="0"/>
        <v>0</v>
      </c>
      <c r="H61" s="103">
        <f t="shared" si="1"/>
        <v>0</v>
      </c>
    </row>
    <row r="62" spans="1:8" x14ac:dyDescent="0.2">
      <c r="A62" s="6" t="s">
        <v>11</v>
      </c>
      <c r="B62" s="9" t="s">
        <v>12</v>
      </c>
      <c r="C62" s="48" t="s">
        <v>5</v>
      </c>
      <c r="D62" s="40">
        <v>90.64</v>
      </c>
      <c r="E62" s="41">
        <v>7576.8</v>
      </c>
      <c r="F62" s="42">
        <v>75</v>
      </c>
      <c r="G62" s="40">
        <f t="shared" si="0"/>
        <v>6798</v>
      </c>
      <c r="H62" s="103">
        <f t="shared" si="1"/>
        <v>568260</v>
      </c>
    </row>
    <row r="63" spans="1:8" x14ac:dyDescent="0.2">
      <c r="A63" s="6" t="s">
        <v>13</v>
      </c>
      <c r="B63" s="9" t="s">
        <v>14</v>
      </c>
      <c r="C63" s="48" t="s">
        <v>5</v>
      </c>
      <c r="D63" s="40">
        <v>117.04</v>
      </c>
      <c r="E63" s="41">
        <v>9741.6</v>
      </c>
      <c r="F63" s="42"/>
      <c r="G63" s="40">
        <f t="shared" si="0"/>
        <v>0</v>
      </c>
      <c r="H63" s="103">
        <f t="shared" si="1"/>
        <v>0</v>
      </c>
    </row>
    <row r="64" spans="1:8" x14ac:dyDescent="0.2">
      <c r="A64" s="6" t="s">
        <v>15</v>
      </c>
      <c r="B64" s="9" t="s">
        <v>16</v>
      </c>
      <c r="C64" s="48" t="s">
        <v>5</v>
      </c>
      <c r="D64" s="40">
        <v>130.24</v>
      </c>
      <c r="E64" s="41">
        <v>10825.76</v>
      </c>
      <c r="F64" s="42">
        <v>10</v>
      </c>
      <c r="G64" s="40">
        <f t="shared" si="0"/>
        <v>1302.4000000000001</v>
      </c>
      <c r="H64" s="103">
        <f t="shared" si="1"/>
        <v>108257.60000000001</v>
      </c>
    </row>
    <row r="65" spans="1:8" ht="24" x14ac:dyDescent="0.2">
      <c r="A65" s="1">
        <v>16</v>
      </c>
      <c r="B65" s="47" t="s">
        <v>80</v>
      </c>
      <c r="C65" s="48" t="s">
        <v>23</v>
      </c>
      <c r="D65" s="40">
        <v>0</v>
      </c>
      <c r="E65" s="41">
        <v>0</v>
      </c>
      <c r="F65" s="42"/>
      <c r="G65" s="40">
        <f t="shared" si="0"/>
        <v>0</v>
      </c>
      <c r="H65" s="103">
        <f t="shared" si="1"/>
        <v>0</v>
      </c>
    </row>
    <row r="66" spans="1:8" x14ac:dyDescent="0.2">
      <c r="A66" s="6" t="s">
        <v>4</v>
      </c>
      <c r="B66" s="9" t="s">
        <v>8</v>
      </c>
      <c r="C66" s="48" t="s">
        <v>5</v>
      </c>
      <c r="D66" s="40">
        <v>330</v>
      </c>
      <c r="E66" s="41">
        <v>27480.639999999999</v>
      </c>
      <c r="F66" s="42"/>
      <c r="G66" s="40">
        <f t="shared" si="0"/>
        <v>0</v>
      </c>
      <c r="H66" s="103">
        <f t="shared" si="1"/>
        <v>0</v>
      </c>
    </row>
    <row r="67" spans="1:8" x14ac:dyDescent="0.2">
      <c r="A67" s="6" t="s">
        <v>6</v>
      </c>
      <c r="B67" s="9" t="s">
        <v>9</v>
      </c>
      <c r="C67" s="48" t="s">
        <v>5</v>
      </c>
      <c r="D67" s="40">
        <v>440</v>
      </c>
      <c r="E67" s="41">
        <v>36640.559999999998</v>
      </c>
      <c r="F67" s="42"/>
      <c r="G67" s="40">
        <f t="shared" si="0"/>
        <v>0</v>
      </c>
      <c r="H67" s="103">
        <f t="shared" si="1"/>
        <v>0</v>
      </c>
    </row>
    <row r="68" spans="1:8" x14ac:dyDescent="0.2">
      <c r="A68" s="6" t="s">
        <v>7</v>
      </c>
      <c r="B68" s="9" t="s">
        <v>10</v>
      </c>
      <c r="C68" s="48" t="s">
        <v>5</v>
      </c>
      <c r="D68" s="40">
        <v>604.56000000000006</v>
      </c>
      <c r="E68" s="41">
        <v>50380</v>
      </c>
      <c r="F68" s="42"/>
      <c r="G68" s="40">
        <f t="shared" si="0"/>
        <v>0</v>
      </c>
      <c r="H68" s="103">
        <f t="shared" si="1"/>
        <v>0</v>
      </c>
    </row>
    <row r="69" spans="1:8" x14ac:dyDescent="0.2">
      <c r="A69" s="6" t="s">
        <v>11</v>
      </c>
      <c r="B69" s="9" t="s">
        <v>12</v>
      </c>
      <c r="C69" s="48" t="s">
        <v>5</v>
      </c>
      <c r="D69" s="40">
        <v>769.12</v>
      </c>
      <c r="E69" s="41">
        <v>64118.559999999998</v>
      </c>
      <c r="F69" s="42">
        <v>1</v>
      </c>
      <c r="G69" s="40">
        <f t="shared" si="0"/>
        <v>769.12</v>
      </c>
      <c r="H69" s="103">
        <f t="shared" si="1"/>
        <v>64118.559999999998</v>
      </c>
    </row>
    <row r="70" spans="1:8" x14ac:dyDescent="0.2">
      <c r="A70" s="6" t="s">
        <v>13</v>
      </c>
      <c r="B70" s="9" t="s">
        <v>14</v>
      </c>
      <c r="C70" s="48" t="s">
        <v>5</v>
      </c>
      <c r="D70" s="40">
        <v>934.56000000000006</v>
      </c>
      <c r="E70" s="41">
        <v>77859.759999999995</v>
      </c>
      <c r="F70" s="42"/>
      <c r="G70" s="40">
        <f t="shared" si="0"/>
        <v>0</v>
      </c>
      <c r="H70" s="103">
        <f t="shared" si="1"/>
        <v>0</v>
      </c>
    </row>
    <row r="71" spans="1:8" x14ac:dyDescent="0.2">
      <c r="A71" s="6" t="s">
        <v>15</v>
      </c>
      <c r="B71" s="9" t="s">
        <v>16</v>
      </c>
      <c r="C71" s="48" t="s">
        <v>5</v>
      </c>
      <c r="D71" s="40">
        <v>1099.1200000000001</v>
      </c>
      <c r="E71" s="41">
        <v>91599.2</v>
      </c>
      <c r="F71" s="42">
        <v>1</v>
      </c>
      <c r="G71" s="40">
        <f t="shared" si="0"/>
        <v>1099.1200000000001</v>
      </c>
      <c r="H71" s="103">
        <f t="shared" si="1"/>
        <v>91599.2</v>
      </c>
    </row>
    <row r="72" spans="1:8" ht="24" x14ac:dyDescent="0.2">
      <c r="A72" s="1">
        <v>17</v>
      </c>
      <c r="B72" s="47" t="s">
        <v>78</v>
      </c>
      <c r="C72" s="48" t="s">
        <v>198</v>
      </c>
      <c r="D72" s="40">
        <v>35029.18032786886</v>
      </c>
      <c r="E72" s="41">
        <v>7087570.8196721319</v>
      </c>
      <c r="F72" s="42">
        <v>1</v>
      </c>
      <c r="G72" s="40">
        <f t="shared" si="0"/>
        <v>35029.18032786886</v>
      </c>
      <c r="H72" s="103">
        <f t="shared" si="1"/>
        <v>7087570.8196721319</v>
      </c>
    </row>
    <row r="73" spans="1:8" ht="24" x14ac:dyDescent="0.2">
      <c r="A73" s="1">
        <v>18</v>
      </c>
      <c r="B73" s="8" t="s">
        <v>24</v>
      </c>
      <c r="C73" s="43" t="s">
        <v>23</v>
      </c>
      <c r="D73" s="40">
        <v>0</v>
      </c>
      <c r="E73" s="41">
        <v>0</v>
      </c>
      <c r="F73" s="42"/>
      <c r="G73" s="40">
        <f t="shared" si="0"/>
        <v>0</v>
      </c>
      <c r="H73" s="103">
        <f t="shared" si="1"/>
        <v>0</v>
      </c>
    </row>
    <row r="74" spans="1:8" x14ac:dyDescent="0.2">
      <c r="A74" s="6" t="s">
        <v>4</v>
      </c>
      <c r="B74" s="7" t="s">
        <v>8</v>
      </c>
      <c r="C74" s="43" t="s">
        <v>5</v>
      </c>
      <c r="D74" s="40">
        <v>12.32</v>
      </c>
      <c r="E74" s="41">
        <v>998.8</v>
      </c>
      <c r="F74" s="42"/>
      <c r="G74" s="40">
        <f t="shared" si="0"/>
        <v>0</v>
      </c>
      <c r="H74" s="103">
        <f t="shared" si="1"/>
        <v>0</v>
      </c>
    </row>
    <row r="75" spans="1:8" x14ac:dyDescent="0.2">
      <c r="A75" s="6" t="s">
        <v>6</v>
      </c>
      <c r="B75" s="7" t="s">
        <v>9</v>
      </c>
      <c r="C75" s="43" t="s">
        <v>5</v>
      </c>
      <c r="D75" s="40">
        <v>26.4</v>
      </c>
      <c r="E75" s="41">
        <v>2164.8000000000002</v>
      </c>
      <c r="F75" s="42"/>
      <c r="G75" s="40">
        <f t="shared" si="0"/>
        <v>0</v>
      </c>
      <c r="H75" s="103">
        <f t="shared" si="1"/>
        <v>0</v>
      </c>
    </row>
    <row r="76" spans="1:8" x14ac:dyDescent="0.2">
      <c r="A76" s="6" t="s">
        <v>7</v>
      </c>
      <c r="B76" s="7" t="s">
        <v>10</v>
      </c>
      <c r="C76" s="43" t="s">
        <v>5</v>
      </c>
      <c r="D76" s="40">
        <v>38.72</v>
      </c>
      <c r="E76" s="41">
        <v>3246.32</v>
      </c>
      <c r="F76" s="42"/>
      <c r="G76" s="40">
        <f t="shared" si="0"/>
        <v>0</v>
      </c>
      <c r="H76" s="103">
        <f t="shared" si="1"/>
        <v>0</v>
      </c>
    </row>
    <row r="77" spans="1:8" x14ac:dyDescent="0.2">
      <c r="A77" s="6" t="s">
        <v>11</v>
      </c>
      <c r="B77" s="7" t="s">
        <v>12</v>
      </c>
      <c r="C77" s="43" t="s">
        <v>5</v>
      </c>
      <c r="D77" s="40">
        <v>45.76</v>
      </c>
      <c r="E77" s="41">
        <v>3788.4</v>
      </c>
      <c r="F77" s="42">
        <v>1</v>
      </c>
      <c r="G77" s="40">
        <f t="shared" si="0"/>
        <v>45.76</v>
      </c>
      <c r="H77" s="103">
        <f t="shared" si="1"/>
        <v>3788.4</v>
      </c>
    </row>
    <row r="78" spans="1:8" x14ac:dyDescent="0.2">
      <c r="A78" s="6" t="s">
        <v>13</v>
      </c>
      <c r="B78" s="7" t="s">
        <v>14</v>
      </c>
      <c r="C78" s="43" t="s">
        <v>5</v>
      </c>
      <c r="D78" s="40">
        <v>78.320000000000007</v>
      </c>
      <c r="E78" s="41">
        <v>6495.28</v>
      </c>
      <c r="F78" s="42"/>
      <c r="G78" s="40">
        <f t="shared" si="0"/>
        <v>0</v>
      </c>
      <c r="H78" s="103">
        <f t="shared" si="1"/>
        <v>0</v>
      </c>
    </row>
    <row r="79" spans="1:8" x14ac:dyDescent="0.2">
      <c r="A79" s="6" t="s">
        <v>15</v>
      </c>
      <c r="B79" s="7" t="s">
        <v>16</v>
      </c>
      <c r="C79" s="43" t="s">
        <v>5</v>
      </c>
      <c r="D79" s="40">
        <v>103.84</v>
      </c>
      <c r="E79" s="41">
        <v>8660.08</v>
      </c>
      <c r="F79" s="42">
        <v>1</v>
      </c>
      <c r="G79" s="40">
        <f t="shared" si="0"/>
        <v>103.84</v>
      </c>
      <c r="H79" s="103">
        <f t="shared" si="1"/>
        <v>8660.08</v>
      </c>
    </row>
    <row r="80" spans="1:8" ht="24" x14ac:dyDescent="0.2">
      <c r="A80" s="1">
        <v>19</v>
      </c>
      <c r="B80" s="8" t="s">
        <v>25</v>
      </c>
      <c r="C80" s="43"/>
      <c r="D80" s="40">
        <v>0</v>
      </c>
      <c r="E80" s="41">
        <v>0</v>
      </c>
      <c r="F80" s="42"/>
      <c r="G80" s="40">
        <f t="shared" si="0"/>
        <v>0</v>
      </c>
      <c r="H80" s="103">
        <f t="shared" si="1"/>
        <v>0</v>
      </c>
    </row>
    <row r="81" spans="1:8" ht="24" x14ac:dyDescent="0.2">
      <c r="A81" s="52" t="s">
        <v>4</v>
      </c>
      <c r="B81" s="39" t="s">
        <v>26</v>
      </c>
      <c r="C81" s="15" t="s">
        <v>19</v>
      </c>
      <c r="D81" s="40">
        <v>0</v>
      </c>
      <c r="E81" s="41">
        <v>0</v>
      </c>
      <c r="F81" s="42"/>
      <c r="G81" s="40">
        <f t="shared" ref="G81:G130" si="2">D81*F81</f>
        <v>0</v>
      </c>
      <c r="H81" s="103">
        <f t="shared" ref="H81:H130" si="3">E81*F81</f>
        <v>0</v>
      </c>
    </row>
    <row r="82" spans="1:8" x14ac:dyDescent="0.2">
      <c r="A82" s="6" t="s">
        <v>27</v>
      </c>
      <c r="B82" s="7" t="s">
        <v>28</v>
      </c>
      <c r="C82" s="43"/>
      <c r="D82" s="40">
        <v>13.2</v>
      </c>
      <c r="E82" s="41">
        <v>1130.8</v>
      </c>
      <c r="F82" s="42"/>
      <c r="G82" s="40">
        <f t="shared" si="2"/>
        <v>0</v>
      </c>
      <c r="H82" s="103">
        <f t="shared" si="3"/>
        <v>0</v>
      </c>
    </row>
    <row r="83" spans="1:8" x14ac:dyDescent="0.2">
      <c r="A83" s="6" t="s">
        <v>29</v>
      </c>
      <c r="B83" s="7" t="s">
        <v>30</v>
      </c>
      <c r="C83" s="43"/>
      <c r="D83" s="40">
        <v>27.28</v>
      </c>
      <c r="E83" s="41">
        <v>2265.12</v>
      </c>
      <c r="F83" s="42"/>
      <c r="G83" s="40">
        <f t="shared" si="2"/>
        <v>0</v>
      </c>
      <c r="H83" s="103">
        <f t="shared" si="3"/>
        <v>0</v>
      </c>
    </row>
    <row r="84" spans="1:8" x14ac:dyDescent="0.2">
      <c r="A84" s="6" t="s">
        <v>31</v>
      </c>
      <c r="B84" s="7" t="s">
        <v>32</v>
      </c>
      <c r="C84" s="43"/>
      <c r="D84" s="40">
        <v>67.760000000000005</v>
      </c>
      <c r="E84" s="41">
        <v>5661.04</v>
      </c>
      <c r="F84" s="42"/>
      <c r="G84" s="40">
        <f t="shared" si="2"/>
        <v>0</v>
      </c>
      <c r="H84" s="103">
        <f t="shared" si="3"/>
        <v>0</v>
      </c>
    </row>
    <row r="85" spans="1:8" x14ac:dyDescent="0.2">
      <c r="A85" s="6" t="s">
        <v>6</v>
      </c>
      <c r="B85" s="8" t="s">
        <v>54</v>
      </c>
      <c r="C85" s="43" t="s">
        <v>33</v>
      </c>
      <c r="D85" s="40">
        <v>131.12</v>
      </c>
      <c r="E85" s="41">
        <v>11325.6</v>
      </c>
      <c r="F85" s="42"/>
      <c r="G85" s="40">
        <f t="shared" si="2"/>
        <v>0</v>
      </c>
      <c r="H85" s="103">
        <f t="shared" si="3"/>
        <v>0</v>
      </c>
    </row>
    <row r="86" spans="1:8" ht="24" x14ac:dyDescent="0.2">
      <c r="A86" s="6" t="s">
        <v>7</v>
      </c>
      <c r="B86" s="8" t="s">
        <v>34</v>
      </c>
      <c r="C86" s="43" t="s">
        <v>35</v>
      </c>
      <c r="D86" s="40">
        <v>13.2</v>
      </c>
      <c r="E86" s="41">
        <v>1129.92</v>
      </c>
      <c r="F86" s="42"/>
      <c r="G86" s="40">
        <f t="shared" si="2"/>
        <v>0</v>
      </c>
      <c r="H86" s="103">
        <f t="shared" si="3"/>
        <v>0</v>
      </c>
    </row>
    <row r="87" spans="1:8" x14ac:dyDescent="0.2">
      <c r="A87" s="6" t="s">
        <v>11</v>
      </c>
      <c r="B87" s="8" t="s">
        <v>36</v>
      </c>
      <c r="C87" s="43" t="s">
        <v>37</v>
      </c>
      <c r="D87" s="40">
        <v>0</v>
      </c>
      <c r="E87" s="41">
        <v>0</v>
      </c>
      <c r="F87" s="42"/>
      <c r="G87" s="40">
        <f t="shared" si="2"/>
        <v>0</v>
      </c>
      <c r="H87" s="103">
        <f t="shared" si="3"/>
        <v>0</v>
      </c>
    </row>
    <row r="88" spans="1:8" x14ac:dyDescent="0.2">
      <c r="A88" s="1" t="s">
        <v>27</v>
      </c>
      <c r="B88" s="7" t="s">
        <v>28</v>
      </c>
      <c r="C88" s="43"/>
      <c r="D88" s="40">
        <v>13.2</v>
      </c>
      <c r="E88" s="41">
        <v>1130.8</v>
      </c>
      <c r="F88" s="42"/>
      <c r="G88" s="40">
        <f t="shared" si="2"/>
        <v>0</v>
      </c>
      <c r="H88" s="103">
        <f t="shared" si="3"/>
        <v>0</v>
      </c>
    </row>
    <row r="89" spans="1:8" x14ac:dyDescent="0.2">
      <c r="A89" s="1" t="s">
        <v>29</v>
      </c>
      <c r="B89" s="7" t="s">
        <v>30</v>
      </c>
      <c r="C89" s="43"/>
      <c r="D89" s="40">
        <v>27.28</v>
      </c>
      <c r="E89" s="41">
        <v>2265.12</v>
      </c>
      <c r="F89" s="42"/>
      <c r="G89" s="40">
        <f t="shared" si="2"/>
        <v>0</v>
      </c>
      <c r="H89" s="103">
        <f t="shared" si="3"/>
        <v>0</v>
      </c>
    </row>
    <row r="90" spans="1:8" x14ac:dyDescent="0.2">
      <c r="A90" s="1" t="s">
        <v>31</v>
      </c>
      <c r="B90" s="7" t="s">
        <v>32</v>
      </c>
      <c r="C90" s="43"/>
      <c r="D90" s="40">
        <v>34.32</v>
      </c>
      <c r="E90" s="41">
        <v>2831.84</v>
      </c>
      <c r="F90" s="42"/>
      <c r="G90" s="40">
        <f t="shared" si="2"/>
        <v>0</v>
      </c>
      <c r="H90" s="103">
        <f t="shared" si="3"/>
        <v>0</v>
      </c>
    </row>
    <row r="91" spans="1:8" ht="24" x14ac:dyDescent="0.2">
      <c r="A91" s="6" t="s">
        <v>13</v>
      </c>
      <c r="B91" s="8" t="s">
        <v>38</v>
      </c>
      <c r="C91" s="43" t="s">
        <v>39</v>
      </c>
      <c r="D91" s="40">
        <v>20.239999999999998</v>
      </c>
      <c r="E91" s="41">
        <v>16922.400000000001</v>
      </c>
      <c r="F91" s="42"/>
      <c r="G91" s="40">
        <f t="shared" si="2"/>
        <v>0</v>
      </c>
      <c r="H91" s="103">
        <f t="shared" si="3"/>
        <v>0</v>
      </c>
    </row>
    <row r="92" spans="1:8" ht="24" x14ac:dyDescent="0.2">
      <c r="A92" s="6" t="s">
        <v>15</v>
      </c>
      <c r="B92" s="8" t="s">
        <v>40</v>
      </c>
      <c r="C92" s="43" t="s">
        <v>39</v>
      </c>
      <c r="D92" s="40">
        <v>40.479999999999997</v>
      </c>
      <c r="E92" s="41">
        <v>3395.92</v>
      </c>
      <c r="F92" s="42"/>
      <c r="G92" s="40">
        <f t="shared" si="2"/>
        <v>0</v>
      </c>
      <c r="H92" s="103">
        <f t="shared" si="3"/>
        <v>0</v>
      </c>
    </row>
    <row r="93" spans="1:8" ht="24" x14ac:dyDescent="0.2">
      <c r="A93" s="6" t="s">
        <v>41</v>
      </c>
      <c r="B93" s="8" t="s">
        <v>42</v>
      </c>
      <c r="C93" s="43" t="s">
        <v>39</v>
      </c>
      <c r="D93" s="40">
        <v>40.479999999999997</v>
      </c>
      <c r="E93" s="41">
        <v>3395.92</v>
      </c>
      <c r="F93" s="42"/>
      <c r="G93" s="40">
        <f t="shared" si="2"/>
        <v>0</v>
      </c>
      <c r="H93" s="103">
        <f t="shared" si="3"/>
        <v>0</v>
      </c>
    </row>
    <row r="94" spans="1:8" ht="24" x14ac:dyDescent="0.2">
      <c r="A94" s="6" t="s">
        <v>43</v>
      </c>
      <c r="B94" s="8" t="s">
        <v>44</v>
      </c>
      <c r="C94" s="43" t="s">
        <v>39</v>
      </c>
      <c r="D94" s="40">
        <v>20.239999999999998</v>
      </c>
      <c r="E94" s="41">
        <v>1698.4</v>
      </c>
      <c r="F94" s="42"/>
      <c r="G94" s="40">
        <f t="shared" si="2"/>
        <v>0</v>
      </c>
      <c r="H94" s="103">
        <f t="shared" si="3"/>
        <v>0</v>
      </c>
    </row>
    <row r="95" spans="1:8" x14ac:dyDescent="0.2">
      <c r="A95" s="6" t="s">
        <v>45</v>
      </c>
      <c r="B95" s="8" t="s">
        <v>70</v>
      </c>
      <c r="C95" s="43" t="s">
        <v>46</v>
      </c>
      <c r="D95" s="40">
        <v>0</v>
      </c>
      <c r="E95" s="41">
        <v>0</v>
      </c>
      <c r="F95" s="42"/>
      <c r="G95" s="40">
        <f t="shared" si="2"/>
        <v>0</v>
      </c>
      <c r="H95" s="103">
        <f t="shared" si="3"/>
        <v>0</v>
      </c>
    </row>
    <row r="96" spans="1:8" x14ac:dyDescent="0.2">
      <c r="A96" s="1" t="s">
        <v>27</v>
      </c>
      <c r="B96" s="7" t="s">
        <v>50</v>
      </c>
      <c r="C96" s="43" t="s">
        <v>46</v>
      </c>
      <c r="D96" s="40">
        <v>67.760000000000005</v>
      </c>
      <c r="E96" s="41">
        <v>5661.04</v>
      </c>
      <c r="F96" s="42"/>
      <c r="G96" s="40">
        <f t="shared" si="2"/>
        <v>0</v>
      </c>
      <c r="H96" s="103">
        <f t="shared" si="3"/>
        <v>0</v>
      </c>
    </row>
    <row r="97" spans="1:8" x14ac:dyDescent="0.2">
      <c r="A97" s="1" t="s">
        <v>29</v>
      </c>
      <c r="B97" s="7" t="s">
        <v>49</v>
      </c>
      <c r="C97" s="43" t="s">
        <v>46</v>
      </c>
      <c r="D97" s="40">
        <v>81.84</v>
      </c>
      <c r="E97" s="41">
        <v>6795.36</v>
      </c>
      <c r="F97" s="42"/>
      <c r="G97" s="40">
        <f t="shared" si="2"/>
        <v>0</v>
      </c>
      <c r="H97" s="103">
        <f t="shared" si="3"/>
        <v>0</v>
      </c>
    </row>
    <row r="98" spans="1:8" x14ac:dyDescent="0.2">
      <c r="A98" s="148" t="s">
        <v>31</v>
      </c>
      <c r="B98" s="10" t="s">
        <v>66</v>
      </c>
      <c r="C98" s="43" t="s">
        <v>46</v>
      </c>
      <c r="D98" s="40">
        <v>109.12</v>
      </c>
      <c r="E98" s="41">
        <v>9060.48</v>
      </c>
      <c r="F98" s="42">
        <v>15</v>
      </c>
      <c r="G98" s="40">
        <f t="shared" si="2"/>
        <v>1636.8000000000002</v>
      </c>
      <c r="H98" s="103">
        <f t="shared" si="3"/>
        <v>135907.19999999998</v>
      </c>
    </row>
    <row r="99" spans="1:8" x14ac:dyDescent="0.2">
      <c r="A99" s="148" t="s">
        <v>120</v>
      </c>
      <c r="B99" s="10" t="s">
        <v>121</v>
      </c>
      <c r="C99" s="43" t="s">
        <v>46</v>
      </c>
      <c r="D99" s="40">
        <v>109.12</v>
      </c>
      <c r="E99" s="41">
        <v>9060.48</v>
      </c>
      <c r="F99" s="42"/>
      <c r="G99" s="40">
        <f>D99*F99</f>
        <v>0</v>
      </c>
      <c r="H99" s="103">
        <f>E99*F99</f>
        <v>0</v>
      </c>
    </row>
    <row r="100" spans="1:8" ht="24" x14ac:dyDescent="0.2">
      <c r="A100" s="38" t="s">
        <v>74</v>
      </c>
      <c r="B100" s="39" t="s">
        <v>75</v>
      </c>
      <c r="C100" s="43" t="s">
        <v>77</v>
      </c>
      <c r="D100" s="40">
        <v>11.44</v>
      </c>
      <c r="E100" s="41">
        <v>942.48</v>
      </c>
      <c r="F100" s="42"/>
      <c r="G100" s="40">
        <f t="shared" si="2"/>
        <v>0</v>
      </c>
      <c r="H100" s="103">
        <f t="shared" si="3"/>
        <v>0</v>
      </c>
    </row>
    <row r="101" spans="1:8" ht="24" x14ac:dyDescent="0.2">
      <c r="A101" s="38" t="s">
        <v>76</v>
      </c>
      <c r="B101" s="39" t="s">
        <v>82</v>
      </c>
      <c r="C101" s="43" t="s">
        <v>77</v>
      </c>
      <c r="D101" s="40">
        <v>12.32</v>
      </c>
      <c r="E101" s="41">
        <v>1028.72</v>
      </c>
      <c r="F101" s="42"/>
      <c r="G101" s="40">
        <f t="shared" si="2"/>
        <v>0</v>
      </c>
      <c r="H101" s="103">
        <f t="shared" si="3"/>
        <v>0</v>
      </c>
    </row>
    <row r="102" spans="1:8" customFormat="1" ht="24" x14ac:dyDescent="0.2">
      <c r="A102" s="119">
        <v>20</v>
      </c>
      <c r="B102" s="120" t="s">
        <v>168</v>
      </c>
      <c r="C102" s="121"/>
      <c r="D102" s="17">
        <v>0</v>
      </c>
      <c r="E102" s="122">
        <v>0</v>
      </c>
      <c r="G102" s="18">
        <f t="shared" si="2"/>
        <v>0</v>
      </c>
      <c r="H102" s="123">
        <f t="shared" si="3"/>
        <v>0</v>
      </c>
    </row>
    <row r="103" spans="1:8" customFormat="1" ht="60" customHeight="1" x14ac:dyDescent="0.2">
      <c r="A103" s="149" t="s">
        <v>4</v>
      </c>
      <c r="B103" s="150" t="s">
        <v>169</v>
      </c>
      <c r="C103" s="151" t="s">
        <v>170</v>
      </c>
      <c r="D103" s="145">
        <v>2294.16</v>
      </c>
      <c r="E103" s="158">
        <v>268874.32</v>
      </c>
      <c r="F103" s="145"/>
      <c r="G103" s="145">
        <f t="shared" si="2"/>
        <v>0</v>
      </c>
      <c r="H103" s="146">
        <f t="shared" si="3"/>
        <v>0</v>
      </c>
    </row>
    <row r="104" spans="1:8" ht="24" x14ac:dyDescent="0.2">
      <c r="A104" s="53">
        <v>21</v>
      </c>
      <c r="B104" s="54" t="s">
        <v>115</v>
      </c>
      <c r="C104" s="55" t="s">
        <v>116</v>
      </c>
      <c r="D104" s="40">
        <v>0</v>
      </c>
      <c r="E104" s="41">
        <v>0</v>
      </c>
      <c r="F104" s="42"/>
      <c r="G104" s="40">
        <f t="shared" si="2"/>
        <v>0</v>
      </c>
      <c r="H104" s="103">
        <f t="shared" si="3"/>
        <v>0</v>
      </c>
    </row>
    <row r="105" spans="1:8" ht="60" customHeight="1" x14ac:dyDescent="0.2">
      <c r="A105" s="44" t="s">
        <v>4</v>
      </c>
      <c r="B105" s="56" t="s">
        <v>8</v>
      </c>
      <c r="C105" s="46" t="s">
        <v>5</v>
      </c>
      <c r="D105" s="40">
        <v>6.16</v>
      </c>
      <c r="E105" s="41">
        <v>487.52</v>
      </c>
      <c r="F105" s="42"/>
      <c r="G105" s="40">
        <f t="shared" si="2"/>
        <v>0</v>
      </c>
      <c r="H105" s="103">
        <f t="shared" si="3"/>
        <v>0</v>
      </c>
    </row>
    <row r="106" spans="1:8" x14ac:dyDescent="0.2">
      <c r="A106" s="57" t="s">
        <v>6</v>
      </c>
      <c r="B106" s="58" t="s">
        <v>9</v>
      </c>
      <c r="C106" s="59" t="s">
        <v>5</v>
      </c>
      <c r="D106" s="40">
        <v>8.8000000000000007</v>
      </c>
      <c r="E106" s="41">
        <v>714.56000000000006</v>
      </c>
      <c r="F106" s="42"/>
      <c r="G106" s="40">
        <f t="shared" si="2"/>
        <v>0</v>
      </c>
      <c r="H106" s="103">
        <f t="shared" si="3"/>
        <v>0</v>
      </c>
    </row>
    <row r="107" spans="1:8" x14ac:dyDescent="0.2">
      <c r="A107" s="57" t="s">
        <v>7</v>
      </c>
      <c r="B107" s="58" t="s">
        <v>10</v>
      </c>
      <c r="C107" s="59" t="s">
        <v>5</v>
      </c>
      <c r="D107" s="40">
        <v>12.32</v>
      </c>
      <c r="E107" s="41">
        <v>1041.92</v>
      </c>
      <c r="F107" s="42"/>
      <c r="G107" s="40">
        <f t="shared" si="2"/>
        <v>0</v>
      </c>
      <c r="H107" s="103">
        <f t="shared" si="3"/>
        <v>0</v>
      </c>
    </row>
    <row r="108" spans="1:8" x14ac:dyDescent="0.2">
      <c r="A108" s="57" t="s">
        <v>11</v>
      </c>
      <c r="B108" s="58" t="s">
        <v>12</v>
      </c>
      <c r="C108" s="59" t="s">
        <v>5</v>
      </c>
      <c r="D108" s="40">
        <v>15.84</v>
      </c>
      <c r="E108" s="41">
        <v>1275.1200000000001</v>
      </c>
      <c r="F108" s="42"/>
      <c r="G108" s="40">
        <f t="shared" si="2"/>
        <v>0</v>
      </c>
      <c r="H108" s="103">
        <f t="shared" si="3"/>
        <v>0</v>
      </c>
    </row>
    <row r="109" spans="1:8" x14ac:dyDescent="0.2">
      <c r="A109" s="44" t="s">
        <v>13</v>
      </c>
      <c r="B109" s="7" t="s">
        <v>14</v>
      </c>
      <c r="C109" s="59" t="s">
        <v>5</v>
      </c>
      <c r="D109" s="40">
        <v>19.36</v>
      </c>
      <c r="E109" s="41">
        <v>1596.32</v>
      </c>
      <c r="F109" s="42"/>
      <c r="G109" s="40">
        <f t="shared" si="2"/>
        <v>0</v>
      </c>
      <c r="H109" s="103">
        <f t="shared" si="3"/>
        <v>0</v>
      </c>
    </row>
    <row r="110" spans="1:8" x14ac:dyDescent="0.2">
      <c r="A110" s="44" t="s">
        <v>15</v>
      </c>
      <c r="B110" s="7" t="s">
        <v>16</v>
      </c>
      <c r="C110" s="59" t="s">
        <v>5</v>
      </c>
      <c r="D110" s="40">
        <v>22.88</v>
      </c>
      <c r="E110" s="41">
        <v>1914.88</v>
      </c>
      <c r="F110" s="42"/>
      <c r="G110" s="40">
        <f t="shared" si="2"/>
        <v>0</v>
      </c>
      <c r="H110" s="103">
        <f t="shared" si="3"/>
        <v>0</v>
      </c>
    </row>
    <row r="111" spans="1:8" ht="24" x14ac:dyDescent="0.2">
      <c r="A111" s="38">
        <v>22</v>
      </c>
      <c r="B111" s="47" t="s">
        <v>67</v>
      </c>
      <c r="C111" s="48"/>
      <c r="D111" s="40">
        <v>0</v>
      </c>
      <c r="E111" s="41">
        <v>0</v>
      </c>
      <c r="F111" s="42"/>
      <c r="G111" s="40">
        <f t="shared" si="2"/>
        <v>0</v>
      </c>
      <c r="H111" s="103">
        <f t="shared" si="3"/>
        <v>0</v>
      </c>
    </row>
    <row r="112" spans="1:8" x14ac:dyDescent="0.2">
      <c r="A112" s="38" t="s">
        <v>4</v>
      </c>
      <c r="B112" s="9" t="s">
        <v>59</v>
      </c>
      <c r="C112" s="48" t="s">
        <v>58</v>
      </c>
      <c r="D112" s="40">
        <v>0</v>
      </c>
      <c r="E112" s="41">
        <v>46679.6</v>
      </c>
      <c r="F112" s="42"/>
      <c r="G112" s="40">
        <f t="shared" si="2"/>
        <v>0</v>
      </c>
      <c r="H112" s="103">
        <f t="shared" si="3"/>
        <v>0</v>
      </c>
    </row>
    <row r="113" spans="1:8" x14ac:dyDescent="0.2">
      <c r="A113" s="1" t="s">
        <v>6</v>
      </c>
      <c r="B113" s="9" t="s">
        <v>60</v>
      </c>
      <c r="C113" s="48" t="s">
        <v>58</v>
      </c>
      <c r="D113" s="40">
        <v>0</v>
      </c>
      <c r="E113" s="41">
        <v>56015.519999999997</v>
      </c>
      <c r="F113" s="42"/>
      <c r="G113" s="40">
        <f t="shared" si="2"/>
        <v>0</v>
      </c>
      <c r="H113" s="103">
        <f t="shared" si="3"/>
        <v>0</v>
      </c>
    </row>
    <row r="114" spans="1:8" x14ac:dyDescent="0.2">
      <c r="A114" s="38" t="s">
        <v>7</v>
      </c>
      <c r="B114" s="9" t="s">
        <v>71</v>
      </c>
      <c r="C114" s="48" t="s">
        <v>58</v>
      </c>
      <c r="D114" s="40">
        <v>0</v>
      </c>
      <c r="E114" s="41">
        <v>74687.360000000001</v>
      </c>
      <c r="F114" s="42"/>
      <c r="G114" s="40">
        <f t="shared" si="2"/>
        <v>0</v>
      </c>
      <c r="H114" s="103">
        <f t="shared" si="3"/>
        <v>0</v>
      </c>
    </row>
    <row r="115" spans="1:8" x14ac:dyDescent="0.2">
      <c r="A115" s="38" t="s">
        <v>11</v>
      </c>
      <c r="B115" s="9" t="s">
        <v>72</v>
      </c>
      <c r="C115" s="48" t="s">
        <v>58</v>
      </c>
      <c r="D115" s="40">
        <v>0</v>
      </c>
      <c r="E115" s="41">
        <v>84023.28</v>
      </c>
      <c r="F115" s="42"/>
      <c r="G115" s="40">
        <f t="shared" si="2"/>
        <v>0</v>
      </c>
      <c r="H115" s="103">
        <f t="shared" si="3"/>
        <v>0</v>
      </c>
    </row>
    <row r="116" spans="1:8" ht="24" x14ac:dyDescent="0.2">
      <c r="A116" s="60">
        <v>23</v>
      </c>
      <c r="B116" s="8" t="s">
        <v>114</v>
      </c>
      <c r="C116" s="15" t="s">
        <v>64</v>
      </c>
      <c r="D116" s="40">
        <v>50.160000000000004</v>
      </c>
      <c r="E116" s="41">
        <v>4167.68</v>
      </c>
      <c r="F116" s="42"/>
      <c r="G116" s="40">
        <f t="shared" si="2"/>
        <v>0</v>
      </c>
      <c r="H116" s="103">
        <f t="shared" si="3"/>
        <v>0</v>
      </c>
    </row>
    <row r="117" spans="1:8" x14ac:dyDescent="0.2">
      <c r="A117" s="50">
        <v>24</v>
      </c>
      <c r="B117" s="61" t="s">
        <v>47</v>
      </c>
      <c r="C117" s="62" t="s">
        <v>48</v>
      </c>
      <c r="D117" s="40">
        <v>20.239999999999998</v>
      </c>
      <c r="E117" s="41">
        <v>1665.84</v>
      </c>
      <c r="F117" s="42"/>
      <c r="G117" s="40">
        <f t="shared" si="2"/>
        <v>0</v>
      </c>
      <c r="H117" s="103">
        <f t="shared" si="3"/>
        <v>0</v>
      </c>
    </row>
    <row r="118" spans="1:8" ht="24" x14ac:dyDescent="0.2">
      <c r="A118" s="50">
        <v>25</v>
      </c>
      <c r="B118" s="61" t="s">
        <v>73</v>
      </c>
      <c r="C118" s="62" t="s">
        <v>48</v>
      </c>
      <c r="D118" s="40">
        <v>38.72</v>
      </c>
      <c r="E118" s="41">
        <v>3246.32</v>
      </c>
      <c r="F118" s="42"/>
      <c r="G118" s="40">
        <f t="shared" si="2"/>
        <v>0</v>
      </c>
      <c r="H118" s="103">
        <f t="shared" si="3"/>
        <v>0</v>
      </c>
    </row>
    <row r="119" spans="1:8" ht="24" x14ac:dyDescent="0.2">
      <c r="A119" s="50">
        <v>26</v>
      </c>
      <c r="B119" s="61" t="s">
        <v>81</v>
      </c>
      <c r="C119" s="62" t="s">
        <v>91</v>
      </c>
      <c r="D119" s="40">
        <v>42.24</v>
      </c>
      <c r="E119" s="41">
        <v>3518.2400000000002</v>
      </c>
      <c r="F119" s="42"/>
      <c r="G119" s="40">
        <f t="shared" si="2"/>
        <v>0</v>
      </c>
      <c r="H119" s="103">
        <f t="shared" si="3"/>
        <v>0</v>
      </c>
    </row>
    <row r="120" spans="1:8" x14ac:dyDescent="0.2">
      <c r="A120" s="38">
        <v>27</v>
      </c>
      <c r="B120" s="39" t="s">
        <v>166</v>
      </c>
      <c r="C120" s="15" t="s">
        <v>167</v>
      </c>
      <c r="D120" s="40">
        <v>0</v>
      </c>
      <c r="E120" s="41">
        <v>0</v>
      </c>
      <c r="F120" s="42"/>
      <c r="G120" s="40">
        <f t="shared" si="2"/>
        <v>0</v>
      </c>
      <c r="H120" s="103">
        <f t="shared" si="3"/>
        <v>0</v>
      </c>
    </row>
    <row r="121" spans="1:8" x14ac:dyDescent="0.2">
      <c r="A121" s="52" t="s">
        <v>4</v>
      </c>
      <c r="B121" s="63" t="s">
        <v>8</v>
      </c>
      <c r="C121" s="15" t="s">
        <v>5</v>
      </c>
      <c r="D121" s="40">
        <v>39.6</v>
      </c>
      <c r="E121" s="41">
        <v>3296.48</v>
      </c>
      <c r="F121" s="42"/>
      <c r="G121" s="40">
        <f t="shared" si="2"/>
        <v>0</v>
      </c>
      <c r="H121" s="103">
        <f t="shared" si="3"/>
        <v>0</v>
      </c>
    </row>
    <row r="122" spans="1:8" x14ac:dyDescent="0.2">
      <c r="A122" s="6" t="s">
        <v>6</v>
      </c>
      <c r="B122" s="7" t="s">
        <v>9</v>
      </c>
      <c r="C122" s="43" t="s">
        <v>5</v>
      </c>
      <c r="D122" s="40">
        <v>45.76</v>
      </c>
      <c r="E122" s="41">
        <v>3846.48</v>
      </c>
      <c r="F122" s="42"/>
      <c r="G122" s="40">
        <f t="shared" si="2"/>
        <v>0</v>
      </c>
      <c r="H122" s="103">
        <f t="shared" si="3"/>
        <v>0</v>
      </c>
    </row>
    <row r="123" spans="1:8" x14ac:dyDescent="0.2">
      <c r="A123" s="6" t="s">
        <v>7</v>
      </c>
      <c r="B123" s="7" t="s">
        <v>10</v>
      </c>
      <c r="C123" s="43" t="s">
        <v>5</v>
      </c>
      <c r="D123" s="40">
        <v>132</v>
      </c>
      <c r="E123" s="41">
        <v>10992.08</v>
      </c>
      <c r="F123" s="42"/>
      <c r="G123" s="40">
        <f t="shared" si="2"/>
        <v>0</v>
      </c>
      <c r="H123" s="103">
        <f t="shared" si="3"/>
        <v>0</v>
      </c>
    </row>
    <row r="124" spans="1:8" x14ac:dyDescent="0.2">
      <c r="A124" s="6" t="s">
        <v>11</v>
      </c>
      <c r="B124" s="7" t="s">
        <v>12</v>
      </c>
      <c r="C124" s="43" t="s">
        <v>5</v>
      </c>
      <c r="D124" s="40">
        <v>264</v>
      </c>
      <c r="E124" s="41">
        <v>21984.16</v>
      </c>
      <c r="F124" s="42"/>
      <c r="G124" s="40">
        <f t="shared" si="2"/>
        <v>0</v>
      </c>
      <c r="H124" s="103">
        <f t="shared" si="3"/>
        <v>0</v>
      </c>
    </row>
    <row r="125" spans="1:8" x14ac:dyDescent="0.2">
      <c r="A125" s="6" t="s">
        <v>13</v>
      </c>
      <c r="B125" s="7" t="s">
        <v>14</v>
      </c>
      <c r="C125" s="43" t="s">
        <v>5</v>
      </c>
      <c r="D125" s="40">
        <v>396</v>
      </c>
      <c r="E125" s="41">
        <v>32976.239999999998</v>
      </c>
      <c r="F125" s="42">
        <v>40</v>
      </c>
      <c r="G125" s="40">
        <f t="shared" si="2"/>
        <v>15840</v>
      </c>
      <c r="H125" s="103">
        <f t="shared" si="3"/>
        <v>1319049.5999999999</v>
      </c>
    </row>
    <row r="126" spans="1:8" x14ac:dyDescent="0.2">
      <c r="A126" s="6" t="s">
        <v>15</v>
      </c>
      <c r="B126" s="7" t="s">
        <v>16</v>
      </c>
      <c r="C126" s="43" t="s">
        <v>5</v>
      </c>
      <c r="D126" s="40">
        <v>462</v>
      </c>
      <c r="E126" s="41">
        <v>38470.959999999999</v>
      </c>
      <c r="F126" s="42">
        <v>20</v>
      </c>
      <c r="G126" s="40">
        <f t="shared" si="2"/>
        <v>9240</v>
      </c>
      <c r="H126" s="103">
        <f t="shared" si="3"/>
        <v>769419.2</v>
      </c>
    </row>
    <row r="127" spans="1:8" ht="36" x14ac:dyDescent="0.2">
      <c r="A127" s="1">
        <v>36</v>
      </c>
      <c r="B127" s="8" t="s">
        <v>61</v>
      </c>
      <c r="C127" s="15" t="s">
        <v>62</v>
      </c>
      <c r="D127" s="40">
        <v>459.36</v>
      </c>
      <c r="E127" s="41">
        <v>38306.400000000001</v>
      </c>
      <c r="F127" s="42"/>
      <c r="G127" s="40">
        <f t="shared" si="2"/>
        <v>0</v>
      </c>
      <c r="H127" s="103">
        <f t="shared" si="3"/>
        <v>0</v>
      </c>
    </row>
    <row r="128" spans="1:8" x14ac:dyDescent="0.2">
      <c r="A128" s="1">
        <v>37</v>
      </c>
      <c r="B128" s="39" t="s">
        <v>51</v>
      </c>
      <c r="C128" s="15"/>
      <c r="D128" s="40">
        <v>0</v>
      </c>
      <c r="E128" s="41">
        <v>0</v>
      </c>
      <c r="F128" s="42"/>
      <c r="G128" s="40">
        <f t="shared" si="2"/>
        <v>0</v>
      </c>
      <c r="H128" s="103">
        <f t="shared" si="3"/>
        <v>0</v>
      </c>
    </row>
    <row r="129" spans="1:13" x14ac:dyDescent="0.2">
      <c r="A129" s="6" t="s">
        <v>7</v>
      </c>
      <c r="B129" s="7" t="s">
        <v>57</v>
      </c>
      <c r="C129" s="16" t="s">
        <v>63</v>
      </c>
      <c r="D129" s="40">
        <v>3454</v>
      </c>
      <c r="E129" s="41">
        <v>291280.88</v>
      </c>
      <c r="F129" s="42">
        <v>1</v>
      </c>
      <c r="G129" s="40">
        <f t="shared" si="2"/>
        <v>3454</v>
      </c>
      <c r="H129" s="103">
        <f t="shared" si="3"/>
        <v>291280.88</v>
      </c>
    </row>
    <row r="130" spans="1:13" ht="24" x14ac:dyDescent="0.2">
      <c r="A130" s="1">
        <v>40</v>
      </c>
      <c r="B130" s="8" t="s">
        <v>172</v>
      </c>
      <c r="C130" s="15" t="s">
        <v>173</v>
      </c>
      <c r="D130" s="40"/>
      <c r="E130" s="41">
        <v>7000000</v>
      </c>
      <c r="F130" s="42">
        <v>1</v>
      </c>
      <c r="G130" s="40">
        <f t="shared" si="2"/>
        <v>0</v>
      </c>
      <c r="H130" s="103">
        <f t="shared" si="3"/>
        <v>7000000</v>
      </c>
    </row>
    <row r="131" spans="1:13" x14ac:dyDescent="0.2">
      <c r="A131" s="167">
        <v>41</v>
      </c>
      <c r="B131" s="39" t="s">
        <v>194</v>
      </c>
      <c r="C131" s="168" t="s">
        <v>144</v>
      </c>
      <c r="D131" s="40">
        <v>273.36</v>
      </c>
      <c r="E131" s="40">
        <v>150000</v>
      </c>
      <c r="F131" s="42">
        <v>60</v>
      </c>
      <c r="G131" s="40">
        <f>D131*F131</f>
        <v>16401.600000000002</v>
      </c>
      <c r="H131" s="40">
        <f>E131*F131</f>
        <v>9000000</v>
      </c>
    </row>
    <row r="132" spans="1:13" x14ac:dyDescent="0.2">
      <c r="A132" s="167">
        <v>42</v>
      </c>
      <c r="B132" s="39" t="s">
        <v>205</v>
      </c>
      <c r="C132" s="168" t="s">
        <v>173</v>
      </c>
      <c r="D132" s="40"/>
      <c r="E132" s="40">
        <v>6865000</v>
      </c>
      <c r="F132" s="42">
        <v>1</v>
      </c>
      <c r="G132" s="40">
        <f>D132*F132</f>
        <v>0</v>
      </c>
      <c r="H132" s="40">
        <f>E132*F132</f>
        <v>6865000</v>
      </c>
    </row>
    <row r="133" spans="1:13" ht="24" x14ac:dyDescent="0.2">
      <c r="A133" s="167">
        <v>42</v>
      </c>
      <c r="B133" s="39" t="s">
        <v>197</v>
      </c>
      <c r="C133" s="168" t="s">
        <v>19</v>
      </c>
      <c r="D133" s="40">
        <v>750</v>
      </c>
      <c r="E133" s="40">
        <v>10000</v>
      </c>
      <c r="F133" s="42">
        <v>10</v>
      </c>
      <c r="G133" s="40">
        <f>D133*F133</f>
        <v>7500</v>
      </c>
      <c r="H133" s="40">
        <f>E133*F133</f>
        <v>100000</v>
      </c>
    </row>
    <row r="134" spans="1:13" ht="22.5" customHeight="1" thickBot="1" x14ac:dyDescent="0.25">
      <c r="A134" s="160"/>
      <c r="B134" s="161" t="s">
        <v>21</v>
      </c>
      <c r="C134" s="162"/>
      <c r="D134" s="163"/>
      <c r="E134" s="164"/>
      <c r="F134" s="165"/>
      <c r="G134" s="163">
        <f>SUM(G7:G133)</f>
        <v>121209.26032786886</v>
      </c>
      <c r="H134" s="166">
        <f>SUM(H8:H133)</f>
        <v>36180348.739672132</v>
      </c>
    </row>
    <row r="136" spans="1:13" x14ac:dyDescent="0.2">
      <c r="G136" s="71" t="s">
        <v>133</v>
      </c>
      <c r="H136" s="71">
        <f>(G134+H134/303.0303)</f>
        <v>240604.4123627384</v>
      </c>
    </row>
    <row r="137" spans="1:13" x14ac:dyDescent="0.2">
      <c r="G137" s="71"/>
      <c r="H137" s="71"/>
    </row>
    <row r="138" spans="1:13" ht="23.25" customHeight="1" thickBot="1" x14ac:dyDescent="0.3">
      <c r="A138" s="29"/>
      <c r="B138" s="31" t="s">
        <v>148</v>
      </c>
      <c r="C138" s="29"/>
      <c r="D138" s="29"/>
    </row>
    <row r="139" spans="1:13" ht="30" customHeight="1" x14ac:dyDescent="0.2">
      <c r="A139" s="196" t="s">
        <v>52</v>
      </c>
      <c r="B139" s="72" t="s">
        <v>53</v>
      </c>
      <c r="C139" s="73" t="s">
        <v>1</v>
      </c>
      <c r="D139" s="190" t="s">
        <v>161</v>
      </c>
      <c r="E139" s="198"/>
      <c r="F139" s="34" t="s">
        <v>119</v>
      </c>
      <c r="G139" s="190" t="s">
        <v>21</v>
      </c>
      <c r="H139" s="191"/>
    </row>
    <row r="140" spans="1:13" x14ac:dyDescent="0.2">
      <c r="A140" s="197"/>
      <c r="B140" s="74"/>
      <c r="C140" s="75"/>
      <c r="D140" s="76" t="s">
        <v>2</v>
      </c>
      <c r="E140" s="77" t="s">
        <v>3</v>
      </c>
      <c r="F140" s="5"/>
      <c r="G140" s="192" t="s">
        <v>2</v>
      </c>
      <c r="H140" s="193" t="s">
        <v>3</v>
      </c>
    </row>
    <row r="141" spans="1:13" x14ac:dyDescent="0.2">
      <c r="A141" s="78" t="s">
        <v>4</v>
      </c>
      <c r="B141" s="79" t="s">
        <v>79</v>
      </c>
      <c r="C141" s="80"/>
      <c r="D141" s="81"/>
      <c r="E141" s="81"/>
      <c r="F141" s="5"/>
      <c r="G141" s="194"/>
      <c r="H141" s="195"/>
    </row>
    <row r="142" spans="1:13" customFormat="1" ht="24" x14ac:dyDescent="0.2">
      <c r="A142" s="2">
        <v>1</v>
      </c>
      <c r="B142" s="11" t="s">
        <v>227</v>
      </c>
      <c r="C142" s="14" t="s">
        <v>199</v>
      </c>
      <c r="D142" s="118">
        <v>1700</v>
      </c>
      <c r="E142" s="118"/>
      <c r="F142" s="144">
        <v>20</v>
      </c>
      <c r="G142" s="145">
        <f>D142*F142</f>
        <v>34000</v>
      </c>
      <c r="H142" s="146">
        <f>E142*F142</f>
        <v>0</v>
      </c>
      <c r="I142" s="159"/>
      <c r="J142">
        <v>1000051894</v>
      </c>
      <c r="K142">
        <v>1000051914</v>
      </c>
      <c r="L142">
        <v>1000074547</v>
      </c>
      <c r="M142" s="154"/>
    </row>
    <row r="143" spans="1:13" customFormat="1" ht="24" x14ac:dyDescent="0.2">
      <c r="A143" s="2"/>
      <c r="B143" s="11" t="s">
        <v>215</v>
      </c>
      <c r="C143" s="14" t="s">
        <v>199</v>
      </c>
      <c r="D143" s="118">
        <v>9695.34</v>
      </c>
      <c r="E143" s="118"/>
      <c r="F143" s="144">
        <v>2</v>
      </c>
      <c r="G143" s="145">
        <f t="shared" ref="G143:G163" si="4">D143*F143</f>
        <v>19390.68</v>
      </c>
      <c r="H143" s="146"/>
      <c r="M143" s="154"/>
    </row>
    <row r="144" spans="1:13" customFormat="1" ht="24" x14ac:dyDescent="0.2">
      <c r="A144" s="2"/>
      <c r="B144" s="11" t="s">
        <v>226</v>
      </c>
      <c r="C144" s="14" t="s">
        <v>5</v>
      </c>
      <c r="D144" s="118">
        <v>450</v>
      </c>
      <c r="E144" s="118"/>
      <c r="F144" s="144">
        <v>23</v>
      </c>
      <c r="G144" s="145">
        <f t="shared" si="4"/>
        <v>10350</v>
      </c>
      <c r="H144" s="146">
        <f t="shared" ref="H144:H163" si="5">E144*F144</f>
        <v>0</v>
      </c>
      <c r="I144" s="159"/>
      <c r="J144">
        <v>1000055096</v>
      </c>
    </row>
    <row r="145" spans="1:11" customFormat="1" ht="24" x14ac:dyDescent="0.2">
      <c r="A145" s="2"/>
      <c r="B145" s="11" t="s">
        <v>225</v>
      </c>
      <c r="C145" s="14" t="s">
        <v>5</v>
      </c>
      <c r="D145" s="118">
        <v>450</v>
      </c>
      <c r="E145" s="118"/>
      <c r="F145" s="144">
        <v>1</v>
      </c>
      <c r="G145" s="145">
        <f t="shared" si="4"/>
        <v>450</v>
      </c>
      <c r="H145" s="146">
        <f t="shared" si="5"/>
        <v>0</v>
      </c>
      <c r="I145" s="159"/>
      <c r="J145">
        <v>1000055544</v>
      </c>
    </row>
    <row r="146" spans="1:11" customFormat="1" ht="24" x14ac:dyDescent="0.2">
      <c r="A146" s="2"/>
      <c r="B146" s="11" t="s">
        <v>218</v>
      </c>
      <c r="C146" s="14" t="s">
        <v>5</v>
      </c>
      <c r="D146" s="118">
        <v>2200</v>
      </c>
      <c r="E146" s="118"/>
      <c r="F146" s="144">
        <v>1</v>
      </c>
      <c r="G146" s="145">
        <f t="shared" si="4"/>
        <v>2200</v>
      </c>
      <c r="H146" s="146">
        <f t="shared" si="5"/>
        <v>0</v>
      </c>
      <c r="I146" s="179"/>
    </row>
    <row r="147" spans="1:11" customFormat="1" ht="24" x14ac:dyDescent="0.2">
      <c r="A147" s="2"/>
      <c r="B147" s="11" t="s">
        <v>228</v>
      </c>
      <c r="C147" s="14" t="s">
        <v>5</v>
      </c>
      <c r="D147" s="118">
        <v>450</v>
      </c>
      <c r="E147" s="118"/>
      <c r="F147" s="144">
        <v>10</v>
      </c>
      <c r="G147" s="145">
        <f t="shared" si="4"/>
        <v>4500</v>
      </c>
      <c r="H147" s="146">
        <f>E147*F147</f>
        <v>0</v>
      </c>
      <c r="I147" s="179"/>
      <c r="J147">
        <v>1000057157</v>
      </c>
    </row>
    <row r="148" spans="1:11" customFormat="1" ht="24" x14ac:dyDescent="0.2">
      <c r="A148" s="2"/>
      <c r="B148" s="11" t="s">
        <v>238</v>
      </c>
      <c r="C148" s="14" t="s">
        <v>5</v>
      </c>
      <c r="D148" s="118">
        <v>150</v>
      </c>
      <c r="E148" s="118"/>
      <c r="F148" s="144">
        <v>2</v>
      </c>
      <c r="G148" s="145">
        <f t="shared" si="4"/>
        <v>300</v>
      </c>
      <c r="H148" s="146">
        <f>E148*F148</f>
        <v>0</v>
      </c>
      <c r="I148" s="179"/>
      <c r="J148">
        <v>1000074912</v>
      </c>
    </row>
    <row r="149" spans="1:11" customFormat="1" ht="24" x14ac:dyDescent="0.2">
      <c r="A149" s="2"/>
      <c r="B149" s="11" t="s">
        <v>223</v>
      </c>
      <c r="C149" s="14" t="s">
        <v>5</v>
      </c>
      <c r="D149" s="118">
        <v>550</v>
      </c>
      <c r="E149" s="118"/>
      <c r="F149" s="144">
        <v>1</v>
      </c>
      <c r="G149" s="145">
        <f t="shared" si="4"/>
        <v>550</v>
      </c>
      <c r="H149" s="146">
        <f t="shared" si="5"/>
        <v>0</v>
      </c>
    </row>
    <row r="150" spans="1:11" customFormat="1" ht="24" x14ac:dyDescent="0.2">
      <c r="A150" s="2"/>
      <c r="B150" s="11" t="s">
        <v>216</v>
      </c>
      <c r="C150" s="14" t="s">
        <v>5</v>
      </c>
      <c r="D150" s="118">
        <v>2500</v>
      </c>
      <c r="E150" s="118"/>
      <c r="F150" s="144">
        <v>2</v>
      </c>
      <c r="G150" s="145">
        <f t="shared" si="4"/>
        <v>5000</v>
      </c>
      <c r="H150" s="146">
        <f t="shared" si="5"/>
        <v>0</v>
      </c>
    </row>
    <row r="151" spans="1:11" customFormat="1" ht="24" x14ac:dyDescent="0.2">
      <c r="A151" s="2"/>
      <c r="B151" s="11" t="s">
        <v>229</v>
      </c>
      <c r="C151" s="14" t="s">
        <v>5</v>
      </c>
      <c r="D151" s="118">
        <v>270</v>
      </c>
      <c r="E151" s="118"/>
      <c r="F151" s="144">
        <v>1</v>
      </c>
      <c r="G151" s="145">
        <f t="shared" si="4"/>
        <v>270</v>
      </c>
      <c r="H151" s="146">
        <f t="shared" si="5"/>
        <v>0</v>
      </c>
      <c r="J151">
        <v>1000057002</v>
      </c>
    </row>
    <row r="152" spans="1:11" customFormat="1" ht="24" x14ac:dyDescent="0.2">
      <c r="A152" s="2"/>
      <c r="B152" s="11" t="s">
        <v>231</v>
      </c>
      <c r="C152" s="14" t="s">
        <v>5</v>
      </c>
      <c r="D152" s="118">
        <v>100</v>
      </c>
      <c r="E152" s="118"/>
      <c r="F152" s="144">
        <v>2</v>
      </c>
      <c r="G152" s="145">
        <f t="shared" si="4"/>
        <v>200</v>
      </c>
      <c r="H152" s="146">
        <f>E152*F152</f>
        <v>0</v>
      </c>
      <c r="J152">
        <v>1000056998</v>
      </c>
    </row>
    <row r="153" spans="1:11" customFormat="1" ht="24" x14ac:dyDescent="0.2">
      <c r="A153" s="2"/>
      <c r="B153" s="11" t="s">
        <v>230</v>
      </c>
      <c r="C153" s="14" t="s">
        <v>5</v>
      </c>
      <c r="D153" s="118">
        <v>300</v>
      </c>
      <c r="E153" s="118"/>
      <c r="F153" s="144">
        <v>1</v>
      </c>
      <c r="G153" s="145">
        <f t="shared" si="4"/>
        <v>300</v>
      </c>
      <c r="H153" s="146">
        <f t="shared" si="5"/>
        <v>0</v>
      </c>
    </row>
    <row r="154" spans="1:11" customFormat="1" ht="36" x14ac:dyDescent="0.2">
      <c r="A154" s="2"/>
      <c r="B154" s="11" t="s">
        <v>232</v>
      </c>
      <c r="C154" s="14" t="s">
        <v>5</v>
      </c>
      <c r="D154" s="118">
        <v>17000</v>
      </c>
      <c r="E154" s="118"/>
      <c r="F154" s="144">
        <v>2</v>
      </c>
      <c r="G154" s="145">
        <f t="shared" si="4"/>
        <v>34000</v>
      </c>
      <c r="H154" s="146">
        <f t="shared" si="5"/>
        <v>0</v>
      </c>
      <c r="J154">
        <v>1000060025</v>
      </c>
    </row>
    <row r="155" spans="1:11" customFormat="1" ht="36" x14ac:dyDescent="0.2">
      <c r="A155" s="2"/>
      <c r="B155" s="11" t="s">
        <v>233</v>
      </c>
      <c r="C155" s="14" t="s">
        <v>5</v>
      </c>
      <c r="D155" s="118">
        <v>4000</v>
      </c>
      <c r="E155" s="118"/>
      <c r="F155" s="144">
        <v>2</v>
      </c>
      <c r="G155" s="145">
        <f t="shared" si="4"/>
        <v>8000</v>
      </c>
      <c r="H155" s="146">
        <f t="shared" si="5"/>
        <v>0</v>
      </c>
      <c r="I155" s="159"/>
      <c r="J155">
        <v>1000059979</v>
      </c>
      <c r="K155">
        <v>1000060021</v>
      </c>
    </row>
    <row r="156" spans="1:11" customFormat="1" ht="24" x14ac:dyDescent="0.2">
      <c r="A156" s="2" t="s">
        <v>200</v>
      </c>
      <c r="B156" s="11" t="s">
        <v>201</v>
      </c>
      <c r="C156" s="14" t="s">
        <v>5</v>
      </c>
      <c r="D156" s="118">
        <v>7.7</v>
      </c>
      <c r="E156" s="118"/>
      <c r="F156" s="144">
        <v>176</v>
      </c>
      <c r="G156" s="145">
        <f t="shared" si="4"/>
        <v>1355.2</v>
      </c>
      <c r="H156" s="146">
        <f t="shared" si="5"/>
        <v>0</v>
      </c>
    </row>
    <row r="157" spans="1:11" customFormat="1" ht="24" x14ac:dyDescent="0.2">
      <c r="A157" s="2" t="s">
        <v>202</v>
      </c>
      <c r="B157" s="11" t="s">
        <v>204</v>
      </c>
      <c r="C157" s="14" t="s">
        <v>5</v>
      </c>
      <c r="D157" s="118">
        <v>10.46</v>
      </c>
      <c r="E157" s="118"/>
      <c r="F157" s="144">
        <v>20</v>
      </c>
      <c r="G157" s="145">
        <f t="shared" si="4"/>
        <v>209.20000000000002</v>
      </c>
      <c r="H157" s="146">
        <f t="shared" si="5"/>
        <v>0</v>
      </c>
    </row>
    <row r="158" spans="1:11" customFormat="1" ht="24" x14ac:dyDescent="0.2">
      <c r="A158" s="2"/>
      <c r="B158" s="11" t="s">
        <v>203</v>
      </c>
      <c r="C158" s="14" t="s">
        <v>5</v>
      </c>
      <c r="D158" s="118">
        <v>23.56</v>
      </c>
      <c r="E158" s="118"/>
      <c r="F158" s="144">
        <v>40</v>
      </c>
      <c r="G158" s="145">
        <f t="shared" si="4"/>
        <v>942.4</v>
      </c>
      <c r="H158" s="146">
        <f t="shared" si="5"/>
        <v>0</v>
      </c>
      <c r="I158" s="159"/>
    </row>
    <row r="159" spans="1:11" customFormat="1" ht="24" x14ac:dyDescent="0.2">
      <c r="A159" s="2"/>
      <c r="B159" s="11" t="s">
        <v>201</v>
      </c>
      <c r="C159" s="14" t="s">
        <v>5</v>
      </c>
      <c r="D159" s="118">
        <v>7.7</v>
      </c>
      <c r="E159" s="118"/>
      <c r="F159" s="144">
        <v>16</v>
      </c>
      <c r="G159" s="145">
        <f t="shared" si="4"/>
        <v>123.2</v>
      </c>
      <c r="H159" s="146">
        <f t="shared" si="5"/>
        <v>0</v>
      </c>
    </row>
    <row r="160" spans="1:11" customFormat="1" ht="36" x14ac:dyDescent="0.2">
      <c r="A160" s="2"/>
      <c r="B160" s="11" t="s">
        <v>237</v>
      </c>
      <c r="C160" s="14" t="s">
        <v>5</v>
      </c>
      <c r="D160" s="118">
        <v>20</v>
      </c>
      <c r="E160" s="118"/>
      <c r="F160" s="144">
        <v>15</v>
      </c>
      <c r="G160" s="145">
        <f t="shared" si="4"/>
        <v>300</v>
      </c>
      <c r="H160" s="146">
        <f t="shared" si="5"/>
        <v>0</v>
      </c>
      <c r="J160">
        <v>1000064392</v>
      </c>
    </row>
    <row r="161" spans="1:9" customFormat="1" ht="36" x14ac:dyDescent="0.2">
      <c r="A161" s="2"/>
      <c r="B161" s="11" t="s">
        <v>224</v>
      </c>
      <c r="C161" s="14" t="s">
        <v>5</v>
      </c>
      <c r="D161" s="118">
        <v>20</v>
      </c>
      <c r="E161" s="118"/>
      <c r="F161" s="144">
        <v>1</v>
      </c>
      <c r="G161" s="145">
        <f t="shared" si="4"/>
        <v>20</v>
      </c>
      <c r="H161" s="146">
        <f t="shared" si="5"/>
        <v>0</v>
      </c>
    </row>
    <row r="162" spans="1:9" customFormat="1" ht="36" x14ac:dyDescent="0.2">
      <c r="A162" s="2"/>
      <c r="B162" s="11" t="s">
        <v>217</v>
      </c>
      <c r="C162" s="14" t="s">
        <v>5</v>
      </c>
      <c r="D162" s="118">
        <v>40</v>
      </c>
      <c r="E162" s="118"/>
      <c r="F162" s="144">
        <v>2</v>
      </c>
      <c r="G162" s="145">
        <f t="shared" si="4"/>
        <v>80</v>
      </c>
      <c r="H162" s="146">
        <f t="shared" si="5"/>
        <v>0</v>
      </c>
    </row>
    <row r="163" spans="1:9" x14ac:dyDescent="0.2">
      <c r="A163" s="180"/>
      <c r="B163" s="186" t="s">
        <v>219</v>
      </c>
      <c r="C163" s="181" t="s">
        <v>220</v>
      </c>
      <c r="D163" s="118">
        <v>100</v>
      </c>
      <c r="E163" s="118"/>
      <c r="F163" s="182">
        <v>2</v>
      </c>
      <c r="G163" s="145">
        <f t="shared" si="4"/>
        <v>200</v>
      </c>
      <c r="H163" s="183">
        <f t="shared" si="5"/>
        <v>0</v>
      </c>
      <c r="I163"/>
    </row>
    <row r="164" spans="1:9" ht="13.5" thickBot="1" x14ac:dyDescent="0.25">
      <c r="A164" s="3"/>
      <c r="B164" s="111" t="s">
        <v>118</v>
      </c>
      <c r="C164" s="184"/>
      <c r="D164" s="118">
        <v>0</v>
      </c>
      <c r="E164" s="118">
        <v>0</v>
      </c>
      <c r="F164" s="100"/>
      <c r="G164" s="67">
        <f>SUM(G142:G162)</f>
        <v>122540.67999999998</v>
      </c>
      <c r="H164" s="101">
        <f>SUM(H142:H163)</f>
        <v>0</v>
      </c>
    </row>
    <row r="165" spans="1:9" x14ac:dyDescent="0.2">
      <c r="A165" s="4"/>
      <c r="B165" s="12"/>
      <c r="C165" s="13"/>
    </row>
    <row r="166" spans="1:9" x14ac:dyDescent="0.2">
      <c r="G166" s="71" t="s">
        <v>133</v>
      </c>
      <c r="H166" s="71">
        <f>G164+H164/303.0303</f>
        <v>122540.67999999998</v>
      </c>
    </row>
    <row r="168" spans="1:9" ht="18.75" thickBot="1" x14ac:dyDescent="0.3">
      <c r="B168" s="31" t="s">
        <v>122</v>
      </c>
    </row>
    <row r="169" spans="1:9" ht="13.5" thickBot="1" x14ac:dyDescent="0.25">
      <c r="A169" s="112"/>
      <c r="B169" s="113"/>
      <c r="C169" s="113"/>
      <c r="D169" s="113"/>
      <c r="E169" s="199" t="s">
        <v>123</v>
      </c>
      <c r="F169" s="200"/>
      <c r="G169" s="201" t="s">
        <v>124</v>
      </c>
      <c r="H169" s="202"/>
    </row>
    <row r="170" spans="1:9" x14ac:dyDescent="0.2">
      <c r="A170" s="82"/>
      <c r="B170" s="83" t="s">
        <v>125</v>
      </c>
      <c r="C170" s="83" t="s">
        <v>126</v>
      </c>
      <c r="D170" s="83" t="s">
        <v>127</v>
      </c>
      <c r="E170" s="84" t="s">
        <v>128</v>
      </c>
      <c r="F170" s="84" t="s">
        <v>3</v>
      </c>
      <c r="G170" s="124" t="s">
        <v>128</v>
      </c>
      <c r="H170" s="125" t="s">
        <v>3</v>
      </c>
    </row>
    <row r="171" spans="1:9" ht="14.25" x14ac:dyDescent="0.2">
      <c r="A171" s="133"/>
      <c r="B171" s="134" t="s">
        <v>171</v>
      </c>
      <c r="C171" s="87" t="s">
        <v>130</v>
      </c>
      <c r="D171" s="134"/>
      <c r="E171" s="134"/>
      <c r="F171" s="135">
        <f>722560*1.4</f>
        <v>1011583.9999999999</v>
      </c>
      <c r="G171" s="126">
        <f>D171*E171</f>
        <v>0</v>
      </c>
      <c r="H171" s="127">
        <f>D171*F171</f>
        <v>0</v>
      </c>
    </row>
    <row r="172" spans="1:9" ht="14.25" x14ac:dyDescent="0.2">
      <c r="A172" s="86">
        <v>1</v>
      </c>
      <c r="B172" s="87" t="s">
        <v>129</v>
      </c>
      <c r="C172" s="87" t="s">
        <v>130</v>
      </c>
      <c r="D172" s="87">
        <v>2</v>
      </c>
      <c r="E172" s="88">
        <v>0</v>
      </c>
      <c r="F172" s="136">
        <v>554662.16</v>
      </c>
      <c r="G172" s="126">
        <f>D172*E172</f>
        <v>0</v>
      </c>
      <c r="H172" s="127">
        <f>D172*F172</f>
        <v>1109324.32</v>
      </c>
    </row>
    <row r="173" spans="1:9" ht="14.25" x14ac:dyDescent="0.2">
      <c r="A173" s="86">
        <v>2</v>
      </c>
      <c r="B173" s="87" t="s">
        <v>131</v>
      </c>
      <c r="C173" s="87" t="s">
        <v>130</v>
      </c>
      <c r="D173" s="87">
        <v>2</v>
      </c>
      <c r="E173" s="138">
        <v>0</v>
      </c>
      <c r="F173" s="136">
        <v>578883.5</v>
      </c>
      <c r="G173" s="126">
        <f>D173*E173</f>
        <v>0</v>
      </c>
      <c r="H173" s="127">
        <f>D173*F173</f>
        <v>1157767</v>
      </c>
    </row>
    <row r="174" spans="1:9" ht="14.25" x14ac:dyDescent="0.2">
      <c r="A174" s="86">
        <v>3</v>
      </c>
      <c r="B174" s="87" t="s">
        <v>132</v>
      </c>
      <c r="C174" s="87" t="s">
        <v>130</v>
      </c>
      <c r="D174" s="87">
        <v>2</v>
      </c>
      <c r="E174" s="88">
        <v>0</v>
      </c>
      <c r="F174" s="136">
        <v>722626.32</v>
      </c>
      <c r="G174" s="126">
        <f>D174*E174</f>
        <v>0</v>
      </c>
      <c r="H174" s="127">
        <f>D174*F174</f>
        <v>1445252.64</v>
      </c>
    </row>
    <row r="175" spans="1:9" ht="14.25" x14ac:dyDescent="0.2">
      <c r="A175" s="115">
        <v>4</v>
      </c>
      <c r="B175" s="116" t="s">
        <v>153</v>
      </c>
      <c r="C175" s="87" t="s">
        <v>130</v>
      </c>
      <c r="D175" s="87">
        <v>2</v>
      </c>
      <c r="E175" s="88">
        <v>0</v>
      </c>
      <c r="F175" s="137">
        <v>61632.79</v>
      </c>
      <c r="G175" s="126">
        <f>D175*E175</f>
        <v>0</v>
      </c>
      <c r="H175" s="127">
        <f>D175*F175</f>
        <v>123265.58</v>
      </c>
    </row>
    <row r="176" spans="1:9" ht="15" thickBot="1" x14ac:dyDescent="0.25">
      <c r="A176" s="90"/>
      <c r="B176" s="91" t="s">
        <v>118</v>
      </c>
      <c r="C176" s="91"/>
      <c r="D176" s="91"/>
      <c r="E176" s="91"/>
      <c r="F176" s="91"/>
      <c r="G176" s="128"/>
      <c r="H176" s="129">
        <f>SUM(H172:H175)</f>
        <v>3835609.54</v>
      </c>
    </row>
    <row r="177" spans="1:10" x14ac:dyDescent="0.2">
      <c r="D177" s="29"/>
      <c r="E177" s="29"/>
      <c r="H177" s="28" t="s">
        <v>152</v>
      </c>
    </row>
    <row r="178" spans="1:10" x14ac:dyDescent="0.2">
      <c r="D178" s="29"/>
      <c r="E178" s="29"/>
      <c r="G178" s="71" t="s">
        <v>133</v>
      </c>
      <c r="H178" s="71">
        <f>H176/303.0303</f>
        <v>12657.511608575116</v>
      </c>
    </row>
    <row r="179" spans="1:10" x14ac:dyDescent="0.2">
      <c r="D179" s="29"/>
      <c r="E179" s="29"/>
      <c r="G179" s="71"/>
      <c r="H179" s="71"/>
    </row>
    <row r="180" spans="1:10" ht="18.75" thickBot="1" x14ac:dyDescent="0.3">
      <c r="B180" s="31" t="s">
        <v>134</v>
      </c>
      <c r="D180" s="29"/>
      <c r="E180" s="29"/>
      <c r="G180" s="71"/>
      <c r="H180" s="71"/>
    </row>
    <row r="181" spans="1:10" x14ac:dyDescent="0.2">
      <c r="A181" s="93"/>
      <c r="B181" s="94" t="s">
        <v>125</v>
      </c>
      <c r="C181" s="95" t="s">
        <v>126</v>
      </c>
      <c r="D181" s="83" t="s">
        <v>127</v>
      </c>
      <c r="E181" s="83" t="s">
        <v>128</v>
      </c>
      <c r="F181" s="83" t="s">
        <v>3</v>
      </c>
      <c r="G181" s="130" t="s">
        <v>128</v>
      </c>
      <c r="H181" s="96" t="s">
        <v>3</v>
      </c>
    </row>
    <row r="182" spans="1:10" ht="24.75" thickBot="1" x14ac:dyDescent="0.25">
      <c r="A182" s="97"/>
      <c r="B182" s="98" t="s">
        <v>135</v>
      </c>
      <c r="C182" s="99" t="s">
        <v>136</v>
      </c>
      <c r="D182" s="100"/>
      <c r="E182" s="100"/>
      <c r="F182" s="67">
        <v>39000</v>
      </c>
      <c r="G182" s="67">
        <f>D182*E182</f>
        <v>0</v>
      </c>
      <c r="H182" s="101">
        <f>D182*F182</f>
        <v>0</v>
      </c>
      <c r="J182" s="29" t="s">
        <v>236</v>
      </c>
    </row>
    <row r="183" spans="1:10" x14ac:dyDescent="0.2">
      <c r="D183" s="29"/>
      <c r="E183" s="29"/>
      <c r="G183" s="71"/>
      <c r="H183" s="71"/>
    </row>
    <row r="184" spans="1:10" x14ac:dyDescent="0.2">
      <c r="D184" s="29"/>
      <c r="E184" s="29"/>
      <c r="G184" s="71" t="s">
        <v>133</v>
      </c>
      <c r="H184" s="71">
        <f>H182/303.0303</f>
        <v>0</v>
      </c>
    </row>
    <row r="185" spans="1:10" x14ac:dyDescent="0.2">
      <c r="D185" s="29"/>
      <c r="E185" s="29"/>
    </row>
    <row r="186" spans="1:10" ht="18.75" thickBot="1" x14ac:dyDescent="0.3">
      <c r="B186" s="31" t="s">
        <v>137</v>
      </c>
      <c r="D186" s="29"/>
      <c r="E186" s="29"/>
    </row>
    <row r="187" spans="1:10" x14ac:dyDescent="0.2">
      <c r="A187" s="93"/>
      <c r="B187" s="94" t="s">
        <v>125</v>
      </c>
      <c r="C187" s="95" t="s">
        <v>126</v>
      </c>
      <c r="D187" s="83" t="s">
        <v>127</v>
      </c>
      <c r="E187" s="83" t="s">
        <v>128</v>
      </c>
      <c r="F187" s="83" t="s">
        <v>3</v>
      </c>
      <c r="G187" s="130" t="s">
        <v>128</v>
      </c>
      <c r="H187" s="96" t="s">
        <v>3</v>
      </c>
    </row>
    <row r="188" spans="1:10" x14ac:dyDescent="0.2">
      <c r="A188" s="52"/>
      <c r="B188" s="10" t="s">
        <v>196</v>
      </c>
      <c r="C188" s="102" t="s">
        <v>58</v>
      </c>
      <c r="D188" s="42"/>
      <c r="E188" s="42"/>
      <c r="F188" s="40">
        <v>15195</v>
      </c>
      <c r="G188" s="40">
        <f>D188*E188</f>
        <v>0</v>
      </c>
      <c r="H188" s="103">
        <f>D188*F188</f>
        <v>0</v>
      </c>
      <c r="J188" s="29" t="s">
        <v>235</v>
      </c>
    </row>
    <row r="189" spans="1:10" x14ac:dyDescent="0.2">
      <c r="A189" s="52"/>
      <c r="B189" s="10" t="s">
        <v>150</v>
      </c>
      <c r="C189" s="102" t="s">
        <v>58</v>
      </c>
      <c r="D189" s="42"/>
      <c r="E189" s="42"/>
      <c r="F189" s="40">
        <v>282000</v>
      </c>
      <c r="G189" s="131"/>
      <c r="H189" s="103">
        <f>D189*F189</f>
        <v>0</v>
      </c>
    </row>
    <row r="190" spans="1:10" ht="13.5" thickBot="1" x14ac:dyDescent="0.25">
      <c r="A190" s="97"/>
      <c r="B190" s="98" t="s">
        <v>151</v>
      </c>
      <c r="C190" s="99" t="s">
        <v>58</v>
      </c>
      <c r="D190" s="100"/>
      <c r="E190" s="100"/>
      <c r="F190" s="67">
        <v>141000</v>
      </c>
      <c r="G190" s="132"/>
      <c r="H190" s="101">
        <f>D190*F190</f>
        <v>0</v>
      </c>
    </row>
    <row r="191" spans="1:10" x14ac:dyDescent="0.2">
      <c r="B191" s="69" t="s">
        <v>118</v>
      </c>
      <c r="D191" s="29"/>
      <c r="E191" s="29"/>
      <c r="G191" s="71"/>
      <c r="H191" s="28">
        <f>SUM(H188:H190)</f>
        <v>0</v>
      </c>
    </row>
    <row r="192" spans="1:10" x14ac:dyDescent="0.2">
      <c r="D192" s="29"/>
      <c r="E192" s="29"/>
      <c r="G192" s="71" t="s">
        <v>133</v>
      </c>
      <c r="H192" s="71">
        <f>H191/303.0303</f>
        <v>0</v>
      </c>
    </row>
    <row r="193" spans="1:8" x14ac:dyDescent="0.2">
      <c r="D193" s="29"/>
      <c r="E193" s="29"/>
      <c r="G193" s="71"/>
      <c r="H193" s="71"/>
    </row>
    <row r="194" spans="1:8" ht="18.75" thickBot="1" x14ac:dyDescent="0.3">
      <c r="B194" s="114" t="s">
        <v>138</v>
      </c>
      <c r="D194" s="29"/>
      <c r="E194" s="29"/>
      <c r="G194" s="71"/>
      <c r="H194" s="71"/>
    </row>
    <row r="195" spans="1:8" x14ac:dyDescent="0.2">
      <c r="A195" s="93"/>
      <c r="B195" s="105" t="s">
        <v>125</v>
      </c>
      <c r="C195" s="106" t="s">
        <v>126</v>
      </c>
      <c r="D195" s="107" t="s">
        <v>127</v>
      </c>
      <c r="E195" s="107" t="s">
        <v>128</v>
      </c>
      <c r="F195" s="107" t="s">
        <v>3</v>
      </c>
      <c r="G195" s="130" t="s">
        <v>128</v>
      </c>
      <c r="H195" s="96" t="s">
        <v>3</v>
      </c>
    </row>
    <row r="196" spans="1:8" x14ac:dyDescent="0.2">
      <c r="A196" s="52"/>
      <c r="B196" s="10" t="s">
        <v>139</v>
      </c>
      <c r="C196" s="102" t="s">
        <v>5</v>
      </c>
      <c r="D196" s="42"/>
      <c r="E196" s="42"/>
      <c r="F196" s="40">
        <v>850</v>
      </c>
      <c r="G196" s="40"/>
      <c r="H196" s="103">
        <f>D196*F196</f>
        <v>0</v>
      </c>
    </row>
    <row r="197" spans="1:8" x14ac:dyDescent="0.2">
      <c r="A197" s="52"/>
      <c r="B197" s="10" t="s">
        <v>140</v>
      </c>
      <c r="C197" s="102" t="s">
        <v>5</v>
      </c>
      <c r="D197" s="42"/>
      <c r="E197" s="42"/>
      <c r="F197" s="40">
        <v>890</v>
      </c>
      <c r="G197" s="40"/>
      <c r="H197" s="103">
        <f>D197*F197</f>
        <v>0</v>
      </c>
    </row>
    <row r="198" spans="1:8" x14ac:dyDescent="0.2">
      <c r="A198" s="52"/>
      <c r="B198" s="10" t="s">
        <v>141</v>
      </c>
      <c r="C198" s="102" t="s">
        <v>5</v>
      </c>
      <c r="D198" s="42"/>
      <c r="E198" s="42"/>
      <c r="F198" s="40">
        <v>890</v>
      </c>
      <c r="G198" s="40"/>
      <c r="H198" s="103">
        <f>D198*F198</f>
        <v>0</v>
      </c>
    </row>
    <row r="199" spans="1:8" x14ac:dyDescent="0.2">
      <c r="A199" s="52"/>
      <c r="B199" s="10" t="s">
        <v>142</v>
      </c>
      <c r="C199" s="102" t="s">
        <v>5</v>
      </c>
      <c r="D199" s="42"/>
      <c r="E199" s="42"/>
      <c r="F199" s="40">
        <v>122</v>
      </c>
      <c r="G199" s="40"/>
      <c r="H199" s="103">
        <f>D199*F199</f>
        <v>0</v>
      </c>
    </row>
    <row r="200" spans="1:8" x14ac:dyDescent="0.2">
      <c r="A200" s="52"/>
      <c r="B200" s="10" t="s">
        <v>143</v>
      </c>
      <c r="C200" s="102" t="s">
        <v>144</v>
      </c>
      <c r="D200" s="42"/>
      <c r="E200" s="42"/>
      <c r="F200" s="40">
        <v>450</v>
      </c>
      <c r="G200" s="40"/>
      <c r="H200" s="103">
        <f>D200*F200</f>
        <v>0</v>
      </c>
    </row>
    <row r="201" spans="1:8" x14ac:dyDescent="0.2">
      <c r="A201" s="108"/>
      <c r="B201" s="12" t="s">
        <v>118</v>
      </c>
      <c r="C201" s="13"/>
      <c r="D201" s="5"/>
      <c r="E201" s="5"/>
      <c r="F201" s="5"/>
      <c r="G201" s="27"/>
      <c r="H201" s="27">
        <f>SUM(H196:H200)</f>
        <v>0</v>
      </c>
    </row>
    <row r="202" spans="1:8" x14ac:dyDescent="0.2">
      <c r="A202" s="108"/>
      <c r="B202" s="12"/>
      <c r="C202" s="13"/>
      <c r="D202" s="5"/>
      <c r="E202" s="5"/>
      <c r="F202" s="5"/>
      <c r="G202" s="110" t="s">
        <v>133</v>
      </c>
      <c r="H202" s="110">
        <f>H201/305</f>
        <v>0</v>
      </c>
    </row>
    <row r="204" spans="1:8" ht="18.75" thickBot="1" x14ac:dyDescent="0.3">
      <c r="B204" s="114" t="s">
        <v>174</v>
      </c>
      <c r="D204" s="29"/>
      <c r="E204" s="29"/>
      <c r="G204" s="70"/>
      <c r="H204" s="71"/>
    </row>
    <row r="205" spans="1:8" x14ac:dyDescent="0.2">
      <c r="A205" s="93"/>
      <c r="B205" s="105" t="s">
        <v>125</v>
      </c>
      <c r="C205" s="106" t="s">
        <v>126</v>
      </c>
      <c r="D205" s="107" t="s">
        <v>127</v>
      </c>
      <c r="E205" s="107" t="s">
        <v>128</v>
      </c>
      <c r="F205" s="107" t="s">
        <v>3</v>
      </c>
      <c r="G205" s="83" t="s">
        <v>128</v>
      </c>
      <c r="H205" s="96" t="s">
        <v>3</v>
      </c>
    </row>
    <row r="206" spans="1:8" x14ac:dyDescent="0.2">
      <c r="A206" s="52"/>
      <c r="B206" s="10" t="s">
        <v>175</v>
      </c>
      <c r="C206" s="102" t="s">
        <v>144</v>
      </c>
      <c r="D206" s="139">
        <v>10</v>
      </c>
      <c r="E206" s="139"/>
      <c r="F206" s="140">
        <v>43247.77</v>
      </c>
      <c r="G206" s="139"/>
      <c r="H206" s="141">
        <f>D206*F206</f>
        <v>432477.69999999995</v>
      </c>
    </row>
    <row r="207" spans="1:8" ht="24" x14ac:dyDescent="0.2">
      <c r="A207" s="52"/>
      <c r="B207" s="10" t="s">
        <v>176</v>
      </c>
      <c r="C207" s="102" t="s">
        <v>144</v>
      </c>
      <c r="D207" s="139">
        <v>10</v>
      </c>
      <c r="E207" s="139"/>
      <c r="F207" s="140">
        <v>43247.77</v>
      </c>
      <c r="G207" s="139"/>
      <c r="H207" s="141">
        <f>D207*F207</f>
        <v>432477.69999999995</v>
      </c>
    </row>
    <row r="208" spans="1:8" ht="24" x14ac:dyDescent="0.2">
      <c r="A208" s="52"/>
      <c r="B208" s="10" t="s">
        <v>177</v>
      </c>
      <c r="C208" s="102" t="s">
        <v>144</v>
      </c>
      <c r="D208" s="139"/>
      <c r="E208" s="139"/>
      <c r="F208" s="140">
        <v>43247.77</v>
      </c>
      <c r="G208" s="139"/>
      <c r="H208" s="141">
        <f>D208*F208</f>
        <v>0</v>
      </c>
    </row>
    <row r="209" spans="1:8" ht="24" x14ac:dyDescent="0.2">
      <c r="A209" s="52"/>
      <c r="B209" s="10" t="s">
        <v>178</v>
      </c>
      <c r="C209" s="102" t="s">
        <v>144</v>
      </c>
      <c r="D209" s="139"/>
      <c r="E209" s="139"/>
      <c r="F209" s="140">
        <v>43636.95</v>
      </c>
      <c r="G209" s="139"/>
      <c r="H209" s="141"/>
    </row>
    <row r="210" spans="1:8" x14ac:dyDescent="0.2">
      <c r="A210" s="52"/>
      <c r="B210" s="10" t="s">
        <v>179</v>
      </c>
      <c r="C210" s="102" t="s">
        <v>144</v>
      </c>
      <c r="D210" s="139">
        <v>10</v>
      </c>
      <c r="E210" s="139"/>
      <c r="F210" s="140">
        <v>36382.5</v>
      </c>
      <c r="G210" s="139"/>
      <c r="H210" s="141">
        <f>D210*F210</f>
        <v>363825</v>
      </c>
    </row>
    <row r="211" spans="1:8" x14ac:dyDescent="0.2">
      <c r="A211" s="52"/>
      <c r="B211" s="10" t="s">
        <v>180</v>
      </c>
      <c r="C211" s="102" t="s">
        <v>144</v>
      </c>
      <c r="D211" s="139">
        <v>2</v>
      </c>
      <c r="E211" s="139"/>
      <c r="F211" s="140">
        <v>81408.600000000006</v>
      </c>
      <c r="G211" s="139"/>
      <c r="H211" s="141">
        <f t="shared" ref="H211:H224" si="6">D211*F211</f>
        <v>162817.20000000001</v>
      </c>
    </row>
    <row r="212" spans="1:8" x14ac:dyDescent="0.2">
      <c r="A212" s="52"/>
      <c r="B212" s="10" t="s">
        <v>181</v>
      </c>
      <c r="C212" s="102" t="s">
        <v>144</v>
      </c>
      <c r="D212" s="139">
        <v>2</v>
      </c>
      <c r="E212" s="139"/>
      <c r="F212" s="140">
        <v>77593.95</v>
      </c>
      <c r="G212" s="139"/>
      <c r="H212" s="141">
        <f t="shared" si="6"/>
        <v>155187.9</v>
      </c>
    </row>
    <row r="213" spans="1:8" x14ac:dyDescent="0.2">
      <c r="A213" s="52"/>
      <c r="B213" s="10" t="s">
        <v>182</v>
      </c>
      <c r="C213" s="102" t="s">
        <v>144</v>
      </c>
      <c r="D213" s="139">
        <v>2</v>
      </c>
      <c r="E213" s="139"/>
      <c r="F213" s="140">
        <v>81408.600000000006</v>
      </c>
      <c r="G213" s="139"/>
      <c r="H213" s="141">
        <f t="shared" si="6"/>
        <v>162817.20000000001</v>
      </c>
    </row>
    <row r="214" spans="1:8" x14ac:dyDescent="0.2">
      <c r="A214" s="52"/>
      <c r="B214" s="10" t="s">
        <v>183</v>
      </c>
      <c r="C214" s="102" t="s">
        <v>144</v>
      </c>
      <c r="D214" s="139">
        <v>2</v>
      </c>
      <c r="E214" s="139"/>
      <c r="F214" s="140">
        <v>77593.95</v>
      </c>
      <c r="G214" s="139"/>
      <c r="H214" s="141">
        <f t="shared" si="6"/>
        <v>155187.9</v>
      </c>
    </row>
    <row r="215" spans="1:8" x14ac:dyDescent="0.2">
      <c r="A215" s="52"/>
      <c r="B215" s="10" t="s">
        <v>184</v>
      </c>
      <c r="C215" s="102" t="s">
        <v>144</v>
      </c>
      <c r="D215" s="139"/>
      <c r="E215" s="139"/>
      <c r="F215" s="140">
        <v>81408.600000000006</v>
      </c>
      <c r="G215" s="139"/>
      <c r="H215" s="141">
        <f t="shared" si="6"/>
        <v>0</v>
      </c>
    </row>
    <row r="216" spans="1:8" x14ac:dyDescent="0.2">
      <c r="A216" s="52"/>
      <c r="B216" s="10" t="s">
        <v>185</v>
      </c>
      <c r="C216" s="102" t="s">
        <v>144</v>
      </c>
      <c r="D216" s="139"/>
      <c r="E216" s="139"/>
      <c r="F216" s="140">
        <v>77593.95</v>
      </c>
      <c r="G216" s="139"/>
      <c r="H216" s="141">
        <f t="shared" si="6"/>
        <v>0</v>
      </c>
    </row>
    <row r="217" spans="1:8" x14ac:dyDescent="0.2">
      <c r="A217" s="52"/>
      <c r="B217" s="10" t="s">
        <v>186</v>
      </c>
      <c r="C217" s="102" t="s">
        <v>144</v>
      </c>
      <c r="D217" s="139"/>
      <c r="E217" s="139"/>
      <c r="F217" s="140">
        <v>81408.600000000006</v>
      </c>
      <c r="G217" s="139"/>
      <c r="H217" s="141">
        <f t="shared" si="6"/>
        <v>0</v>
      </c>
    </row>
    <row r="218" spans="1:8" x14ac:dyDescent="0.2">
      <c r="A218" s="52"/>
      <c r="B218" s="10" t="s">
        <v>187</v>
      </c>
      <c r="C218" s="102" t="s">
        <v>144</v>
      </c>
      <c r="D218" s="139"/>
      <c r="E218" s="139"/>
      <c r="F218" s="140">
        <v>77593.95</v>
      </c>
      <c r="G218" s="139"/>
      <c r="H218" s="141">
        <f t="shared" si="6"/>
        <v>0</v>
      </c>
    </row>
    <row r="219" spans="1:8" ht="24" x14ac:dyDescent="0.2">
      <c r="A219" s="52"/>
      <c r="B219" s="10" t="s">
        <v>188</v>
      </c>
      <c r="C219" s="102" t="s">
        <v>144</v>
      </c>
      <c r="D219" s="139"/>
      <c r="E219" s="139"/>
      <c r="F219" s="140">
        <v>81408.600000000006</v>
      </c>
      <c r="G219" s="139"/>
      <c r="H219" s="141">
        <f t="shared" si="6"/>
        <v>0</v>
      </c>
    </row>
    <row r="220" spans="1:8" ht="24" x14ac:dyDescent="0.2">
      <c r="A220" s="52"/>
      <c r="B220" s="10" t="s">
        <v>189</v>
      </c>
      <c r="C220" s="102" t="s">
        <v>144</v>
      </c>
      <c r="D220" s="139"/>
      <c r="E220" s="139"/>
      <c r="F220" s="140">
        <v>77593.95</v>
      </c>
      <c r="G220" s="139"/>
      <c r="H220" s="141">
        <f t="shared" si="6"/>
        <v>0</v>
      </c>
    </row>
    <row r="221" spans="1:8" ht="24" x14ac:dyDescent="0.2">
      <c r="A221" s="52"/>
      <c r="B221" s="10" t="s">
        <v>190</v>
      </c>
      <c r="C221" s="102" t="s">
        <v>144</v>
      </c>
      <c r="D221" s="139"/>
      <c r="E221" s="139"/>
      <c r="F221" s="140">
        <v>81408.600000000006</v>
      </c>
      <c r="G221" s="139"/>
      <c r="H221" s="141">
        <f t="shared" si="6"/>
        <v>0</v>
      </c>
    </row>
    <row r="222" spans="1:8" x14ac:dyDescent="0.2">
      <c r="A222" s="52"/>
      <c r="B222" s="10" t="s">
        <v>191</v>
      </c>
      <c r="C222" s="102" t="s">
        <v>144</v>
      </c>
      <c r="D222" s="139"/>
      <c r="E222" s="139"/>
      <c r="F222" s="140">
        <v>77593.95</v>
      </c>
      <c r="G222" s="139"/>
      <c r="H222" s="141">
        <f t="shared" si="6"/>
        <v>0</v>
      </c>
    </row>
    <row r="223" spans="1:8" x14ac:dyDescent="0.2">
      <c r="A223" s="52"/>
      <c r="B223" s="10" t="s">
        <v>192</v>
      </c>
      <c r="C223" s="102" t="s">
        <v>144</v>
      </c>
      <c r="D223" s="139">
        <v>2</v>
      </c>
      <c r="E223" s="139"/>
      <c r="F223" s="140">
        <v>81408.600000000006</v>
      </c>
      <c r="G223" s="139"/>
      <c r="H223" s="141">
        <f t="shared" si="6"/>
        <v>162817.20000000001</v>
      </c>
    </row>
    <row r="224" spans="1:8" x14ac:dyDescent="0.2">
      <c r="A224" s="52"/>
      <c r="B224" s="10" t="s">
        <v>193</v>
      </c>
      <c r="C224" s="102" t="s">
        <v>144</v>
      </c>
      <c r="D224" s="139">
        <v>2</v>
      </c>
      <c r="E224" s="139"/>
      <c r="F224" s="140">
        <v>77593.95</v>
      </c>
      <c r="G224" s="139"/>
      <c r="H224" s="141">
        <f t="shared" si="6"/>
        <v>155187.9</v>
      </c>
    </row>
    <row r="225" spans="1:8" x14ac:dyDescent="0.2">
      <c r="A225" s="108"/>
      <c r="B225" s="12" t="s">
        <v>118</v>
      </c>
      <c r="C225" s="13"/>
      <c r="D225" s="142"/>
      <c r="E225" s="142"/>
      <c r="F225" s="142"/>
      <c r="G225" s="142"/>
      <c r="H225" s="143">
        <f>SUM(H206:H224)</f>
        <v>2182795.6999999997</v>
      </c>
    </row>
    <row r="226" spans="1:8" x14ac:dyDescent="0.2">
      <c r="A226" s="108"/>
      <c r="B226" s="12"/>
      <c r="C226" s="13"/>
      <c r="D226" s="5"/>
      <c r="E226" s="5"/>
      <c r="F226" s="5"/>
      <c r="G226" s="109" t="s">
        <v>133</v>
      </c>
      <c r="H226" s="110">
        <f>H225/303.0303</f>
        <v>7203.2258820322577</v>
      </c>
    </row>
    <row r="230" spans="1:8" x14ac:dyDescent="0.2">
      <c r="F230" s="109" t="s">
        <v>21</v>
      </c>
      <c r="G230" s="109" t="s">
        <v>133</v>
      </c>
      <c r="H230" s="110">
        <f>H202+H192+H184+H178+H166+H136+H226</f>
        <v>383005.8298533457</v>
      </c>
    </row>
    <row r="232" spans="1:8" x14ac:dyDescent="0.2">
      <c r="H232" s="71"/>
    </row>
  </sheetData>
  <mergeCells count="13">
    <mergeCell ref="E169:F169"/>
    <mergeCell ref="G169:H169"/>
    <mergeCell ref="D4:E4"/>
    <mergeCell ref="G4:H4"/>
    <mergeCell ref="D5:D6"/>
    <mergeCell ref="E5:E6"/>
    <mergeCell ref="G5:G6"/>
    <mergeCell ref="H5:H6"/>
    <mergeCell ref="A139:A140"/>
    <mergeCell ref="D139:E139"/>
    <mergeCell ref="G139:H139"/>
    <mergeCell ref="G140:G141"/>
    <mergeCell ref="H140:H141"/>
  </mergeCells>
  <printOptions horizontalCentered="1"/>
  <pageMargins left="0.28000000000000003" right="0.15748031496062992" top="0.43" bottom="0.42" header="0.25" footer="0.2"/>
  <pageSetup paperSize="8" scale="53" orientation="landscape" r:id="rId1"/>
  <headerFooter alignWithMargins="0">
    <oddHeader>&amp;C&amp;"Arial,Bold"&amp;16S18390 (WEST) - COMMERCIAL EVALUATION (RAW SCORES)</oddHeader>
    <oddFooter>&amp;R&amp;P /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5" sqref="C25"/>
    </sheetView>
  </sheetViews>
  <sheetFormatPr defaultRowHeight="12.75" x14ac:dyDescent="0.2"/>
  <cols>
    <col min="1" max="1" width="6.5703125" customWidth="1"/>
    <col min="2" max="2" width="36.140625" bestFit="1" customWidth="1"/>
    <col min="6" max="6" width="10.28515625" bestFit="1" customWidth="1"/>
  </cols>
  <sheetData>
    <row r="1" spans="1:6" x14ac:dyDescent="0.2">
      <c r="A1" s="178" t="s">
        <v>213</v>
      </c>
    </row>
    <row r="2" spans="1:6" x14ac:dyDescent="0.2">
      <c r="A2" s="178"/>
    </row>
    <row r="3" spans="1:6" ht="15" x14ac:dyDescent="0.25">
      <c r="A3" s="17" t="s">
        <v>145</v>
      </c>
      <c r="B3" s="175" t="s">
        <v>125</v>
      </c>
      <c r="C3" s="175" t="s">
        <v>208</v>
      </c>
      <c r="D3" s="175" t="s">
        <v>127</v>
      </c>
      <c r="E3" s="175" t="s">
        <v>126</v>
      </c>
      <c r="F3" s="175" t="s">
        <v>209</v>
      </c>
    </row>
    <row r="4" spans="1:6" ht="38.25" x14ac:dyDescent="0.2">
      <c r="A4" s="17">
        <v>1</v>
      </c>
      <c r="B4" s="185" t="s">
        <v>234</v>
      </c>
      <c r="C4" s="17" t="s">
        <v>221</v>
      </c>
      <c r="D4" s="17">
        <v>1</v>
      </c>
      <c r="E4" s="17" t="s">
        <v>210</v>
      </c>
      <c r="F4" s="187">
        <v>100000</v>
      </c>
    </row>
    <row r="5" spans="1:6" x14ac:dyDescent="0.2">
      <c r="A5" s="17">
        <v>2</v>
      </c>
      <c r="B5" s="19" t="s">
        <v>222</v>
      </c>
      <c r="C5" s="17" t="s">
        <v>221</v>
      </c>
      <c r="D5" s="17">
        <v>1</v>
      </c>
      <c r="E5" s="17" t="s">
        <v>210</v>
      </c>
      <c r="F5" s="176">
        <v>15000</v>
      </c>
    </row>
    <row r="6" spans="1:6" x14ac:dyDescent="0.2">
      <c r="A6" s="17">
        <v>3</v>
      </c>
      <c r="B6" s="144" t="s">
        <v>211</v>
      </c>
      <c r="C6" s="17"/>
      <c r="D6" s="17">
        <v>1</v>
      </c>
      <c r="E6" s="17" t="s">
        <v>173</v>
      </c>
      <c r="F6" s="176">
        <v>80000</v>
      </c>
    </row>
    <row r="7" spans="1:6" x14ac:dyDescent="0.2">
      <c r="A7" s="17">
        <v>4</v>
      </c>
      <c r="B7" s="144" t="s">
        <v>212</v>
      </c>
      <c r="C7" s="17"/>
      <c r="D7" s="17">
        <v>1</v>
      </c>
      <c r="E7" s="17" t="s">
        <v>173</v>
      </c>
      <c r="F7" s="176">
        <v>50000</v>
      </c>
    </row>
    <row r="8" spans="1:6" ht="15" x14ac:dyDescent="0.25">
      <c r="A8" s="17"/>
      <c r="B8" s="144" t="s">
        <v>118</v>
      </c>
      <c r="C8" s="17"/>
      <c r="D8" s="17"/>
      <c r="E8" s="17"/>
      <c r="F8" s="177">
        <f>1.1*(SUM(F4:F7))</f>
        <v>269500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FCF</vt:lpstr>
      <vt:lpstr>Summary of cost and Benefit</vt:lpstr>
      <vt:lpstr>Scaffolding</vt:lpstr>
      <vt:lpstr>Installation Works</vt:lpstr>
      <vt:lpstr>PACO Works</vt:lpstr>
      <vt:lpstr>'Installation Works'!Print_Titles</vt:lpstr>
    </vt:vector>
  </TitlesOfParts>
  <Company>Registered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Falaye, Olatunbosun M SPDC-UPO/G/PSI</cp:lastModifiedBy>
  <cp:lastPrinted>2017-07-04T09:40:09Z</cp:lastPrinted>
  <dcterms:created xsi:type="dcterms:W3CDTF">2006-04-07T09:54:44Z</dcterms:created>
  <dcterms:modified xsi:type="dcterms:W3CDTF">2018-04-23T07:56:16Z</dcterms:modified>
</cp:coreProperties>
</file>