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109" i="9" l="1"/>
  <c r="I45" i="9" l="1"/>
  <c r="L77" i="9"/>
  <c r="L48" i="9"/>
  <c r="L8" i="9"/>
  <c r="P129" i="9" l="1"/>
  <c r="P98" i="9"/>
  <c r="P68" i="9"/>
  <c r="L26" i="9"/>
  <c r="I66" i="9"/>
  <c r="I26" i="9"/>
  <c r="L106" i="9" l="1"/>
  <c r="L127" i="9" s="1"/>
  <c r="I106" i="9"/>
  <c r="I127" i="9" s="1"/>
  <c r="L74" i="9"/>
  <c r="L96" i="9" s="1"/>
  <c r="I74" i="9"/>
  <c r="I96" i="9" s="1"/>
  <c r="L45" i="9" l="1"/>
  <c r="L66" i="9" s="1"/>
  <c r="I5" i="9" l="1"/>
  <c r="P54" i="9"/>
  <c r="L54" i="9"/>
  <c r="I54" i="9"/>
  <c r="P49" i="9"/>
  <c r="P50" i="9" s="1"/>
  <c r="L49" i="9"/>
  <c r="L50" i="9" s="1"/>
  <c r="I49" i="9"/>
  <c r="I50" i="9" s="1"/>
  <c r="H49" i="9"/>
  <c r="H50" i="9" s="1"/>
  <c r="G49" i="9"/>
  <c r="G50" i="9" s="1"/>
  <c r="F49" i="9"/>
  <c r="F50" i="9" s="1"/>
  <c r="E49" i="9"/>
  <c r="E50" i="9" s="1"/>
  <c r="D49" i="9"/>
  <c r="D50" i="9" s="1"/>
  <c r="C49" i="9"/>
  <c r="C50" i="9" s="1"/>
  <c r="B49" i="9"/>
  <c r="B50" i="9" s="1"/>
  <c r="J42" i="9"/>
  <c r="L5" i="9"/>
  <c r="B51" i="9" l="1"/>
  <c r="B55" i="9" s="1"/>
  <c r="D51" i="9"/>
  <c r="D55" i="9"/>
  <c r="F51" i="9"/>
  <c r="F55" i="9"/>
  <c r="H51" i="9"/>
  <c r="H55" i="9"/>
  <c r="L51" i="9"/>
  <c r="L55" i="9" s="1"/>
  <c r="C51" i="9"/>
  <c r="C55" i="9" s="1"/>
  <c r="E51" i="9"/>
  <c r="E55" i="9" s="1"/>
  <c r="G51" i="9"/>
  <c r="G55" i="9" s="1"/>
  <c r="I51" i="9"/>
  <c r="I55" i="9" s="1"/>
  <c r="I56" i="9" s="1"/>
  <c r="P51" i="9"/>
  <c r="P55" i="9" s="1"/>
  <c r="I58" i="9" l="1"/>
  <c r="I60" i="9" s="1"/>
  <c r="I65" i="9" s="1"/>
  <c r="I67" i="9" s="1"/>
  <c r="I68" i="9" s="1"/>
  <c r="E56" i="9"/>
  <c r="E58" i="9" s="1"/>
  <c r="P58" i="9"/>
  <c r="P60" i="9" s="1"/>
  <c r="P56" i="9"/>
  <c r="G58" i="9"/>
  <c r="G56" i="9"/>
  <c r="C58" i="9"/>
  <c r="C56" i="9"/>
  <c r="L56" i="9"/>
  <c r="L58" i="9" s="1"/>
  <c r="L60" i="9" s="1"/>
  <c r="L65" i="9" s="1"/>
  <c r="L67" i="9" s="1"/>
  <c r="L68" i="9" s="1"/>
  <c r="H56" i="9"/>
  <c r="H58" i="9" s="1"/>
  <c r="F56" i="9"/>
  <c r="F58" i="9" s="1"/>
  <c r="D56" i="9"/>
  <c r="D58" i="9" s="1"/>
  <c r="B56" i="9"/>
  <c r="B58" i="9" s="1"/>
  <c r="W68" i="9" l="1"/>
  <c r="W141" i="9" s="1"/>
  <c r="L62" i="9"/>
  <c r="P62" i="9"/>
  <c r="P65" i="9"/>
  <c r="I62" i="9"/>
  <c r="L115" i="9" l="1"/>
  <c r="I115" i="9"/>
  <c r="L110" i="9"/>
  <c r="L111" i="9" s="1"/>
  <c r="I110" i="9"/>
  <c r="I111" i="9" s="1"/>
  <c r="H110" i="9"/>
  <c r="H111" i="9" s="1"/>
  <c r="G110" i="9"/>
  <c r="G111" i="9" s="1"/>
  <c r="F110" i="9"/>
  <c r="F111" i="9" s="1"/>
  <c r="E110" i="9"/>
  <c r="E111" i="9" s="1"/>
  <c r="D110" i="9"/>
  <c r="D111" i="9" s="1"/>
  <c r="C110" i="9"/>
  <c r="C111" i="9" s="1"/>
  <c r="B110" i="9"/>
  <c r="B111" i="9" s="1"/>
  <c r="P115" i="9"/>
  <c r="J103" i="9"/>
  <c r="P83" i="9"/>
  <c r="L83" i="9"/>
  <c r="I83" i="9"/>
  <c r="L78" i="9"/>
  <c r="L79" i="9" s="1"/>
  <c r="I78" i="9"/>
  <c r="I79" i="9" s="1"/>
  <c r="H78" i="9"/>
  <c r="H79" i="9" s="1"/>
  <c r="G78" i="9"/>
  <c r="G79" i="9" s="1"/>
  <c r="F78" i="9"/>
  <c r="F79" i="9" s="1"/>
  <c r="E78" i="9"/>
  <c r="E79" i="9" s="1"/>
  <c r="D78" i="9"/>
  <c r="D79" i="9" s="1"/>
  <c r="C78" i="9"/>
  <c r="C79" i="9" s="1"/>
  <c r="B78" i="9"/>
  <c r="B79" i="9" s="1"/>
  <c r="P78" i="9"/>
  <c r="P79" i="9" s="1"/>
  <c r="J71" i="9"/>
  <c r="B112" i="9" l="1"/>
  <c r="B116" i="9" s="1"/>
  <c r="D112" i="9"/>
  <c r="D116" i="9" s="1"/>
  <c r="F112" i="9"/>
  <c r="F116" i="9" s="1"/>
  <c r="H112" i="9"/>
  <c r="H116" i="9" s="1"/>
  <c r="L112" i="9"/>
  <c r="L116" i="9" s="1"/>
  <c r="C112" i="9"/>
  <c r="C116" i="9" s="1"/>
  <c r="E112" i="9"/>
  <c r="E116" i="9" s="1"/>
  <c r="G112" i="9"/>
  <c r="G116" i="9" s="1"/>
  <c r="I112" i="9"/>
  <c r="I116" i="9" s="1"/>
  <c r="P110" i="9"/>
  <c r="P111" i="9" s="1"/>
  <c r="P80" i="9"/>
  <c r="P84" i="9" s="1"/>
  <c r="C80" i="9"/>
  <c r="C84" i="9" s="1"/>
  <c r="E80" i="9"/>
  <c r="E84" i="9" s="1"/>
  <c r="G80" i="9"/>
  <c r="G84" i="9" s="1"/>
  <c r="I80" i="9"/>
  <c r="I84" i="9" s="1"/>
  <c r="B80" i="9"/>
  <c r="B84" i="9" s="1"/>
  <c r="D80" i="9"/>
  <c r="D84" i="9" s="1"/>
  <c r="F80" i="9"/>
  <c r="F84" i="9" s="1"/>
  <c r="H80" i="9"/>
  <c r="H84" i="9" s="1"/>
  <c r="L80" i="9"/>
  <c r="L84" i="9" s="1"/>
  <c r="I9" i="9"/>
  <c r="L117" i="9" l="1"/>
  <c r="L119" i="9" s="1"/>
  <c r="L121" i="9" s="1"/>
  <c r="L126" i="9" s="1"/>
  <c r="L128" i="9" s="1"/>
  <c r="L129" i="9" s="1"/>
  <c r="F119" i="9"/>
  <c r="F117" i="9"/>
  <c r="B119" i="9"/>
  <c r="B117" i="9"/>
  <c r="H119" i="9"/>
  <c r="H117" i="9"/>
  <c r="D119" i="9"/>
  <c r="D117" i="9"/>
  <c r="P112" i="9"/>
  <c r="P116" i="9" s="1"/>
  <c r="I117" i="9"/>
  <c r="I119" i="9" s="1"/>
  <c r="I121" i="9" s="1"/>
  <c r="I126" i="9" s="1"/>
  <c r="I128" i="9" s="1"/>
  <c r="I129" i="9" s="1"/>
  <c r="W129" i="9" s="1"/>
  <c r="W143" i="9" s="1"/>
  <c r="G119" i="9"/>
  <c r="G117" i="9"/>
  <c r="E119" i="9"/>
  <c r="E117" i="9"/>
  <c r="C119" i="9"/>
  <c r="C117" i="9"/>
  <c r="I85" i="9"/>
  <c r="I87" i="9" s="1"/>
  <c r="I89" i="9" s="1"/>
  <c r="I95" i="9" s="1"/>
  <c r="I97" i="9" s="1"/>
  <c r="I98" i="9" s="1"/>
  <c r="E85" i="9"/>
  <c r="E87" i="9" s="1"/>
  <c r="P85" i="9"/>
  <c r="P87" i="9" s="1"/>
  <c r="P89" i="9" s="1"/>
  <c r="G87" i="9"/>
  <c r="G85" i="9"/>
  <c r="C87" i="9"/>
  <c r="C85" i="9"/>
  <c r="L85" i="9"/>
  <c r="L87" i="9" s="1"/>
  <c r="L89" i="9" s="1"/>
  <c r="L95" i="9" s="1"/>
  <c r="L97" i="9" s="1"/>
  <c r="L98" i="9" s="1"/>
  <c r="H87" i="9"/>
  <c r="H85" i="9"/>
  <c r="F87" i="9"/>
  <c r="F85" i="9"/>
  <c r="D87" i="9"/>
  <c r="D85" i="9"/>
  <c r="B87" i="9"/>
  <c r="B85" i="9"/>
  <c r="W98" i="9" l="1"/>
  <c r="W142" i="9" s="1"/>
  <c r="L123" i="9"/>
  <c r="L91" i="9"/>
  <c r="I123" i="9"/>
  <c r="P117" i="9"/>
  <c r="P119" i="9" s="1"/>
  <c r="P121" i="9" s="1"/>
  <c r="P95" i="9"/>
  <c r="P91" i="9"/>
  <c r="I91" i="9"/>
  <c r="J40" i="9"/>
  <c r="I40" i="9"/>
  <c r="P123" i="9" l="1"/>
  <c r="P126" i="9"/>
  <c r="K39" i="9"/>
  <c r="L39" i="9" s="1"/>
  <c r="K38" i="9"/>
  <c r="L38" i="9" s="1"/>
  <c r="K37" i="9"/>
  <c r="L14" i="9" l="1"/>
  <c r="K40" i="9"/>
  <c r="L37" i="9"/>
  <c r="L40" i="9" s="1"/>
  <c r="P14" i="9"/>
  <c r="J31" i="9"/>
  <c r="J32" i="9"/>
  <c r="J33" i="9"/>
  <c r="J2" i="9" l="1"/>
  <c r="I14" i="9"/>
  <c r="J35" i="9"/>
  <c r="P9" i="9" l="1"/>
  <c r="P10" i="9" s="1"/>
  <c r="P11" i="9" s="1"/>
  <c r="H9" i="9"/>
  <c r="H10" i="9" s="1"/>
  <c r="G9" i="9"/>
  <c r="G10" i="9" s="1"/>
  <c r="F9" i="9"/>
  <c r="F10" i="9" s="1"/>
  <c r="F11" i="9" s="1"/>
  <c r="F15" i="9" s="1"/>
  <c r="E9" i="9"/>
  <c r="E10" i="9" s="1"/>
  <c r="E11" i="9" s="1"/>
  <c r="D9" i="9"/>
  <c r="D10" i="9" s="1"/>
  <c r="C9" i="9"/>
  <c r="C10" i="9" s="1"/>
  <c r="B9" i="9"/>
  <c r="B10" i="9" s="1"/>
  <c r="B11" i="9" s="1"/>
  <c r="B15" i="9" s="1"/>
  <c r="L9" i="9"/>
  <c r="L10" i="9" s="1"/>
  <c r="L11" i="9" l="1"/>
  <c r="L15" i="9" s="1"/>
  <c r="P15" i="9"/>
  <c r="P16" i="9" s="1"/>
  <c r="I10" i="9"/>
  <c r="B16" i="9"/>
  <c r="B18" i="9" s="1"/>
  <c r="F16" i="9"/>
  <c r="F18" i="9" s="1"/>
  <c r="C11" i="9"/>
  <c r="C15" i="9" s="1"/>
  <c r="E15" i="9"/>
  <c r="G11" i="9"/>
  <c r="G15" i="9" s="1"/>
  <c r="D11" i="9"/>
  <c r="D15" i="9" s="1"/>
  <c r="H11" i="9"/>
  <c r="H15" i="9" s="1"/>
  <c r="I6" i="4"/>
  <c r="I11" i="9" l="1"/>
  <c r="I15" i="9"/>
  <c r="I16" i="9" s="1"/>
  <c r="I18" i="9" s="1"/>
  <c r="I20" i="9" s="1"/>
  <c r="I25" i="9" s="1"/>
  <c r="I27" i="9" s="1"/>
  <c r="I28" i="9" s="1"/>
  <c r="P18" i="9"/>
  <c r="P20" i="9" s="1"/>
  <c r="P28" i="9" s="1"/>
  <c r="G16" i="9"/>
  <c r="G18" i="9" s="1"/>
  <c r="H16" i="9"/>
  <c r="H18" i="9" s="1"/>
  <c r="D16" i="9"/>
  <c r="D18" i="9" s="1"/>
  <c r="C16" i="9"/>
  <c r="C18" i="9" s="1"/>
  <c r="E16" i="9"/>
  <c r="E18" i="9" s="1"/>
  <c r="I12" i="4"/>
  <c r="I22" i="9" l="1"/>
  <c r="P22" i="9"/>
  <c r="L16" i="9"/>
  <c r="L18" i="9" s="1"/>
  <c r="L20" i="9" s="1"/>
  <c r="L25" i="9" s="1"/>
  <c r="L27" i="9" s="1"/>
  <c r="L28" i="9" s="1"/>
  <c r="W28" i="9" s="1"/>
  <c r="W140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2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<sst xmlns="http://schemas.openxmlformats.org/spreadsheetml/2006/main" count="327" uniqueCount="60">
  <si>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</si>
  <si>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</si>
  <si>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</si>
  <si>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</si>
  <si>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</si>
  <si>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</si>
  <si>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</si>
  <si>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</si>
  <si>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</si>
  <si>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</si>
  <si>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</si>
  <si>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</si>
  <si>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</si>
  <si>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</si>
  <si>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</si>
  <si>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</si>
  <si>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</si>
  <si>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</si>
  <si>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</si>
  <si>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</si>
  <si>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</si>
  <si>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</si>
  <si>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</si>
  <si>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</si>
  <si>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</si>
  <si>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</si>
  <si>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</si>
  <si>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</si>
  <si>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</si>
  <si>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</si>
  <si>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</si>
  <si>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</si>
  <si>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</si>
  <si>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</si>
  <si>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</si>
  <si>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</si>
  <si>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</si>
  <si>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</si>
  <si>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</si>
  <si>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</si>
  <si>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</si>
  <si>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</si>
  <si>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</si>
  <si>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</si>
  <si>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</si>
  <si>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</si>
  <si>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</si>
  <si>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</si>
  <si>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</si>
  <si>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</si>
  <si>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</si>
  <si>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</si>
  <si>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Capex</t>
  </si>
  <si>
    <t>Capital Allwce</t>
  </si>
  <si>
    <t>CSD (SS)</t>
  </si>
  <si>
    <t>Add Capex Savings</t>
  </si>
  <si>
    <t>Lost tax shield of Capital Allwce</t>
  </si>
  <si>
    <t>CSD 100%</t>
  </si>
  <si>
    <t>Total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</si>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</sst>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3" fontId="0" fillId="0" borderId="0" xfId="0" applyNumberFormat="1"/>
    <xf numFmtId="43" fontId="2" fillId="0" borderId="0" xfId="0" applyNumberFormat="1" applyFont="1" applyFill="1"/>
    <xf numFmtId="43" fontId="0" fillId="0" borderId="0" xfId="0" applyNumberFormat="1" applyFont="1" applyFill="1" applyBorder="1"/>
    <xf numFmtId="43" fontId="2" fillId="0" borderId="0" xfId="0" applyNumberFormat="1" applyFon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topLeftCell="A102" zoomScale="85" zoomScaleNormal="85" workbookViewId="0">
      <selection activeCell="I113" sqref="I113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31.28515625" customWidth="1"/>
    <col min="14" max="14" width="10.5703125" bestFit="1" customWidth="1"/>
    <col min="15" max="15" width="60.140625" hidden="1" customWidth="1"/>
    <col min="16" max="16" width="15.28515625" hidden="1" customWidth="1"/>
    <col min="17" max="22" width="0" hidden="1" customWidth="1"/>
    <col min="23" max="23" width="14.42578125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I8*1000</f>
        <v>235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5" t="s">
        <v>52</v>
      </c>
      <c r="I4" s="49">
        <v>0</v>
      </c>
      <c r="K4" s="5"/>
      <c r="L4" s="49">
        <v>0</v>
      </c>
      <c r="M4" s="33"/>
      <c r="O4" s="5"/>
    </row>
    <row r="5" spans="1:18">
      <c r="A5" s="5" t="s">
        <v>53</v>
      </c>
      <c r="I5" s="49">
        <f>-I4*0.2</f>
        <v>0</v>
      </c>
      <c r="K5" s="5"/>
      <c r="L5" s="49">
        <f>-L4*0.2</f>
        <v>0</v>
      </c>
      <c r="M5" s="33"/>
      <c r="O5" s="5"/>
    </row>
    <row r="6" spans="1:18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47</v>
      </c>
      <c r="L6" s="29">
        <v>1.17</v>
      </c>
      <c r="M6" t="s">
        <v>25</v>
      </c>
      <c r="O6" s="6" t="s">
        <v>47</v>
      </c>
      <c r="P6" s="30">
        <v>2.4</v>
      </c>
      <c r="Q6" t="s">
        <v>25</v>
      </c>
      <c r="R6" s="33"/>
    </row>
    <row r="7" spans="1:18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365</v>
      </c>
      <c r="K7" s="6" t="s">
        <v>2</v>
      </c>
      <c r="L7" s="8">
        <v>365</v>
      </c>
      <c r="O7" s="6" t="s">
        <v>2</v>
      </c>
      <c r="P7" s="8">
        <v>365</v>
      </c>
    </row>
    <row r="8" spans="1:18">
      <c r="A8" s="6" t="s">
        <v>3</v>
      </c>
      <c r="B8" s="9"/>
      <c r="C8" s="9"/>
      <c r="D8" s="9"/>
      <c r="E8" s="9"/>
      <c r="F8" s="9"/>
      <c r="G8" s="9"/>
      <c r="H8" s="9"/>
      <c r="I8" s="37">
        <v>0.23499999999999999</v>
      </c>
      <c r="J8" t="s">
        <v>31</v>
      </c>
      <c r="K8" s="6" t="s">
        <v>3</v>
      </c>
      <c r="L8" s="37">
        <f>5.863/5.8</f>
        <v>1.0108620689655174</v>
      </c>
      <c r="M8" t="s">
        <v>31</v>
      </c>
      <c r="O8" s="6" t="s">
        <v>3</v>
      </c>
      <c r="P8" s="36">
        <v>0</v>
      </c>
      <c r="Q8" t="s">
        <v>31</v>
      </c>
    </row>
    <row r="9" spans="1:18">
      <c r="A9" s="6" t="s">
        <v>44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85774.999999999985</v>
      </c>
      <c r="K9" s="6" t="s">
        <v>45</v>
      </c>
      <c r="L9" s="11">
        <f>L8*L7*1000</f>
        <v>368964.65517241386</v>
      </c>
      <c r="O9" s="6" t="s">
        <v>45</v>
      </c>
      <c r="P9" s="11">
        <f t="shared" ref="P9" si="1">P8*P7*1000</f>
        <v>0</v>
      </c>
    </row>
    <row r="10" spans="1:18" ht="15.75" thickBot="1">
      <c r="A10" s="6" t="s">
        <v>42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4406261.7499999991</v>
      </c>
      <c r="K10" s="6" t="s">
        <v>42</v>
      </c>
      <c r="L10" s="23">
        <f>+L9*L6*5.8</f>
        <v>2503794.15</v>
      </c>
      <c r="O10" s="6" t="s">
        <v>42</v>
      </c>
      <c r="P10" s="23">
        <f>+P9*P6*5.8</f>
        <v>0</v>
      </c>
    </row>
    <row r="11" spans="1:18" ht="15.75" thickTop="1">
      <c r="A11" s="6" t="s">
        <v>51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-881252.34999999986</v>
      </c>
      <c r="J11" t="s">
        <v>23</v>
      </c>
      <c r="K11" s="6" t="s">
        <v>48</v>
      </c>
      <c r="L11" s="24">
        <f>-L10*0.07</f>
        <v>-175265.59050000002</v>
      </c>
      <c r="M11" t="s">
        <v>46</v>
      </c>
      <c r="O11" s="6" t="s">
        <v>48</v>
      </c>
      <c r="P11" s="24">
        <f>-P10*0.07</f>
        <v>0</v>
      </c>
      <c r="Q11" t="s">
        <v>46</v>
      </c>
    </row>
    <row r="12" spans="1:18">
      <c r="A12" s="6" t="s">
        <v>40</v>
      </c>
      <c r="B12" s="13"/>
      <c r="C12" s="13"/>
      <c r="D12" s="13"/>
      <c r="E12" s="13"/>
      <c r="F12" s="13"/>
      <c r="G12" s="13"/>
      <c r="H12" s="21"/>
      <c r="I12" s="13">
        <v>-10000</v>
      </c>
      <c r="K12" s="6" t="s">
        <v>40</v>
      </c>
      <c r="L12" s="13">
        <v>-200000</v>
      </c>
      <c r="O12" s="6" t="s">
        <v>40</v>
      </c>
      <c r="P12" s="13"/>
    </row>
    <row r="13" spans="1:18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  <c r="O13" s="6" t="s">
        <v>13</v>
      </c>
      <c r="P13" s="13"/>
    </row>
    <row r="14" spans="1:18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-232107.14999999997</v>
      </c>
      <c r="J14" t="s">
        <v>39</v>
      </c>
      <c r="K14" s="6" t="s">
        <v>12</v>
      </c>
      <c r="L14" s="13">
        <f>-L8*L7*2706</f>
        <v>-998418.35689655191</v>
      </c>
      <c r="O14" s="6" t="s">
        <v>12</v>
      </c>
      <c r="P14" s="13">
        <f>-P8*P7*2706</f>
        <v>0</v>
      </c>
    </row>
    <row r="15" spans="1:18">
      <c r="A15" s="6" t="s">
        <v>43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3282902.2499999995</v>
      </c>
      <c r="K15" s="6" t="s">
        <v>43</v>
      </c>
      <c r="L15" s="14">
        <f>+L10+L11+L12+L13+L14+L5</f>
        <v>1130110.2026034482</v>
      </c>
      <c r="O15" s="6" t="s">
        <v>43</v>
      </c>
      <c r="P15" s="14">
        <f>+P10+P11+P12+P13+P14</f>
        <v>0</v>
      </c>
    </row>
    <row r="16" spans="1:18">
      <c r="A16" s="6" t="s">
        <v>49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-2790466.9124999996</v>
      </c>
      <c r="J16" t="s">
        <v>16</v>
      </c>
      <c r="K16" s="6" t="s">
        <v>50</v>
      </c>
      <c r="L16" s="13">
        <f>-L15*0.3</f>
        <v>-339033.06078103447</v>
      </c>
      <c r="O16" s="6" t="s">
        <v>50</v>
      </c>
      <c r="P16" s="13">
        <f>-P15*0.3</f>
        <v>0</v>
      </c>
    </row>
    <row r="17" spans="1:23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  <c r="O17" s="19"/>
      <c r="P17" s="25"/>
    </row>
    <row r="18" spans="1:23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492435.33749999991</v>
      </c>
      <c r="K18" s="15" t="s">
        <v>9</v>
      </c>
      <c r="L18" s="12">
        <f t="shared" ref="L18" si="7">+L15+L16</f>
        <v>791077.14182241377</v>
      </c>
      <c r="O18" s="15" t="s">
        <v>9</v>
      </c>
      <c r="P18" s="12">
        <f t="shared" ref="P18" si="8">+P15+P16</f>
        <v>0</v>
      </c>
    </row>
    <row r="19" spans="1:23" ht="15.75" thickTop="1"/>
    <row r="20" spans="1:23" ht="15.75" thickBot="1">
      <c r="A20" t="s">
        <v>15</v>
      </c>
      <c r="I20" s="27">
        <f>I18-I14</f>
        <v>724542.48749999981</v>
      </c>
      <c r="J20" t="s">
        <v>30</v>
      </c>
      <c r="K20" t="s">
        <v>15</v>
      </c>
      <c r="L20" s="27">
        <f>L18-L14</f>
        <v>1789495.4987189658</v>
      </c>
      <c r="M20" t="s">
        <v>30</v>
      </c>
      <c r="O20" t="s">
        <v>15</v>
      </c>
      <c r="P20" s="27">
        <f>P18-P14</f>
        <v>0</v>
      </c>
      <c r="Q20" t="s">
        <v>30</v>
      </c>
    </row>
    <row r="21" spans="1:23" ht="15.75" thickTop="1"/>
    <row r="22" spans="1:23" ht="15.75" thickBot="1">
      <c r="A22" t="s">
        <v>14</v>
      </c>
      <c r="I22" s="28">
        <f>I20-I16</f>
        <v>3515009.3999999994</v>
      </c>
      <c r="J22" t="s">
        <v>30</v>
      </c>
      <c r="K22" t="s">
        <v>14</v>
      </c>
      <c r="L22" s="28">
        <f>L20-L16</f>
        <v>2128528.5595000004</v>
      </c>
      <c r="M22" t="s">
        <v>30</v>
      </c>
      <c r="O22" t="s">
        <v>14</v>
      </c>
      <c r="P22" s="28">
        <f>P20-P16</f>
        <v>0</v>
      </c>
      <c r="Q22" t="s">
        <v>30</v>
      </c>
    </row>
    <row r="23" spans="1:23" ht="15.75" thickTop="1"/>
    <row r="25" spans="1:23">
      <c r="A25" t="s">
        <v>55</v>
      </c>
      <c r="I25" s="34">
        <f>I4+I20</f>
        <v>724542.48749999981</v>
      </c>
      <c r="L25" s="34">
        <f>L4+L20</f>
        <v>1789495.4987189658</v>
      </c>
    </row>
    <row r="26" spans="1:23">
      <c r="A26" s="1" t="s">
        <v>56</v>
      </c>
      <c r="I26" s="34">
        <f>-I5*0.85</f>
        <v>0</v>
      </c>
      <c r="L26" s="34">
        <f>-L5*0.3</f>
        <v>0</v>
      </c>
    </row>
    <row r="27" spans="1:23">
      <c r="A27" s="17" t="s">
        <v>57</v>
      </c>
      <c r="B27" s="18"/>
      <c r="C27" s="18"/>
      <c r="D27" s="18"/>
      <c r="E27" s="18"/>
      <c r="F27" s="18"/>
      <c r="G27" s="18"/>
      <c r="H27" s="18"/>
      <c r="I27" s="45">
        <f>SUM(I25:I26)</f>
        <v>724542.48749999981</v>
      </c>
      <c r="J27" s="10"/>
      <c r="L27" s="45">
        <f>SUM(L25:L26)</f>
        <v>1789495.4987189658</v>
      </c>
      <c r="P27" s="45"/>
    </row>
    <row r="28" spans="1:23">
      <c r="A28" s="17" t="s">
        <v>54</v>
      </c>
      <c r="B28" s="1">
        <v>2014</v>
      </c>
      <c r="C28" s="1"/>
      <c r="D28" s="1"/>
      <c r="E28" s="1"/>
      <c r="F28" s="1"/>
      <c r="G28" s="1"/>
      <c r="H28" s="1"/>
      <c r="I28" s="47">
        <f>I27*0.3</f>
        <v>217362.74624999994</v>
      </c>
      <c r="L28" s="47">
        <f>L27*0.3</f>
        <v>536848.64961568976</v>
      </c>
      <c r="N28" s="5" t="s">
        <v>58</v>
      </c>
      <c r="O28" s="5"/>
      <c r="P28" s="50">
        <f>P20*0.3</f>
        <v>0</v>
      </c>
      <c r="Q28" s="5"/>
      <c r="R28" s="5"/>
      <c r="S28" s="5"/>
      <c r="T28" s="5"/>
      <c r="U28" s="5"/>
      <c r="V28" s="5"/>
      <c r="W28" s="52">
        <f>I28+L28</f>
        <v>754211.39586568973</v>
      </c>
    </row>
    <row r="29" spans="1:23" s="1" customFormat="1">
      <c r="B29" s="1">
        <v>2015</v>
      </c>
      <c r="J29"/>
      <c r="K29"/>
      <c r="O29"/>
    </row>
    <row r="30" spans="1:23" s="1" customFormat="1" hidden="1">
      <c r="A30" s="38" t="s">
        <v>27</v>
      </c>
      <c r="B30" s="1">
        <v>2016</v>
      </c>
      <c r="I30" s="1" t="s">
        <v>35</v>
      </c>
      <c r="J30" t="s">
        <v>36</v>
      </c>
      <c r="K30" s="39"/>
      <c r="O30"/>
      <c r="P30" s="32"/>
    </row>
    <row r="31" spans="1:23" s="1" customFormat="1" hidden="1">
      <c r="A31" s="1" t="s">
        <v>24</v>
      </c>
      <c r="I31" s="31">
        <v>187677.00564760386</v>
      </c>
      <c r="J31" s="34">
        <f>I31</f>
        <v>187677.00564760386</v>
      </c>
      <c r="K31" s="40"/>
      <c r="L31" s="42"/>
      <c r="O31"/>
    </row>
    <row r="32" spans="1:23" s="1" customFormat="1" hidden="1">
      <c r="A32" s="1" t="s">
        <v>29</v>
      </c>
      <c r="I32" s="32">
        <v>1664888.574633426</v>
      </c>
      <c r="J32" s="33">
        <f>I32/5.8</f>
        <v>287049.75424714241</v>
      </c>
      <c r="K32" s="41"/>
      <c r="O32"/>
    </row>
    <row r="33" spans="1:18" s="1" customFormat="1" hidden="1">
      <c r="A33" s="1" t="s">
        <v>28</v>
      </c>
      <c r="I33" s="31">
        <v>126636.8363896712</v>
      </c>
      <c r="J33" s="33">
        <f>I33/5.8</f>
        <v>21833.937308564</v>
      </c>
      <c r="K33" s="41"/>
      <c r="O33"/>
    </row>
    <row r="34" spans="1:18" s="1" customFormat="1" hidden="1">
      <c r="I34" s="32"/>
      <c r="J34"/>
      <c r="K34"/>
      <c r="O34"/>
    </row>
    <row r="35" spans="1:18" s="1" customFormat="1" hidden="1">
      <c r="J35" s="35">
        <f>SUM(J31:J33)</f>
        <v>496560.69720331026</v>
      </c>
      <c r="K35"/>
      <c r="O35"/>
    </row>
    <row r="36" spans="1:18" s="1" customFormat="1" hidden="1">
      <c r="A36" s="1" t="s">
        <v>32</v>
      </c>
      <c r="I36" s="1" t="s">
        <v>33</v>
      </c>
      <c r="J36" t="s">
        <v>41</v>
      </c>
      <c r="K36" t="s">
        <v>34</v>
      </c>
      <c r="O36"/>
    </row>
    <row r="37" spans="1:18" s="1" customFormat="1" hidden="1">
      <c r="A37" s="1" t="s">
        <v>24</v>
      </c>
      <c r="I37" s="31">
        <v>187677.00564760386</v>
      </c>
      <c r="J37" s="43">
        <v>191700</v>
      </c>
      <c r="K37" s="34">
        <f>J37-I37</f>
        <v>4022.994352396141</v>
      </c>
      <c r="L37" s="31">
        <f>0.3*K37</f>
        <v>1206.8983057188423</v>
      </c>
      <c r="M37" s="46"/>
      <c r="O37"/>
    </row>
    <row r="38" spans="1:18" s="1" customFormat="1" hidden="1">
      <c r="A38" s="1" t="s">
        <v>29</v>
      </c>
      <c r="I38" s="31">
        <v>287050</v>
      </c>
      <c r="J38" s="35">
        <v>289462.71000000002</v>
      </c>
      <c r="K38" s="34">
        <f>J38-I38</f>
        <v>2412.710000000021</v>
      </c>
      <c r="L38" s="31">
        <f t="shared" ref="L38:L39" si="9">0.3*K38</f>
        <v>723.81300000000624</v>
      </c>
      <c r="M38" s="46"/>
      <c r="O38"/>
    </row>
    <row r="39" spans="1:18" s="1" customFormat="1" hidden="1">
      <c r="A39" s="1" t="s">
        <v>28</v>
      </c>
      <c r="I39" s="44">
        <v>21834</v>
      </c>
      <c r="J39" s="44">
        <v>22095.040000000001</v>
      </c>
      <c r="K39" s="34">
        <f>J39-I39</f>
        <v>261.04000000000087</v>
      </c>
      <c r="L39" s="31">
        <f t="shared" si="9"/>
        <v>78.312000000000253</v>
      </c>
      <c r="M39" s="46"/>
      <c r="O39"/>
    </row>
    <row r="40" spans="1:18" s="1" customFormat="1" hidden="1">
      <c r="I40" s="32">
        <f>SUM(I37:I39)</f>
        <v>496561.00564760389</v>
      </c>
      <c r="J40" s="32">
        <f>SUM(J37:J39)</f>
        <v>503257.75</v>
      </c>
      <c r="K40" s="32">
        <f>SUM(K37:K39)</f>
        <v>6696.7443523961629</v>
      </c>
      <c r="L40" s="32">
        <f>SUM(L37:L39)</f>
        <v>2009.0233057188489</v>
      </c>
      <c r="M40" s="46"/>
      <c r="O40"/>
    </row>
    <row r="41" spans="1:18" s="1" customFormat="1" hidden="1">
      <c r="J41"/>
      <c r="K41"/>
      <c r="O41"/>
    </row>
    <row r="42" spans="1:18" ht="18.75">
      <c r="A42" s="3" t="s">
        <v>38</v>
      </c>
      <c r="B42" s="4">
        <v>2008</v>
      </c>
      <c r="C42" s="4">
        <v>2009</v>
      </c>
      <c r="D42" s="4">
        <v>2010</v>
      </c>
      <c r="E42" s="4">
        <v>2011</v>
      </c>
      <c r="F42" s="4">
        <v>2012</v>
      </c>
      <c r="G42" s="4">
        <v>2013</v>
      </c>
      <c r="H42" s="4">
        <v>2014</v>
      </c>
      <c r="I42" s="4">
        <v>2018</v>
      </c>
      <c r="J42" s="33">
        <f>I48*1000</f>
        <v>400</v>
      </c>
      <c r="K42" s="3" t="s">
        <v>26</v>
      </c>
      <c r="L42" s="4">
        <v>2018</v>
      </c>
      <c r="O42" s="3" t="s">
        <v>37</v>
      </c>
      <c r="P42" s="4">
        <v>2018</v>
      </c>
    </row>
    <row r="43" spans="1:18">
      <c r="A43" s="5" t="s">
        <v>0</v>
      </c>
      <c r="K43" s="5" t="s">
        <v>0</v>
      </c>
      <c r="M43" s="33"/>
      <c r="O43" s="5" t="s">
        <v>0</v>
      </c>
    </row>
    <row r="44" spans="1:18">
      <c r="A44" s="5" t="s">
        <v>52</v>
      </c>
      <c r="I44" s="49">
        <v>0</v>
      </c>
      <c r="K44" s="5"/>
      <c r="L44" s="49">
        <v>0</v>
      </c>
      <c r="M44" s="33"/>
      <c r="O44" s="5"/>
    </row>
    <row r="45" spans="1:18">
      <c r="A45" s="5" t="s">
        <v>53</v>
      </c>
      <c r="I45" s="49">
        <f>I44*0.2</f>
        <v>0</v>
      </c>
      <c r="K45" s="5"/>
      <c r="L45" s="49">
        <f>L44*0.2</f>
        <v>0</v>
      </c>
      <c r="M45" s="33"/>
      <c r="O45" s="5"/>
    </row>
    <row r="46" spans="1:18">
      <c r="A46" s="6" t="s">
        <v>1</v>
      </c>
      <c r="B46" s="7"/>
      <c r="C46" s="7"/>
      <c r="D46" s="7"/>
      <c r="E46" s="7"/>
      <c r="F46" s="7"/>
      <c r="G46" s="7"/>
      <c r="H46" s="7"/>
      <c r="I46" s="7">
        <v>61.486363327180499</v>
      </c>
      <c r="J46" t="s">
        <v>25</v>
      </c>
      <c r="K46" s="6" t="s">
        <v>47</v>
      </c>
      <c r="L46" s="29">
        <v>1.435885875460934</v>
      </c>
      <c r="M46" t="s">
        <v>25</v>
      </c>
      <c r="O46" s="6" t="s">
        <v>47</v>
      </c>
      <c r="P46" s="30">
        <v>2.4</v>
      </c>
      <c r="Q46" t="s">
        <v>25</v>
      </c>
      <c r="R46" s="33"/>
    </row>
    <row r="47" spans="1:18">
      <c r="A47" s="6" t="s">
        <v>2</v>
      </c>
      <c r="B47" s="8">
        <v>366</v>
      </c>
      <c r="C47" s="8">
        <v>365</v>
      </c>
      <c r="D47" s="8">
        <v>365</v>
      </c>
      <c r="E47" s="8">
        <v>365</v>
      </c>
      <c r="F47" s="8">
        <v>366</v>
      </c>
      <c r="G47" s="8">
        <v>365</v>
      </c>
      <c r="H47" s="8">
        <v>365</v>
      </c>
      <c r="I47" s="8">
        <v>365</v>
      </c>
      <c r="K47" s="6" t="s">
        <v>2</v>
      </c>
      <c r="L47" s="8">
        <v>365</v>
      </c>
      <c r="O47" s="6" t="s">
        <v>2</v>
      </c>
      <c r="P47" s="8">
        <v>365</v>
      </c>
    </row>
    <row r="48" spans="1:18">
      <c r="A48" s="6" t="s">
        <v>3</v>
      </c>
      <c r="B48" s="9"/>
      <c r="C48" s="9"/>
      <c r="D48" s="9"/>
      <c r="E48" s="9"/>
      <c r="F48" s="9"/>
      <c r="G48" s="9"/>
      <c r="H48" s="9"/>
      <c r="I48" s="37">
        <v>0.4</v>
      </c>
      <c r="J48" t="s">
        <v>31</v>
      </c>
      <c r="K48" s="6" t="s">
        <v>3</v>
      </c>
      <c r="L48" s="37">
        <f>10/5.8</f>
        <v>1.7241379310344829</v>
      </c>
      <c r="M48" t="s">
        <v>31</v>
      </c>
      <c r="O48" s="6" t="s">
        <v>3</v>
      </c>
      <c r="P48" s="36">
        <v>0</v>
      </c>
      <c r="Q48" t="s">
        <v>31</v>
      </c>
    </row>
    <row r="49" spans="1:17">
      <c r="A49" s="6" t="s">
        <v>44</v>
      </c>
      <c r="B49" s="11">
        <f t="shared" ref="B49:H49" si="10">B48*B47*1000</f>
        <v>0</v>
      </c>
      <c r="C49" s="11">
        <f t="shared" si="10"/>
        <v>0</v>
      </c>
      <c r="D49" s="11">
        <f t="shared" si="10"/>
        <v>0</v>
      </c>
      <c r="E49" s="11">
        <f t="shared" si="10"/>
        <v>0</v>
      </c>
      <c r="F49" s="11">
        <f t="shared" si="10"/>
        <v>0</v>
      </c>
      <c r="G49" s="11">
        <f t="shared" si="10"/>
        <v>0</v>
      </c>
      <c r="H49" s="11">
        <f t="shared" si="10"/>
        <v>0</v>
      </c>
      <c r="I49" s="11">
        <f>I48*I47*1000</f>
        <v>146000</v>
      </c>
      <c r="K49" s="6" t="s">
        <v>45</v>
      </c>
      <c r="L49" s="11">
        <f>L48*L47*1000</f>
        <v>629310.34482758632</v>
      </c>
      <c r="O49" s="6" t="s">
        <v>45</v>
      </c>
      <c r="P49" s="11">
        <f t="shared" ref="P49" si="11">P48*P47*1000</f>
        <v>0</v>
      </c>
    </row>
    <row r="50" spans="1:17" ht="15.75" thickBot="1">
      <c r="A50" s="6" t="s">
        <v>42</v>
      </c>
      <c r="B50" s="12">
        <f t="shared" ref="B50:I50" si="12">+B49*B46</f>
        <v>0</v>
      </c>
      <c r="C50" s="12">
        <f t="shared" si="12"/>
        <v>0</v>
      </c>
      <c r="D50" s="12">
        <f t="shared" si="12"/>
        <v>0</v>
      </c>
      <c r="E50" s="12">
        <f t="shared" si="12"/>
        <v>0</v>
      </c>
      <c r="F50" s="12">
        <f t="shared" si="12"/>
        <v>0</v>
      </c>
      <c r="G50" s="12">
        <f t="shared" si="12"/>
        <v>0</v>
      </c>
      <c r="H50" s="12">
        <f t="shared" si="12"/>
        <v>0</v>
      </c>
      <c r="I50" s="23">
        <f t="shared" si="12"/>
        <v>8977009.0457683522</v>
      </c>
      <c r="K50" s="6" t="s">
        <v>42</v>
      </c>
      <c r="L50" s="23">
        <f>+L49*L46*5.8</f>
        <v>5240983.4454324096</v>
      </c>
      <c r="O50" s="6" t="s">
        <v>42</v>
      </c>
      <c r="P50" s="23">
        <f>+P49*P46*5.8</f>
        <v>0</v>
      </c>
    </row>
    <row r="51" spans="1:17" ht="15.75" thickTop="1">
      <c r="A51" s="6" t="s">
        <v>51</v>
      </c>
      <c r="B51" s="13">
        <f t="shared" ref="B51:I51" si="13">-B50*0.2</f>
        <v>0</v>
      </c>
      <c r="C51" s="13">
        <f t="shared" si="13"/>
        <v>0</v>
      </c>
      <c r="D51" s="13">
        <f t="shared" si="13"/>
        <v>0</v>
      </c>
      <c r="E51" s="13">
        <f t="shared" si="13"/>
        <v>0</v>
      </c>
      <c r="F51" s="13">
        <f t="shared" si="13"/>
        <v>0</v>
      </c>
      <c r="G51" s="13">
        <f t="shared" si="13"/>
        <v>0</v>
      </c>
      <c r="H51" s="21">
        <f t="shared" si="13"/>
        <v>0</v>
      </c>
      <c r="I51" s="24">
        <f t="shared" si="13"/>
        <v>-1795401.8091536704</v>
      </c>
      <c r="J51" t="s">
        <v>23</v>
      </c>
      <c r="K51" s="6" t="s">
        <v>48</v>
      </c>
      <c r="L51" s="24">
        <f>-L50*0.07</f>
        <v>-366868.84118026873</v>
      </c>
      <c r="M51" t="s">
        <v>46</v>
      </c>
      <c r="O51" s="6" t="s">
        <v>48</v>
      </c>
      <c r="P51" s="24">
        <f>-P50*0.07</f>
        <v>0</v>
      </c>
      <c r="Q51" t="s">
        <v>46</v>
      </c>
    </row>
    <row r="52" spans="1:17">
      <c r="A52" s="6" t="s">
        <v>40</v>
      </c>
      <c r="B52" s="13"/>
      <c r="C52" s="13"/>
      <c r="D52" s="13"/>
      <c r="E52" s="13"/>
      <c r="F52" s="13"/>
      <c r="G52" s="13"/>
      <c r="H52" s="21"/>
      <c r="I52" s="13">
        <v>0</v>
      </c>
      <c r="K52" s="6" t="s">
        <v>40</v>
      </c>
      <c r="L52" s="13">
        <v>0</v>
      </c>
      <c r="O52" s="6" t="s">
        <v>40</v>
      </c>
      <c r="P52" s="13"/>
    </row>
    <row r="53" spans="1:17">
      <c r="A53" s="6" t="s">
        <v>13</v>
      </c>
      <c r="B53" s="13"/>
      <c r="C53" s="13"/>
      <c r="D53" s="13"/>
      <c r="E53" s="13"/>
      <c r="F53" s="13"/>
      <c r="G53" s="13"/>
      <c r="H53" s="21"/>
      <c r="I53" s="13"/>
      <c r="K53" s="6" t="s">
        <v>13</v>
      </c>
      <c r="L53" s="13"/>
      <c r="O53" s="6" t="s">
        <v>13</v>
      </c>
      <c r="P53" s="13"/>
    </row>
    <row r="54" spans="1:17">
      <c r="A54" s="6" t="s">
        <v>12</v>
      </c>
      <c r="B54" s="13"/>
      <c r="C54" s="13"/>
      <c r="D54" s="13"/>
      <c r="E54" s="13"/>
      <c r="F54" s="13"/>
      <c r="G54" s="13"/>
      <c r="H54" s="21"/>
      <c r="I54" s="13">
        <f>-I48*I47*2706</f>
        <v>-395076</v>
      </c>
      <c r="J54" t="s">
        <v>39</v>
      </c>
      <c r="K54" s="6" t="s">
        <v>12</v>
      </c>
      <c r="L54" s="13">
        <f>-L48*L47*2706</f>
        <v>-1702913.7931034486</v>
      </c>
      <c r="O54" s="6" t="s">
        <v>12</v>
      </c>
      <c r="P54" s="13">
        <f>-P48*P47*2706</f>
        <v>0</v>
      </c>
    </row>
    <row r="55" spans="1:17">
      <c r="A55" s="6" t="s">
        <v>43</v>
      </c>
      <c r="B55" s="14">
        <f t="shared" ref="B55:H55" si="14">+B50+B51</f>
        <v>0</v>
      </c>
      <c r="C55" s="14">
        <f t="shared" si="14"/>
        <v>0</v>
      </c>
      <c r="D55" s="14">
        <f t="shared" si="14"/>
        <v>0</v>
      </c>
      <c r="E55" s="14">
        <f t="shared" si="14"/>
        <v>0</v>
      </c>
      <c r="F55" s="14">
        <f t="shared" si="14"/>
        <v>0</v>
      </c>
      <c r="G55" s="14">
        <f t="shared" si="14"/>
        <v>0</v>
      </c>
      <c r="H55" s="22">
        <f t="shared" si="14"/>
        <v>0</v>
      </c>
      <c r="I55" s="14">
        <f>+I50+I51+I52+I53+I54</f>
        <v>6786531.2366146818</v>
      </c>
      <c r="K55" s="6" t="s">
        <v>43</v>
      </c>
      <c r="L55" s="14">
        <f>+L50+L51+L52+L53+L54</f>
        <v>3171200.8111486924</v>
      </c>
      <c r="O55" s="6" t="s">
        <v>43</v>
      </c>
      <c r="P55" s="14">
        <f>+P50+P51+P52+P53+P54</f>
        <v>0</v>
      </c>
    </row>
    <row r="56" spans="1:17">
      <c r="A56" s="6" t="s">
        <v>49</v>
      </c>
      <c r="B56" s="13">
        <f t="shared" ref="B56:H56" si="15">-B55*0.85</f>
        <v>0</v>
      </c>
      <c r="C56" s="13">
        <f t="shared" si="15"/>
        <v>0</v>
      </c>
      <c r="D56" s="13">
        <f t="shared" si="15"/>
        <v>0</v>
      </c>
      <c r="E56" s="13">
        <f t="shared" si="15"/>
        <v>0</v>
      </c>
      <c r="F56" s="13">
        <f t="shared" si="15"/>
        <v>0</v>
      </c>
      <c r="G56" s="13">
        <f t="shared" si="15"/>
        <v>0</v>
      </c>
      <c r="H56" s="21">
        <f t="shared" si="15"/>
        <v>0</v>
      </c>
      <c r="I56" s="13">
        <f>-I55*0.85</f>
        <v>-5768551.5511224791</v>
      </c>
      <c r="J56" t="s">
        <v>16</v>
      </c>
      <c r="K56" s="6" t="s">
        <v>50</v>
      </c>
      <c r="L56" s="13">
        <f>-L55*0.3</f>
        <v>-951360.24334460765</v>
      </c>
      <c r="O56" s="6" t="s">
        <v>50</v>
      </c>
      <c r="P56" s="13">
        <f>-P55*0.3</f>
        <v>0</v>
      </c>
    </row>
    <row r="57" spans="1:17">
      <c r="A57" s="19"/>
      <c r="B57" s="20"/>
      <c r="C57" s="20"/>
      <c r="D57" s="20"/>
      <c r="E57" s="20"/>
      <c r="F57" s="20"/>
      <c r="G57" s="20"/>
      <c r="H57" s="20"/>
      <c r="I57" s="25"/>
      <c r="K57" s="19"/>
      <c r="L57" s="25"/>
      <c r="O57" s="19"/>
      <c r="P57" s="25"/>
    </row>
    <row r="58" spans="1:17" ht="15.75" thickBot="1">
      <c r="A58" s="15" t="s">
        <v>9</v>
      </c>
      <c r="B58" s="16">
        <f t="shared" ref="B58:I58" si="16">+B55+B56</f>
        <v>0</v>
      </c>
      <c r="C58" s="16">
        <f t="shared" si="16"/>
        <v>0</v>
      </c>
      <c r="D58" s="16">
        <f t="shared" si="16"/>
        <v>0</v>
      </c>
      <c r="E58" s="16">
        <f t="shared" si="16"/>
        <v>0</v>
      </c>
      <c r="F58" s="16">
        <f t="shared" si="16"/>
        <v>0</v>
      </c>
      <c r="G58" s="16">
        <f t="shared" si="16"/>
        <v>0</v>
      </c>
      <c r="H58" s="16">
        <f t="shared" si="16"/>
        <v>0</v>
      </c>
      <c r="I58" s="12">
        <f t="shared" si="16"/>
        <v>1017979.6854922026</v>
      </c>
      <c r="K58" s="15" t="s">
        <v>9</v>
      </c>
      <c r="L58" s="12">
        <f t="shared" ref="L58" si="17">+L55+L56</f>
        <v>2219840.5678040846</v>
      </c>
      <c r="O58" s="15" t="s">
        <v>9</v>
      </c>
      <c r="P58" s="12">
        <f t="shared" ref="P58" si="18">+P55+P56</f>
        <v>0</v>
      </c>
    </row>
    <row r="59" spans="1:17" ht="15.75" thickTop="1"/>
    <row r="60" spans="1:17" ht="15.75" thickBot="1">
      <c r="A60" t="s">
        <v>15</v>
      </c>
      <c r="I60" s="27">
        <f>I58-I54</f>
        <v>1413055.6854922026</v>
      </c>
      <c r="J60" t="s">
        <v>30</v>
      </c>
      <c r="K60" t="s">
        <v>15</v>
      </c>
      <c r="L60" s="27">
        <f>L58-L54</f>
        <v>3922754.3609075332</v>
      </c>
      <c r="M60" t="s">
        <v>30</v>
      </c>
      <c r="O60" t="s">
        <v>15</v>
      </c>
      <c r="P60" s="27">
        <f>P58-P54</f>
        <v>0</v>
      </c>
      <c r="Q60" t="s">
        <v>30</v>
      </c>
    </row>
    <row r="61" spans="1:17" ht="15.75" thickTop="1"/>
    <row r="62" spans="1:17" ht="15.75" thickBot="1">
      <c r="A62" t="s">
        <v>14</v>
      </c>
      <c r="I62" s="28">
        <f>I60-I56</f>
        <v>7181607.2366146818</v>
      </c>
      <c r="J62" t="s">
        <v>30</v>
      </c>
      <c r="K62" t="s">
        <v>14</v>
      </c>
      <c r="L62" s="28">
        <f>L60-L56</f>
        <v>4874114.604252141</v>
      </c>
      <c r="M62" t="s">
        <v>30</v>
      </c>
      <c r="O62" t="s">
        <v>14</v>
      </c>
      <c r="P62" s="28">
        <f>P60-P56</f>
        <v>0</v>
      </c>
      <c r="Q62" t="s">
        <v>30</v>
      </c>
    </row>
    <row r="63" spans="1:17" ht="15.75" thickTop="1"/>
    <row r="64" spans="1:17">
      <c r="A64" s="17"/>
      <c r="B64" s="18"/>
      <c r="C64" s="18"/>
      <c r="D64" s="18"/>
      <c r="E64" s="18"/>
      <c r="F64" s="18"/>
      <c r="G64" s="18"/>
      <c r="H64" s="18"/>
      <c r="I64" s="45"/>
      <c r="J64" s="10"/>
      <c r="L64" s="45"/>
      <c r="P64" s="45"/>
    </row>
    <row r="65" spans="1:23">
      <c r="A65" t="s">
        <v>55</v>
      </c>
      <c r="B65" s="1">
        <v>2014</v>
      </c>
      <c r="C65" s="1"/>
      <c r="D65" s="1"/>
      <c r="E65" s="1"/>
      <c r="F65" s="1"/>
      <c r="G65" s="1"/>
      <c r="H65" s="1"/>
      <c r="I65" s="47">
        <f>I60+I44</f>
        <v>1413055.6854922026</v>
      </c>
      <c r="L65" s="47">
        <f>L60+L44</f>
        <v>3922754.3609075332</v>
      </c>
      <c r="P65" s="47">
        <f>P60*0.3</f>
        <v>0</v>
      </c>
    </row>
    <row r="66" spans="1:23" s="1" customFormat="1">
      <c r="A66" s="1" t="s">
        <v>56</v>
      </c>
      <c r="I66" s="47">
        <f>-I45*0.85</f>
        <v>0</v>
      </c>
      <c r="J66"/>
      <c r="K66"/>
      <c r="L66" s="47">
        <f>-L45*0.3</f>
        <v>0</v>
      </c>
      <c r="O66"/>
    </row>
    <row r="67" spans="1:23" s="1" customFormat="1">
      <c r="A67" s="17" t="s">
        <v>57</v>
      </c>
      <c r="B67" s="38"/>
      <c r="C67" s="38"/>
      <c r="D67" s="38"/>
      <c r="E67" s="38"/>
      <c r="F67" s="38"/>
      <c r="G67" s="38"/>
      <c r="H67" s="38"/>
      <c r="I67" s="51">
        <f>I65+I66</f>
        <v>1413055.6854922026</v>
      </c>
      <c r="J67" s="5"/>
      <c r="K67" s="5"/>
      <c r="L67" s="51">
        <f>L65+L66</f>
        <v>3922754.3609075332</v>
      </c>
      <c r="O67"/>
    </row>
    <row r="68" spans="1:23">
      <c r="A68" s="17" t="s">
        <v>54</v>
      </c>
      <c r="I68" s="52">
        <f>I67*0.3</f>
        <v>423916.70564766077</v>
      </c>
      <c r="L68" s="52">
        <f>L67*0.3</f>
        <v>1176826.30827226</v>
      </c>
      <c r="N68" s="5" t="s">
        <v>58</v>
      </c>
      <c r="O68" s="5"/>
      <c r="P68" s="50">
        <f>P60*0.3</f>
        <v>0</v>
      </c>
      <c r="Q68" s="5"/>
      <c r="R68" s="5"/>
      <c r="S68" s="5"/>
      <c r="T68" s="5"/>
      <c r="U68" s="5"/>
      <c r="V68" s="5"/>
      <c r="W68" s="52">
        <f>I68+L68</f>
        <v>1600743.0139199207</v>
      </c>
    </row>
    <row r="69" spans="1:23">
      <c r="A69" s="17"/>
      <c r="I69" s="10"/>
    </row>
    <row r="70" spans="1:23">
      <c r="B70" s="2"/>
      <c r="C70" s="2"/>
      <c r="D70" s="2"/>
      <c r="E70" s="2"/>
      <c r="F70" s="2"/>
      <c r="G70" s="2"/>
      <c r="H70" s="2"/>
      <c r="I70" s="2"/>
      <c r="L70" s="2"/>
      <c r="P70" s="2"/>
    </row>
    <row r="71" spans="1:23" ht="18.75">
      <c r="A71" s="3" t="s">
        <v>38</v>
      </c>
      <c r="B71" s="4">
        <v>2008</v>
      </c>
      <c r="C71" s="4">
        <v>2009</v>
      </c>
      <c r="D71" s="4">
        <v>2010</v>
      </c>
      <c r="E71" s="4">
        <v>2011</v>
      </c>
      <c r="F71" s="4">
        <v>2012</v>
      </c>
      <c r="G71" s="4">
        <v>2013</v>
      </c>
      <c r="H71" s="4">
        <v>2014</v>
      </c>
      <c r="I71" s="4">
        <v>2019</v>
      </c>
      <c r="J71" s="33">
        <f>I77*1000</f>
        <v>400</v>
      </c>
      <c r="K71" s="3" t="s">
        <v>26</v>
      </c>
      <c r="L71" s="4">
        <v>2019</v>
      </c>
      <c r="O71" s="3" t="s">
        <v>37</v>
      </c>
      <c r="P71" s="4">
        <v>2019</v>
      </c>
    </row>
    <row r="72" spans="1:23">
      <c r="A72" s="5" t="s">
        <v>0</v>
      </c>
      <c r="K72" s="5" t="s">
        <v>0</v>
      </c>
      <c r="M72" s="33"/>
      <c r="O72" s="5" t="s">
        <v>0</v>
      </c>
    </row>
    <row r="73" spans="1:23">
      <c r="A73" s="5" t="s">
        <v>52</v>
      </c>
      <c r="I73" s="49">
        <v>0</v>
      </c>
      <c r="K73" s="5"/>
      <c r="L73" s="49">
        <v>0</v>
      </c>
      <c r="M73" s="33"/>
      <c r="O73" s="5"/>
    </row>
    <row r="74" spans="1:23">
      <c r="A74" s="5" t="s">
        <v>53</v>
      </c>
      <c r="I74" s="49">
        <f>I73*0.2+I44*0.2</f>
        <v>0</v>
      </c>
      <c r="K74" s="5"/>
      <c r="L74" s="49">
        <f>L73*0.2+L44*0.2</f>
        <v>0</v>
      </c>
      <c r="M74" s="33"/>
      <c r="O74" s="5"/>
    </row>
    <row r="75" spans="1:23">
      <c r="A75" s="6" t="s">
        <v>1</v>
      </c>
      <c r="B75" s="7"/>
      <c r="C75" s="7"/>
      <c r="D75" s="7"/>
      <c r="E75" s="7"/>
      <c r="F75" s="7"/>
      <c r="G75" s="7"/>
      <c r="H75" s="7"/>
      <c r="I75" s="7">
        <v>61.486363327180499</v>
      </c>
      <c r="J75" t="s">
        <v>25</v>
      </c>
      <c r="K75" s="6" t="s">
        <v>47</v>
      </c>
      <c r="L75" s="29">
        <v>1.435885875460934</v>
      </c>
      <c r="M75" t="s">
        <v>25</v>
      </c>
      <c r="O75" s="6" t="s">
        <v>47</v>
      </c>
      <c r="P75" s="30">
        <v>2.4</v>
      </c>
      <c r="Q75" t="s">
        <v>25</v>
      </c>
      <c r="R75" s="33"/>
    </row>
    <row r="76" spans="1:23">
      <c r="A76" s="6" t="s">
        <v>2</v>
      </c>
      <c r="B76" s="8">
        <v>366</v>
      </c>
      <c r="C76" s="8">
        <v>365</v>
      </c>
      <c r="D76" s="8">
        <v>365</v>
      </c>
      <c r="E76" s="8">
        <v>365</v>
      </c>
      <c r="F76" s="8">
        <v>366</v>
      </c>
      <c r="G76" s="8">
        <v>365</v>
      </c>
      <c r="H76" s="8">
        <v>365</v>
      </c>
      <c r="I76" s="8">
        <v>365</v>
      </c>
      <c r="K76" s="6" t="s">
        <v>2</v>
      </c>
      <c r="L76" s="8">
        <v>365</v>
      </c>
      <c r="O76" s="6" t="s">
        <v>2</v>
      </c>
      <c r="P76" s="8">
        <v>365</v>
      </c>
    </row>
    <row r="77" spans="1:23">
      <c r="A77" s="6" t="s">
        <v>3</v>
      </c>
      <c r="B77" s="9"/>
      <c r="C77" s="9"/>
      <c r="D77" s="9"/>
      <c r="E77" s="9"/>
      <c r="F77" s="9"/>
      <c r="G77" s="9"/>
      <c r="H77" s="9"/>
      <c r="I77" s="37">
        <v>0.4</v>
      </c>
      <c r="J77" t="s">
        <v>31</v>
      </c>
      <c r="K77" s="6" t="s">
        <v>3</v>
      </c>
      <c r="L77" s="37">
        <f>10/5.8</f>
        <v>1.7241379310344829</v>
      </c>
      <c r="M77" t="s">
        <v>31</v>
      </c>
      <c r="O77" s="6" t="s">
        <v>3</v>
      </c>
      <c r="P77" s="36">
        <v>0</v>
      </c>
      <c r="Q77" t="s">
        <v>31</v>
      </c>
    </row>
    <row r="78" spans="1:23">
      <c r="A78" s="6" t="s">
        <v>44</v>
      </c>
      <c r="B78" s="11">
        <f t="shared" ref="B78:H78" si="19">B77*B76*1000</f>
        <v>0</v>
      </c>
      <c r="C78" s="11">
        <f t="shared" si="19"/>
        <v>0</v>
      </c>
      <c r="D78" s="11">
        <f t="shared" si="19"/>
        <v>0</v>
      </c>
      <c r="E78" s="11">
        <f t="shared" si="19"/>
        <v>0</v>
      </c>
      <c r="F78" s="11">
        <f t="shared" si="19"/>
        <v>0</v>
      </c>
      <c r="G78" s="11">
        <f t="shared" si="19"/>
        <v>0</v>
      </c>
      <c r="H78" s="11">
        <f t="shared" si="19"/>
        <v>0</v>
      </c>
      <c r="I78" s="11">
        <f>I77*I76*1000</f>
        <v>146000</v>
      </c>
      <c r="K78" s="6" t="s">
        <v>45</v>
      </c>
      <c r="L78" s="11">
        <f>L77*L76*1000</f>
        <v>629310.34482758632</v>
      </c>
      <c r="O78" s="6" t="s">
        <v>45</v>
      </c>
      <c r="P78" s="11">
        <f t="shared" ref="P78" si="20">P77*P76*1000</f>
        <v>0</v>
      </c>
    </row>
    <row r="79" spans="1:23" ht="15.75" thickBot="1">
      <c r="A79" s="6" t="s">
        <v>42</v>
      </c>
      <c r="B79" s="12">
        <f t="shared" ref="B79:I79" si="21">+B78*B75</f>
        <v>0</v>
      </c>
      <c r="C79" s="12">
        <f t="shared" si="21"/>
        <v>0</v>
      </c>
      <c r="D79" s="12">
        <f t="shared" si="21"/>
        <v>0</v>
      </c>
      <c r="E79" s="12">
        <f t="shared" si="21"/>
        <v>0</v>
      </c>
      <c r="F79" s="12">
        <f t="shared" si="21"/>
        <v>0</v>
      </c>
      <c r="G79" s="12">
        <f t="shared" si="21"/>
        <v>0</v>
      </c>
      <c r="H79" s="12">
        <f t="shared" si="21"/>
        <v>0</v>
      </c>
      <c r="I79" s="23">
        <f t="shared" si="21"/>
        <v>8977009.0457683522</v>
      </c>
      <c r="K79" s="6" t="s">
        <v>42</v>
      </c>
      <c r="L79" s="23">
        <f>+L78*L75*5.8</f>
        <v>5240983.4454324096</v>
      </c>
      <c r="O79" s="6" t="s">
        <v>42</v>
      </c>
      <c r="P79" s="23">
        <f>+P78*P75*5.8</f>
        <v>0</v>
      </c>
    </row>
    <row r="80" spans="1:23" ht="15.75" thickTop="1">
      <c r="A80" s="6" t="s">
        <v>51</v>
      </c>
      <c r="B80" s="13">
        <f t="shared" ref="B80:I80" si="22">-B79*0.2</f>
        <v>0</v>
      </c>
      <c r="C80" s="13">
        <f t="shared" si="22"/>
        <v>0</v>
      </c>
      <c r="D80" s="13">
        <f t="shared" si="22"/>
        <v>0</v>
      </c>
      <c r="E80" s="13">
        <f t="shared" si="22"/>
        <v>0</v>
      </c>
      <c r="F80" s="13">
        <f t="shared" si="22"/>
        <v>0</v>
      </c>
      <c r="G80" s="13">
        <f t="shared" si="22"/>
        <v>0</v>
      </c>
      <c r="H80" s="21">
        <f t="shared" si="22"/>
        <v>0</v>
      </c>
      <c r="I80" s="24">
        <f t="shared" si="22"/>
        <v>-1795401.8091536704</v>
      </c>
      <c r="J80" t="s">
        <v>23</v>
      </c>
      <c r="K80" s="6" t="s">
        <v>48</v>
      </c>
      <c r="L80" s="24">
        <f>-L79*0.07</f>
        <v>-366868.84118026873</v>
      </c>
      <c r="M80" t="s">
        <v>46</v>
      </c>
      <c r="O80" s="6" t="s">
        <v>48</v>
      </c>
      <c r="P80" s="24">
        <f>-P79*0.07</f>
        <v>0</v>
      </c>
      <c r="Q80" t="s">
        <v>46</v>
      </c>
    </row>
    <row r="81" spans="1:17">
      <c r="A81" s="6" t="s">
        <v>40</v>
      </c>
      <c r="B81" s="13"/>
      <c r="C81" s="13"/>
      <c r="D81" s="13"/>
      <c r="E81" s="13"/>
      <c r="F81" s="13"/>
      <c r="G81" s="13"/>
      <c r="H81" s="21"/>
      <c r="I81" s="13">
        <v>0</v>
      </c>
      <c r="K81" s="6" t="s">
        <v>40</v>
      </c>
      <c r="L81" s="13">
        <v>0</v>
      </c>
      <c r="O81" s="6" t="s">
        <v>40</v>
      </c>
      <c r="P81" s="13">
        <v>500000</v>
      </c>
    </row>
    <row r="82" spans="1:17">
      <c r="A82" s="6" t="s">
        <v>13</v>
      </c>
      <c r="B82" s="13"/>
      <c r="C82" s="13"/>
      <c r="D82" s="13"/>
      <c r="E82" s="13"/>
      <c r="F82" s="13"/>
      <c r="G82" s="13"/>
      <c r="H82" s="21"/>
      <c r="I82" s="13"/>
      <c r="K82" s="6" t="s">
        <v>13</v>
      </c>
      <c r="L82" s="13"/>
      <c r="O82" s="6" t="s">
        <v>13</v>
      </c>
      <c r="P82" s="13"/>
    </row>
    <row r="83" spans="1:17">
      <c r="A83" s="6" t="s">
        <v>12</v>
      </c>
      <c r="B83" s="13"/>
      <c r="C83" s="13"/>
      <c r="D83" s="13"/>
      <c r="E83" s="13"/>
      <c r="F83" s="13"/>
      <c r="G83" s="13"/>
      <c r="H83" s="21"/>
      <c r="I83" s="13">
        <f>-I77*I76*2706</f>
        <v>-395076</v>
      </c>
      <c r="J83" t="s">
        <v>39</v>
      </c>
      <c r="K83" s="6" t="s">
        <v>12</v>
      </c>
      <c r="L83" s="13">
        <f>-L77*L76*2706</f>
        <v>-1702913.7931034486</v>
      </c>
      <c r="O83" s="6" t="s">
        <v>12</v>
      </c>
      <c r="P83" s="13">
        <f>-P77*P76*2706</f>
        <v>0</v>
      </c>
    </row>
    <row r="84" spans="1:17">
      <c r="A84" s="6" t="s">
        <v>43</v>
      </c>
      <c r="B84" s="14">
        <f t="shared" ref="B84:H84" si="23">+B79+B80</f>
        <v>0</v>
      </c>
      <c r="C84" s="14">
        <f t="shared" si="23"/>
        <v>0</v>
      </c>
      <c r="D84" s="14">
        <f t="shared" si="23"/>
        <v>0</v>
      </c>
      <c r="E84" s="14">
        <f t="shared" si="23"/>
        <v>0</v>
      </c>
      <c r="F84" s="14">
        <f t="shared" si="23"/>
        <v>0</v>
      </c>
      <c r="G84" s="14">
        <f t="shared" si="23"/>
        <v>0</v>
      </c>
      <c r="H84" s="22">
        <f t="shared" si="23"/>
        <v>0</v>
      </c>
      <c r="I84" s="14">
        <f>+I79+I80+I81+I82+I83</f>
        <v>6786531.2366146818</v>
      </c>
      <c r="K84" s="6" t="s">
        <v>43</v>
      </c>
      <c r="L84" s="14">
        <f>+L79+L80+L81+L82+L83</f>
        <v>3171200.8111486924</v>
      </c>
      <c r="O84" s="6" t="s">
        <v>43</v>
      </c>
      <c r="P84" s="14">
        <f>+P79+P80+P81+P82+P83</f>
        <v>500000</v>
      </c>
    </row>
    <row r="85" spans="1:17">
      <c r="A85" s="6" t="s">
        <v>49</v>
      </c>
      <c r="B85" s="13">
        <f t="shared" ref="B85:I85" si="24">-B84*0.85</f>
        <v>0</v>
      </c>
      <c r="C85" s="13">
        <f t="shared" si="24"/>
        <v>0</v>
      </c>
      <c r="D85" s="13">
        <f t="shared" si="24"/>
        <v>0</v>
      </c>
      <c r="E85" s="13">
        <f t="shared" si="24"/>
        <v>0</v>
      </c>
      <c r="F85" s="13">
        <f t="shared" si="24"/>
        <v>0</v>
      </c>
      <c r="G85" s="13">
        <f t="shared" si="24"/>
        <v>0</v>
      </c>
      <c r="H85" s="21">
        <f t="shared" si="24"/>
        <v>0</v>
      </c>
      <c r="I85" s="13">
        <f t="shared" si="24"/>
        <v>-5768551.5511224791</v>
      </c>
      <c r="J85" t="s">
        <v>16</v>
      </c>
      <c r="K85" s="6" t="s">
        <v>50</v>
      </c>
      <c r="L85" s="13">
        <f>-L84*0.3</f>
        <v>-951360.24334460765</v>
      </c>
      <c r="O85" s="6" t="s">
        <v>50</v>
      </c>
      <c r="P85" s="13">
        <f>-P84*0.3</f>
        <v>-150000</v>
      </c>
    </row>
    <row r="86" spans="1:17">
      <c r="A86" s="19"/>
      <c r="B86" s="20"/>
      <c r="C86" s="20"/>
      <c r="D86" s="20"/>
      <c r="E86" s="20"/>
      <c r="F86" s="20"/>
      <c r="G86" s="20"/>
      <c r="H86" s="20"/>
      <c r="I86" s="25"/>
      <c r="K86" s="19"/>
      <c r="L86" s="25"/>
      <c r="O86" s="19"/>
      <c r="P86" s="25"/>
    </row>
    <row r="87" spans="1:17" ht="15.75" thickBot="1">
      <c r="A87" s="15" t="s">
        <v>9</v>
      </c>
      <c r="B87" s="16">
        <f t="shared" ref="B87:I87" si="25">+B84+B85</f>
        <v>0</v>
      </c>
      <c r="C87" s="16">
        <f t="shared" si="25"/>
        <v>0</v>
      </c>
      <c r="D87" s="16">
        <f t="shared" si="25"/>
        <v>0</v>
      </c>
      <c r="E87" s="16">
        <f t="shared" si="25"/>
        <v>0</v>
      </c>
      <c r="F87" s="16">
        <f t="shared" si="25"/>
        <v>0</v>
      </c>
      <c r="G87" s="16">
        <f t="shared" si="25"/>
        <v>0</v>
      </c>
      <c r="H87" s="16">
        <f t="shared" si="25"/>
        <v>0</v>
      </c>
      <c r="I87" s="12">
        <f t="shared" si="25"/>
        <v>1017979.6854922026</v>
      </c>
      <c r="K87" s="15" t="s">
        <v>9</v>
      </c>
      <c r="L87" s="12">
        <f t="shared" ref="L87" si="26">+L84+L85</f>
        <v>2219840.5678040846</v>
      </c>
      <c r="O87" s="15" t="s">
        <v>9</v>
      </c>
      <c r="P87" s="12">
        <f t="shared" ref="P87" si="27">+P84+P85</f>
        <v>350000</v>
      </c>
    </row>
    <row r="88" spans="1:17" ht="15.75" thickTop="1"/>
    <row r="89" spans="1:17" ht="15.75" thickBot="1">
      <c r="A89" t="s">
        <v>15</v>
      </c>
      <c r="I89" s="27">
        <f>I87-I83</f>
        <v>1413055.6854922026</v>
      </c>
      <c r="J89" t="s">
        <v>30</v>
      </c>
      <c r="K89" t="s">
        <v>15</v>
      </c>
      <c r="L89" s="27">
        <f>L87-L83</f>
        <v>3922754.3609075332</v>
      </c>
      <c r="M89" t="s">
        <v>30</v>
      </c>
      <c r="O89" t="s">
        <v>15</v>
      </c>
      <c r="P89" s="27">
        <f>P87-P83</f>
        <v>350000</v>
      </c>
      <c r="Q89" t="s">
        <v>30</v>
      </c>
    </row>
    <row r="90" spans="1:17" ht="15.75" thickTop="1"/>
    <row r="91" spans="1:17" ht="15.75" thickBot="1">
      <c r="A91" t="s">
        <v>14</v>
      </c>
      <c r="I91" s="28">
        <f>I89-I85</f>
        <v>7181607.2366146818</v>
      </c>
      <c r="J91" t="s">
        <v>30</v>
      </c>
      <c r="K91" t="s">
        <v>14</v>
      </c>
      <c r="L91" s="28">
        <f>L89-L85</f>
        <v>4874114.604252141</v>
      </c>
      <c r="M91" t="s">
        <v>30</v>
      </c>
      <c r="O91" t="s">
        <v>14</v>
      </c>
      <c r="P91" s="28">
        <f>P89-P85</f>
        <v>500000</v>
      </c>
      <c r="Q91" t="s">
        <v>30</v>
      </c>
    </row>
    <row r="92" spans="1:17" ht="15.75" thickTop="1"/>
    <row r="93" spans="1:17">
      <c r="A93" s="17"/>
      <c r="B93" s="18"/>
      <c r="C93" s="18"/>
      <c r="D93" s="18"/>
      <c r="E93" s="18"/>
      <c r="F93" s="18"/>
      <c r="G93" s="18"/>
      <c r="H93" s="18"/>
      <c r="I93" s="45"/>
      <c r="J93" s="10"/>
      <c r="L93" s="45"/>
      <c r="P93" s="45"/>
    </row>
    <row r="94" spans="1:17">
      <c r="A94" s="17"/>
      <c r="B94" s="18"/>
      <c r="C94" s="18"/>
      <c r="D94" s="18"/>
      <c r="E94" s="18"/>
      <c r="F94" s="18"/>
      <c r="G94" s="18"/>
      <c r="H94" s="18"/>
      <c r="I94" s="45"/>
      <c r="J94" s="10"/>
      <c r="L94" s="45"/>
      <c r="P94" s="45"/>
    </row>
    <row r="95" spans="1:17">
      <c r="A95" t="s">
        <v>55</v>
      </c>
      <c r="B95" s="1">
        <v>2014</v>
      </c>
      <c r="C95" s="1"/>
      <c r="D95" s="1"/>
      <c r="E95" s="1"/>
      <c r="F95" s="1"/>
      <c r="G95" s="1"/>
      <c r="H95" s="1"/>
      <c r="I95" s="47">
        <f>I89+I73</f>
        <v>1413055.6854922026</v>
      </c>
      <c r="L95" s="47">
        <f>L89+L73</f>
        <v>3922754.3609075332</v>
      </c>
      <c r="P95" s="47">
        <f>P89*0.3</f>
        <v>105000</v>
      </c>
    </row>
    <row r="96" spans="1:17">
      <c r="A96" s="1" t="s">
        <v>56</v>
      </c>
      <c r="B96" s="1"/>
      <c r="C96" s="1"/>
      <c r="D96" s="1"/>
      <c r="E96" s="1"/>
      <c r="F96" s="1"/>
      <c r="G96" s="1"/>
      <c r="H96" s="1"/>
      <c r="I96" s="47">
        <f>-I74*0.85</f>
        <v>0</v>
      </c>
      <c r="L96" s="47">
        <f>-L74*0.3</f>
        <v>0</v>
      </c>
    </row>
    <row r="97" spans="1:23">
      <c r="A97" s="17" t="s">
        <v>57</v>
      </c>
      <c r="B97" s="1"/>
      <c r="C97" s="1"/>
      <c r="D97" s="1"/>
      <c r="E97" s="1"/>
      <c r="F97" s="1"/>
      <c r="G97" s="1"/>
      <c r="H97" s="1"/>
      <c r="I97" s="51">
        <f>I95+I96</f>
        <v>1413055.6854922026</v>
      </c>
      <c r="L97" s="51">
        <f>L95+L96</f>
        <v>3922754.3609075332</v>
      </c>
    </row>
    <row r="98" spans="1:23">
      <c r="A98" s="17" t="s">
        <v>54</v>
      </c>
      <c r="I98" s="52">
        <f>I97*0.3</f>
        <v>423916.70564766077</v>
      </c>
      <c r="L98" s="52">
        <f>L97*0.3</f>
        <v>1176826.30827226</v>
      </c>
      <c r="N98" s="5" t="s">
        <v>58</v>
      </c>
      <c r="O98" s="5"/>
      <c r="P98" s="50">
        <f>P90*0.3</f>
        <v>0</v>
      </c>
      <c r="Q98" s="5"/>
      <c r="R98" s="5"/>
      <c r="S98" s="5"/>
      <c r="T98" s="5"/>
      <c r="U98" s="5"/>
      <c r="V98" s="5"/>
      <c r="W98" s="52">
        <f>I98+L98</f>
        <v>1600743.0139199207</v>
      </c>
    </row>
    <row r="102" spans="1:23">
      <c r="B102" s="2"/>
      <c r="C102" s="2"/>
      <c r="D102" s="2"/>
      <c r="E102" s="2"/>
      <c r="F102" s="2"/>
      <c r="G102" s="2"/>
      <c r="H102" s="2"/>
      <c r="I102" s="2"/>
      <c r="L102" s="2"/>
      <c r="P102" s="2"/>
    </row>
    <row r="103" spans="1:23" ht="18.75">
      <c r="A103" s="3" t="s">
        <v>38</v>
      </c>
      <c r="B103" s="4">
        <v>2008</v>
      </c>
      <c r="C103" s="4">
        <v>2009</v>
      </c>
      <c r="D103" s="4">
        <v>2010</v>
      </c>
      <c r="E103" s="4">
        <v>2011</v>
      </c>
      <c r="F103" s="4">
        <v>2012</v>
      </c>
      <c r="G103" s="4">
        <v>2013</v>
      </c>
      <c r="H103" s="4">
        <v>2014</v>
      </c>
      <c r="I103" s="4">
        <v>2020</v>
      </c>
      <c r="J103" s="33">
        <f>I109*1000</f>
        <v>400</v>
      </c>
      <c r="K103" s="3" t="s">
        <v>26</v>
      </c>
      <c r="L103" s="4">
        <v>2020</v>
      </c>
      <c r="O103" s="3" t="s">
        <v>37</v>
      </c>
      <c r="P103" s="4">
        <v>2020</v>
      </c>
    </row>
    <row r="104" spans="1:23">
      <c r="A104" s="5" t="s">
        <v>0</v>
      </c>
      <c r="K104" s="5" t="s">
        <v>0</v>
      </c>
      <c r="M104" s="33"/>
      <c r="O104" s="5" t="s">
        <v>0</v>
      </c>
    </row>
    <row r="105" spans="1:23">
      <c r="A105" s="5" t="s">
        <v>52</v>
      </c>
      <c r="I105" s="49">
        <v>0</v>
      </c>
      <c r="K105" s="5"/>
      <c r="L105" s="49">
        <v>0</v>
      </c>
      <c r="M105" s="33"/>
      <c r="O105" s="5"/>
    </row>
    <row r="106" spans="1:23">
      <c r="A106" s="5" t="s">
        <v>53</v>
      </c>
      <c r="I106" s="49">
        <f>I105*0.2+I73*0.2+I44*0.2</f>
        <v>0</v>
      </c>
      <c r="K106" s="5"/>
      <c r="L106" s="49">
        <f>L105*0.2+L73*0.2+L44*0.2</f>
        <v>0</v>
      </c>
      <c r="M106" s="33"/>
      <c r="O106" s="5"/>
    </row>
    <row r="107" spans="1:23">
      <c r="A107" s="6" t="s">
        <v>1</v>
      </c>
      <c r="B107" s="7"/>
      <c r="C107" s="7"/>
      <c r="D107" s="7"/>
      <c r="E107" s="7"/>
      <c r="F107" s="7"/>
      <c r="G107" s="7"/>
      <c r="H107" s="7"/>
      <c r="I107" s="7">
        <v>61.486363327180499</v>
      </c>
      <c r="J107" t="s">
        <v>25</v>
      </c>
      <c r="K107" s="6" t="s">
        <v>47</v>
      </c>
      <c r="L107" s="29">
        <v>1.435885875460934</v>
      </c>
      <c r="M107" t="s">
        <v>25</v>
      </c>
      <c r="O107" s="6" t="s">
        <v>47</v>
      </c>
      <c r="P107" s="30">
        <v>2.4</v>
      </c>
      <c r="Q107" t="s">
        <v>25</v>
      </c>
      <c r="R107" s="33"/>
    </row>
    <row r="108" spans="1:23">
      <c r="A108" s="6" t="s">
        <v>2</v>
      </c>
      <c r="B108" s="8">
        <v>366</v>
      </c>
      <c r="C108" s="8">
        <v>365</v>
      </c>
      <c r="D108" s="8">
        <v>365</v>
      </c>
      <c r="E108" s="8">
        <v>365</v>
      </c>
      <c r="F108" s="8">
        <v>366</v>
      </c>
      <c r="G108" s="8">
        <v>365</v>
      </c>
      <c r="H108" s="8">
        <v>365</v>
      </c>
      <c r="I108" s="8">
        <v>365</v>
      </c>
      <c r="K108" s="6" t="s">
        <v>2</v>
      </c>
      <c r="L108" s="8">
        <v>365</v>
      </c>
      <c r="O108" s="6" t="s">
        <v>2</v>
      </c>
      <c r="P108" s="8">
        <v>365</v>
      </c>
    </row>
    <row r="109" spans="1:23">
      <c r="A109" s="6" t="s">
        <v>3</v>
      </c>
      <c r="B109" s="9"/>
      <c r="C109" s="9"/>
      <c r="D109" s="9"/>
      <c r="E109" s="9"/>
      <c r="F109" s="9"/>
      <c r="G109" s="9"/>
      <c r="H109" s="9"/>
      <c r="I109" s="37">
        <v>0.4</v>
      </c>
      <c r="J109" t="s">
        <v>31</v>
      </c>
      <c r="K109" s="6" t="s">
        <v>3</v>
      </c>
      <c r="L109" s="37">
        <f>10/5.8</f>
        <v>1.7241379310344829</v>
      </c>
      <c r="M109" t="s">
        <v>31</v>
      </c>
      <c r="O109" s="6" t="s">
        <v>3</v>
      </c>
      <c r="P109" s="36">
        <v>0</v>
      </c>
      <c r="Q109" t="s">
        <v>31</v>
      </c>
    </row>
    <row r="110" spans="1:23">
      <c r="A110" s="6" t="s">
        <v>44</v>
      </c>
      <c r="B110" s="11">
        <f t="shared" ref="B110:H110" si="28">B109*B108*1000</f>
        <v>0</v>
      </c>
      <c r="C110" s="11">
        <f t="shared" si="28"/>
        <v>0</v>
      </c>
      <c r="D110" s="11">
        <f t="shared" si="28"/>
        <v>0</v>
      </c>
      <c r="E110" s="11">
        <f t="shared" si="28"/>
        <v>0</v>
      </c>
      <c r="F110" s="11">
        <f t="shared" si="28"/>
        <v>0</v>
      </c>
      <c r="G110" s="11">
        <f t="shared" si="28"/>
        <v>0</v>
      </c>
      <c r="H110" s="11">
        <f t="shared" si="28"/>
        <v>0</v>
      </c>
      <c r="I110" s="11">
        <f>I109*I108*1000</f>
        <v>146000</v>
      </c>
      <c r="K110" s="6" t="s">
        <v>45</v>
      </c>
      <c r="L110" s="11">
        <f>L109*L108*1000</f>
        <v>629310.34482758632</v>
      </c>
      <c r="O110" s="6" t="s">
        <v>45</v>
      </c>
      <c r="P110" s="11">
        <f t="shared" ref="P110" si="29">P109*P108*1000</f>
        <v>0</v>
      </c>
    </row>
    <row r="111" spans="1:23" ht="15.75" thickBot="1">
      <c r="A111" s="6" t="s">
        <v>42</v>
      </c>
      <c r="B111" s="12">
        <f t="shared" ref="B111:I111" si="30">+B110*B107</f>
        <v>0</v>
      </c>
      <c r="C111" s="12">
        <f t="shared" si="30"/>
        <v>0</v>
      </c>
      <c r="D111" s="12">
        <f t="shared" si="30"/>
        <v>0</v>
      </c>
      <c r="E111" s="12">
        <f t="shared" si="30"/>
        <v>0</v>
      </c>
      <c r="F111" s="12">
        <f t="shared" si="30"/>
        <v>0</v>
      </c>
      <c r="G111" s="12">
        <f t="shared" si="30"/>
        <v>0</v>
      </c>
      <c r="H111" s="12">
        <f t="shared" si="30"/>
        <v>0</v>
      </c>
      <c r="I111" s="23">
        <f t="shared" si="30"/>
        <v>8977009.0457683522</v>
      </c>
      <c r="K111" s="6" t="s">
        <v>42</v>
      </c>
      <c r="L111" s="23">
        <f>+L110*L107*5.8</f>
        <v>5240983.4454324096</v>
      </c>
      <c r="O111" s="6" t="s">
        <v>42</v>
      </c>
      <c r="P111" s="23">
        <f>+P110*P107*5.8</f>
        <v>0</v>
      </c>
    </row>
    <row r="112" spans="1:23" ht="15.75" thickTop="1">
      <c r="A112" s="6" t="s">
        <v>51</v>
      </c>
      <c r="B112" s="13">
        <f t="shared" ref="B112:I112" si="31">-B111*0.2</f>
        <v>0</v>
      </c>
      <c r="C112" s="13">
        <f t="shared" si="31"/>
        <v>0</v>
      </c>
      <c r="D112" s="13">
        <f t="shared" si="31"/>
        <v>0</v>
      </c>
      <c r="E112" s="13">
        <f t="shared" si="31"/>
        <v>0</v>
      </c>
      <c r="F112" s="13">
        <f t="shared" si="31"/>
        <v>0</v>
      </c>
      <c r="G112" s="13">
        <f t="shared" si="31"/>
        <v>0</v>
      </c>
      <c r="H112" s="21">
        <f t="shared" si="31"/>
        <v>0</v>
      </c>
      <c r="I112" s="24">
        <f t="shared" si="31"/>
        <v>-1795401.8091536704</v>
      </c>
      <c r="J112" t="s">
        <v>23</v>
      </c>
      <c r="K112" s="6" t="s">
        <v>48</v>
      </c>
      <c r="L112" s="24">
        <f>-L111*0.07</f>
        <v>-366868.84118026873</v>
      </c>
      <c r="M112" t="s">
        <v>46</v>
      </c>
      <c r="O112" s="6" t="s">
        <v>48</v>
      </c>
      <c r="P112" s="24">
        <f>-P111*0.07</f>
        <v>0</v>
      </c>
      <c r="Q112" t="s">
        <v>46</v>
      </c>
    </row>
    <row r="113" spans="1:17">
      <c r="A113" s="6" t="s">
        <v>40</v>
      </c>
      <c r="B113" s="13"/>
      <c r="C113" s="13"/>
      <c r="D113" s="13"/>
      <c r="E113" s="13"/>
      <c r="F113" s="13"/>
      <c r="G113" s="13"/>
      <c r="H113" s="21"/>
      <c r="I113" s="13">
        <v>0</v>
      </c>
      <c r="K113" s="6" t="s">
        <v>40</v>
      </c>
      <c r="L113" s="13">
        <v>0</v>
      </c>
      <c r="O113" s="6" t="s">
        <v>40</v>
      </c>
      <c r="P113" s="13"/>
    </row>
    <row r="114" spans="1:17">
      <c r="A114" s="6" t="s">
        <v>13</v>
      </c>
      <c r="B114" s="13"/>
      <c r="C114" s="13"/>
      <c r="D114" s="13"/>
      <c r="E114" s="13"/>
      <c r="F114" s="13"/>
      <c r="G114" s="13"/>
      <c r="H114" s="21"/>
      <c r="I114" s="13"/>
      <c r="K114" s="6" t="s">
        <v>13</v>
      </c>
      <c r="L114" s="13"/>
      <c r="O114" s="6" t="s">
        <v>13</v>
      </c>
      <c r="P114" s="13"/>
    </row>
    <row r="115" spans="1:17">
      <c r="A115" s="6" t="s">
        <v>12</v>
      </c>
      <c r="B115" s="13"/>
      <c r="C115" s="13"/>
      <c r="D115" s="13"/>
      <c r="E115" s="13"/>
      <c r="F115" s="13"/>
      <c r="G115" s="13"/>
      <c r="H115" s="21"/>
      <c r="I115" s="13">
        <f>-I109*I108*2706</f>
        <v>-395076</v>
      </c>
      <c r="J115" t="s">
        <v>39</v>
      </c>
      <c r="K115" s="6" t="s">
        <v>12</v>
      </c>
      <c r="L115" s="13">
        <f>-L109*L108*2706</f>
        <v>-1702913.7931034486</v>
      </c>
      <c r="O115" s="6" t="s">
        <v>12</v>
      </c>
      <c r="P115" s="13">
        <f>-P109*P108*2706</f>
        <v>0</v>
      </c>
    </row>
    <row r="116" spans="1:17">
      <c r="A116" s="6" t="s">
        <v>43</v>
      </c>
      <c r="B116" s="14">
        <f t="shared" ref="B116:H116" si="32">+B111+B112</f>
        <v>0</v>
      </c>
      <c r="C116" s="14">
        <f t="shared" si="32"/>
        <v>0</v>
      </c>
      <c r="D116" s="14">
        <f t="shared" si="32"/>
        <v>0</v>
      </c>
      <c r="E116" s="14">
        <f t="shared" si="32"/>
        <v>0</v>
      </c>
      <c r="F116" s="14">
        <f t="shared" si="32"/>
        <v>0</v>
      </c>
      <c r="G116" s="14">
        <f t="shared" si="32"/>
        <v>0</v>
      </c>
      <c r="H116" s="22">
        <f t="shared" si="32"/>
        <v>0</v>
      </c>
      <c r="I116" s="14">
        <f>+I111+I112+I113+I114+I115</f>
        <v>6786531.2366146818</v>
      </c>
      <c r="K116" s="6" t="s">
        <v>43</v>
      </c>
      <c r="L116" s="14">
        <f>+L111+L112+L113+L114+L115</f>
        <v>3171200.8111486924</v>
      </c>
      <c r="O116" s="6" t="s">
        <v>43</v>
      </c>
      <c r="P116" s="14">
        <f>+P111+P112+P113+P114+P115</f>
        <v>0</v>
      </c>
    </row>
    <row r="117" spans="1:17">
      <c r="A117" s="6" t="s">
        <v>49</v>
      </c>
      <c r="B117" s="13">
        <f t="shared" ref="B117:I117" si="33">-B116*0.85</f>
        <v>0</v>
      </c>
      <c r="C117" s="13">
        <f t="shared" si="33"/>
        <v>0</v>
      </c>
      <c r="D117" s="13">
        <f t="shared" si="33"/>
        <v>0</v>
      </c>
      <c r="E117" s="13">
        <f t="shared" si="33"/>
        <v>0</v>
      </c>
      <c r="F117" s="13">
        <f t="shared" si="33"/>
        <v>0</v>
      </c>
      <c r="G117" s="13">
        <f t="shared" si="33"/>
        <v>0</v>
      </c>
      <c r="H117" s="21">
        <f t="shared" si="33"/>
        <v>0</v>
      </c>
      <c r="I117" s="13">
        <f t="shared" si="33"/>
        <v>-5768551.5511224791</v>
      </c>
      <c r="J117" t="s">
        <v>16</v>
      </c>
      <c r="K117" s="6" t="s">
        <v>50</v>
      </c>
      <c r="L117" s="13">
        <f>-L116*0.3</f>
        <v>-951360.24334460765</v>
      </c>
      <c r="O117" s="6" t="s">
        <v>50</v>
      </c>
      <c r="P117" s="13">
        <f>-P116*0.3</f>
        <v>0</v>
      </c>
    </row>
    <row r="118" spans="1:17">
      <c r="A118" s="19"/>
      <c r="B118" s="20"/>
      <c r="C118" s="20"/>
      <c r="D118" s="20"/>
      <c r="E118" s="20"/>
      <c r="F118" s="20"/>
      <c r="G118" s="20"/>
      <c r="H118" s="20"/>
      <c r="I118" s="25"/>
      <c r="K118" s="19"/>
      <c r="L118" s="25"/>
      <c r="O118" s="19"/>
      <c r="P118" s="25"/>
    </row>
    <row r="119" spans="1:17" ht="15.75" thickBot="1">
      <c r="A119" s="15" t="s">
        <v>9</v>
      </c>
      <c r="B119" s="16">
        <f t="shared" ref="B119:I119" si="34">+B116+B117</f>
        <v>0</v>
      </c>
      <c r="C119" s="16">
        <f t="shared" si="34"/>
        <v>0</v>
      </c>
      <c r="D119" s="16">
        <f t="shared" si="34"/>
        <v>0</v>
      </c>
      <c r="E119" s="16">
        <f t="shared" si="34"/>
        <v>0</v>
      </c>
      <c r="F119" s="16">
        <f t="shared" si="34"/>
        <v>0</v>
      </c>
      <c r="G119" s="16">
        <f t="shared" si="34"/>
        <v>0</v>
      </c>
      <c r="H119" s="16">
        <f t="shared" si="34"/>
        <v>0</v>
      </c>
      <c r="I119" s="12">
        <f t="shared" si="34"/>
        <v>1017979.6854922026</v>
      </c>
      <c r="K119" s="15" t="s">
        <v>9</v>
      </c>
      <c r="L119" s="12">
        <f t="shared" ref="L119" si="35">+L116+L117</f>
        <v>2219840.5678040846</v>
      </c>
      <c r="O119" s="15" t="s">
        <v>9</v>
      </c>
      <c r="P119" s="12">
        <f t="shared" ref="P119" si="36">+P116+P117</f>
        <v>0</v>
      </c>
    </row>
    <row r="120" spans="1:17" ht="15.75" thickTop="1"/>
    <row r="121" spans="1:17" ht="15.75" thickBot="1">
      <c r="A121" t="s">
        <v>15</v>
      </c>
      <c r="I121" s="27">
        <f>I119-I115</f>
        <v>1413055.6854922026</v>
      </c>
      <c r="J121" t="s">
        <v>30</v>
      </c>
      <c r="K121" t="s">
        <v>15</v>
      </c>
      <c r="L121" s="27">
        <f>L119-L115</f>
        <v>3922754.3609075332</v>
      </c>
      <c r="M121" t="s">
        <v>30</v>
      </c>
      <c r="O121" t="s">
        <v>15</v>
      </c>
      <c r="P121" s="27">
        <f>P119-P115</f>
        <v>0</v>
      </c>
      <c r="Q121" t="s">
        <v>30</v>
      </c>
    </row>
    <row r="122" spans="1:17" ht="15.75" thickTop="1"/>
    <row r="123" spans="1:17" ht="15.75" thickBot="1">
      <c r="A123" t="s">
        <v>14</v>
      </c>
      <c r="I123" s="28">
        <f>I121-I117</f>
        <v>7181607.2366146818</v>
      </c>
      <c r="J123" t="s">
        <v>30</v>
      </c>
      <c r="K123" t="s">
        <v>14</v>
      </c>
      <c r="L123" s="28">
        <f>L121-L117</f>
        <v>4874114.604252141</v>
      </c>
      <c r="M123" t="s">
        <v>30</v>
      </c>
      <c r="O123" t="s">
        <v>14</v>
      </c>
      <c r="P123" s="28">
        <f>P121-P117</f>
        <v>0</v>
      </c>
      <c r="Q123" t="s">
        <v>30</v>
      </c>
    </row>
    <row r="124" spans="1:17" ht="15.75" thickTop="1"/>
    <row r="125" spans="1:17">
      <c r="A125" s="17"/>
      <c r="B125" s="18"/>
      <c r="C125" s="18"/>
      <c r="D125" s="18"/>
      <c r="E125" s="18"/>
      <c r="F125" s="18"/>
      <c r="G125" s="18"/>
      <c r="H125" s="18"/>
      <c r="I125" s="45"/>
      <c r="J125" s="10"/>
      <c r="L125" s="45"/>
      <c r="P125" s="45"/>
    </row>
    <row r="126" spans="1:17">
      <c r="A126" t="s">
        <v>55</v>
      </c>
      <c r="B126" s="1">
        <v>2014</v>
      </c>
      <c r="C126" s="1"/>
      <c r="D126" s="1"/>
      <c r="E126" s="1"/>
      <c r="F126" s="1"/>
      <c r="G126" s="1"/>
      <c r="H126" s="1"/>
      <c r="I126" s="47">
        <f>I121+I105</f>
        <v>1413055.6854922026</v>
      </c>
      <c r="L126" s="47">
        <f>L121+L105</f>
        <v>3922754.3609075332</v>
      </c>
      <c r="P126" s="47">
        <f>P121*0.3</f>
        <v>0</v>
      </c>
    </row>
    <row r="127" spans="1:17">
      <c r="A127" s="1" t="s">
        <v>56</v>
      </c>
      <c r="B127" s="1"/>
      <c r="C127" s="1"/>
      <c r="D127" s="1"/>
      <c r="E127" s="1"/>
      <c r="F127" s="1"/>
      <c r="G127" s="1"/>
      <c r="H127" s="1"/>
      <c r="I127" s="47">
        <f>-I106*0.85</f>
        <v>0</v>
      </c>
      <c r="L127" s="47">
        <f>-L106*0.3</f>
        <v>0</v>
      </c>
    </row>
    <row r="128" spans="1:17">
      <c r="A128" s="17" t="s">
        <v>57</v>
      </c>
      <c r="B128" s="1"/>
      <c r="C128" s="1"/>
      <c r="D128" s="1"/>
      <c r="E128" s="1"/>
      <c r="F128" s="1"/>
      <c r="G128" s="1"/>
      <c r="H128" s="1"/>
      <c r="I128" s="51">
        <f>I126+I127</f>
        <v>1413055.6854922026</v>
      </c>
      <c r="L128" s="51">
        <f>L126+L127</f>
        <v>3922754.3609075332</v>
      </c>
    </row>
    <row r="129" spans="1:23">
      <c r="A129" s="17" t="s">
        <v>54</v>
      </c>
      <c r="I129" s="52">
        <f>I128*0.3</f>
        <v>423916.70564766077</v>
      </c>
      <c r="L129" s="52">
        <f>L128*0.3</f>
        <v>1176826.30827226</v>
      </c>
      <c r="N129" s="5" t="s">
        <v>58</v>
      </c>
      <c r="O129" s="5"/>
      <c r="P129" s="50">
        <f>P121*0.3</f>
        <v>0</v>
      </c>
      <c r="Q129" s="5"/>
      <c r="R129" s="5"/>
      <c r="S129" s="5"/>
      <c r="T129" s="5"/>
      <c r="U129" s="5"/>
      <c r="V129" s="5"/>
      <c r="W129" s="52">
        <f>I129+L129</f>
        <v>1600743.0139199207</v>
      </c>
    </row>
    <row r="139" spans="1:23">
      <c r="W139" s="39" t="s">
        <v>59</v>
      </c>
    </row>
    <row r="140" spans="1:23">
      <c r="N140">
        <v>2017</v>
      </c>
      <c r="W140" s="10">
        <f>W28</f>
        <v>754211.39586568973</v>
      </c>
    </row>
    <row r="141" spans="1:23">
      <c r="N141">
        <v>2018</v>
      </c>
      <c r="W141" s="10">
        <f>W68</f>
        <v>1600743.0139199207</v>
      </c>
    </row>
    <row r="142" spans="1:23">
      <c r="N142">
        <v>2019</v>
      </c>
      <c r="W142" s="10">
        <f>W98</f>
        <v>1600743.0139199207</v>
      </c>
    </row>
    <row r="143" spans="1:23">
      <c r="N143">
        <v>2020</v>
      </c>
      <c r="W143" s="10">
        <f>W129</f>
        <v>1600743.0139199207</v>
      </c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18"/>
  <sheetViews>
    <sheetView workbookViewId="0">
      <selection activeCell="E1" sqref="E1:K23"/>
    </sheetView>
  </sheetViews>
  <sheetFormatPr defaultRowHeight="15"/>
  <sheetData>
    <row r="2" spans="6:6">
      <c r="F2" s="48"/>
    </row>
    <row r="3" spans="6:6">
      <c r="F3" s="48"/>
    </row>
    <row r="4" spans="6:6">
      <c r="F4" s="48"/>
    </row>
    <row r="10" spans="6:6">
      <c r="F10" s="48"/>
    </row>
    <row r="11" spans="6:6">
      <c r="F11" s="48"/>
    </row>
    <row r="12" spans="6:6">
      <c r="F12" s="48"/>
    </row>
    <row r="16" spans="6:6">
      <c r="F16" s="48"/>
    </row>
    <row r="17" spans="6:6">
      <c r="F17" s="48"/>
    </row>
    <row r="18" spans="6:6">
      <c r="F18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2017-09-08T13:42:42Z</dcterms:modified>
</cp:coreProperties>
</file>