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her.Wokoma\Desktop\Obigbo PU\NAG rerouting project\"/>
    </mc:Choice>
  </mc:AlternateContent>
  <bookViews>
    <workbookView xWindow="0" yWindow="0" windowWidth="21855" windowHeight="14940"/>
  </bookViews>
  <sheets>
    <sheet name="FCF" sheetId="4" r:id="rId1"/>
    <sheet name="NAG budget" sheetId="7" r:id="rId2"/>
  </sheets>
  <definedNames>
    <definedName name="A0000000">"SIPM_APPL\"</definedName>
    <definedName name="AACOSTSUM">TRUE</definedName>
    <definedName name="AS2DocOpenMode">"AS2DocumentBrowse"</definedName>
    <definedName name="BCI">{"'IM V02'!$A$1:$W$57"}</definedName>
    <definedName name="BCIR">{"'IM V02'!$A$1:$W$57"}</definedName>
    <definedName name="Close">{"'IM V02'!$A$1:$W$57"}</definedName>
    <definedName name="hei">{"'IM V02'!$A$1:$W$57"}</definedName>
    <definedName name="HTML_CodePage">1252</definedName>
    <definedName name="HTML_Control">{"'IM V02'!$A$1:$W$57"}</definedName>
    <definedName name="HTML_Description">""</definedName>
    <definedName name="HTML_Email">""</definedName>
    <definedName name="HTML_Header">"IM Elan Scorecase 2002 V02"</definedName>
    <definedName name="HTML_LastUpdate">"20/12/2001"</definedName>
    <definedName name="HTML_LineAfter">FALSE</definedName>
    <definedName name="HTML_LineBefore">FALSE</definedName>
    <definedName name="HTML_Name">"Idris Sabtu"</definedName>
    <definedName name="HTML_OBDlg2">TRUE</definedName>
    <definedName name="HTML_OBDlg4">TRUE</definedName>
    <definedName name="HTML_OS">0</definedName>
    <definedName name="HTML_PathFile">"I:\IM Elan\BP V02\Scorecard\IM Elan Scorecard 2002.htm"</definedName>
    <definedName name="HTML_Title">"IM Elan Scorecard 2002"</definedName>
    <definedName name="Inter">{"'IM V02'!$A$1:$W$57"}</definedName>
    <definedName name="riskATSSboxGraph">FALSE</definedName>
    <definedName name="riskATSSincludeSimtables">TRUE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utoStopPercChange">0.1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-1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APBEXdnldView">"456MYYI2H7RWR98M9OIQ9YS6N"</definedName>
    <definedName name="SAPBEXhrIndnt">1</definedName>
    <definedName name="SAPBEXrevision">1</definedName>
    <definedName name="SAPBEXsysID">"PB6"</definedName>
    <definedName name="SAPBEXwbID">"3X73J67VPPEHY0SMAPJQGGCQV"</definedName>
    <definedName name="TestB">"$B$5:INDEX(B:B,COUNTA(B:B))"</definedName>
  </definedNames>
  <calcPr calcId="171027"/>
</workbook>
</file>

<file path=xl/calcChain.xml><?xml version="1.0" encoding="utf-8"?>
<calcChain xmlns="http://schemas.openxmlformats.org/spreadsheetml/2006/main">
  <c r="P40" i="4" l="1"/>
  <c r="R10" i="4"/>
  <c r="Q10" i="4"/>
  <c r="P10" i="4"/>
  <c r="F18" i="7"/>
  <c r="H5" i="7"/>
  <c r="G5" i="7"/>
  <c r="I5" i="7" l="1"/>
  <c r="F12" i="7"/>
  <c r="P6" i="4" l="1"/>
  <c r="R12" i="4" l="1"/>
  <c r="R7" i="4"/>
  <c r="R8" i="4" s="1"/>
  <c r="Q12" i="4"/>
  <c r="Q7" i="4"/>
  <c r="Q8" i="4" s="1"/>
  <c r="R9" i="4" l="1"/>
  <c r="R13" i="4" s="1"/>
  <c r="Q9" i="4"/>
  <c r="Q13" i="4"/>
  <c r="R14" i="4" l="1"/>
  <c r="R16" i="4" s="1"/>
  <c r="R18" i="4" s="1"/>
  <c r="R42" i="4" s="1"/>
  <c r="R43" i="4" s="1"/>
  <c r="Q14" i="4"/>
  <c r="Q16" i="4" s="1"/>
  <c r="Q18" i="4" s="1"/>
  <c r="Q42" i="4" s="1"/>
  <c r="Q43" i="4" s="1"/>
  <c r="R23" i="4" l="1"/>
  <c r="R37" i="4" s="1"/>
  <c r="R20" i="4"/>
  <c r="Q23" i="4"/>
  <c r="Q37" i="4" s="1"/>
  <c r="Q20" i="4"/>
  <c r="J35" i="4" l="1"/>
  <c r="I35" i="4"/>
  <c r="K34" i="4"/>
  <c r="L34" i="4" s="1"/>
  <c r="K33" i="4"/>
  <c r="L33" i="4" s="1"/>
  <c r="K32" i="4"/>
  <c r="L32" i="4" s="1"/>
  <c r="J30" i="4"/>
  <c r="J28" i="4"/>
  <c r="J27" i="4"/>
  <c r="J26" i="4"/>
  <c r="P12" i="4"/>
  <c r="L12" i="4"/>
  <c r="I12" i="4"/>
  <c r="H8" i="4"/>
  <c r="H9" i="4" s="1"/>
  <c r="H13" i="4" s="1"/>
  <c r="G8" i="4"/>
  <c r="P7" i="4"/>
  <c r="P8" i="4" s="1"/>
  <c r="L7" i="4"/>
  <c r="L8" i="4" s="1"/>
  <c r="I7" i="4"/>
  <c r="I8" i="4" s="1"/>
  <c r="H7" i="4"/>
  <c r="G7" i="4"/>
  <c r="F7" i="4"/>
  <c r="F8" i="4" s="1"/>
  <c r="E7" i="4"/>
  <c r="E8" i="4" s="1"/>
  <c r="D7" i="4"/>
  <c r="D8" i="4" s="1"/>
  <c r="D9" i="4" s="1"/>
  <c r="D13" i="4" s="1"/>
  <c r="C7" i="4"/>
  <c r="C8" i="4" s="1"/>
  <c r="B7" i="4"/>
  <c r="B8" i="4" s="1"/>
  <c r="J2" i="4"/>
  <c r="B9" i="4" l="1"/>
  <c r="B13" i="4" s="1"/>
  <c r="F9" i="4"/>
  <c r="F13" i="4" s="1"/>
  <c r="L9" i="4"/>
  <c r="L13" i="4" s="1"/>
  <c r="H14" i="4"/>
  <c r="H16" i="4" s="1"/>
  <c r="L35" i="4"/>
  <c r="E9" i="4"/>
  <c r="E13" i="4" s="1"/>
  <c r="I9" i="4"/>
  <c r="I13" i="4" s="1"/>
  <c r="D14" i="4"/>
  <c r="D16" i="4"/>
  <c r="K35" i="4"/>
  <c r="C9" i="4"/>
  <c r="C13" i="4" s="1"/>
  <c r="G9" i="4"/>
  <c r="G13" i="4" s="1"/>
  <c r="P9" i="4"/>
  <c r="P13" i="4" s="1"/>
  <c r="E14" i="4" l="1"/>
  <c r="E16" i="4"/>
  <c r="L14" i="4"/>
  <c r="L16" i="4" s="1"/>
  <c r="L18" i="4" s="1"/>
  <c r="L20" i="4" s="1"/>
  <c r="F14" i="4"/>
  <c r="F16" i="4" s="1"/>
  <c r="C14" i="4"/>
  <c r="C16" i="4" s="1"/>
  <c r="I14" i="4"/>
  <c r="I16" i="4" s="1"/>
  <c r="I18" i="4" s="1"/>
  <c r="B14" i="4"/>
  <c r="B16" i="4" s="1"/>
  <c r="P14" i="4"/>
  <c r="P16" i="4" s="1"/>
  <c r="P18" i="4" s="1"/>
  <c r="P42" i="4" s="1"/>
  <c r="P43" i="4" s="1"/>
  <c r="G14" i="4"/>
  <c r="G16" i="4" s="1"/>
  <c r="P23" i="4" l="1"/>
  <c r="P20" i="4"/>
  <c r="I20" i="4"/>
  <c r="I23" i="4"/>
</calcChain>
</file>

<file path=xl/sharedStrings.xml><?xml version="1.0" encoding="utf-8"?>
<sst xmlns="http://schemas.openxmlformats.org/spreadsheetml/2006/main" count="101" uniqueCount="63">
  <si>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</si>
  <si>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</si>
  <si>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</si>
  <si>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</si>
  <si>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</si>
  <si>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</si>
  <si>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</si>
  <si>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</si>
  <si>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</si>
  <si>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</si>
  <si>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</si>
  <si>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</si>
  <si>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</si>
  <si>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</si>
  <si>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</si>
  <si>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</si>
  <si>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</si>
  <si>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</si>
  <si>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</si>
  <si>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</si>
  <si>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$4,200/boe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</si>
  <si>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</si>
  <si>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</si>
  <si>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</si>
  <si>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</si>
  <si>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</si>
  <si>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</si>
  <si>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</si>
  <si>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</si>
  <si>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CSD (SS)</t>
  </si>
  <si>
    <t xml:space="preserve">Total Production </t>
  </si>
  <si>
    <t>BOE</t>
  </si>
  <si>
    <t>KBOE</t>
  </si>
  <si>
    <t xml:space="preserve">Oil </t>
  </si>
  <si>
    <t>Export Gas</t>
  </si>
  <si>
    <t>Domgas</t>
  </si>
  <si>
    <t xml:space="preserve">1% change in availability </t>
  </si>
  <si>
    <t>Production</t>
  </si>
  <si>
    <t>1% change in availabulity new Production</t>
  </si>
  <si>
    <t>Gross Increase</t>
  </si>
  <si>
    <t>Control System upgrade cost avoidance</t>
  </si>
  <si>
    <t>Gas production increment for OBG NAG not captured in OP17</t>
  </si>
  <si>
    <t>Monthly savings</t>
  </si>
  <si>
    <t>Condensate pump Overhaul cost avoidance</t>
  </si>
  <si>
    <t>CAPEX</t>
  </si>
  <si>
    <t>2015 ACT</t>
  </si>
  <si>
    <t>2016 ACT</t>
  </si>
  <si>
    <t>OPEX</t>
  </si>
  <si>
    <t>2017 ACT</t>
  </si>
  <si>
    <t>2018 PLAN</t>
  </si>
  <si>
    <t>Per year</t>
  </si>
  <si>
    <t>monthly</t>
  </si>
  <si>
    <t>See NAG budget sheet</t>
  </si>
  <si>
    <t>OBIGBO NAG BUDGET</t>
  </si>
  <si>
    <t>NAG Rerouting Project Cost</t>
  </si>
  <si>
    <t>Assumptions:</t>
  </si>
  <si>
    <t>NAG production increase of 10MMSCF/D</t>
  </si>
  <si>
    <t xml:space="preserve">2 years (2017 + 2018) </t>
  </si>
  <si>
    <t>Net Savings for CAPEX</t>
  </si>
  <si>
    <t>Net CAPEX</t>
  </si>
  <si>
    <t>CSD - Net CAPEX</t>
  </si>
  <si>
    <t>SHELL SHARE</t>
  </si>
  <si>
    <t>Expected Incremental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</si>
</sst>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 applyAlignment="1">
      <alignment vertical="top"/>
    </xf>
    <xf numFmtId="0" fontId="0" fillId="0" borderId="0" xfId="0"/>
    <xf numFmtId="0" fontId="0" fillId="3" borderId="0" xfId="0" applyFill="1" applyAlignment="1">
      <alignment horizontal="center" wrapText="1"/>
    </xf>
    <xf numFmtId="9" fontId="6" fillId="4" borderId="0" xfId="2" applyNumberFormat="1" applyFont="1" applyFill="1"/>
    <xf numFmtId="0" fontId="4" fillId="4" borderId="0" xfId="0" applyFont="1" applyFill="1"/>
    <xf numFmtId="164" fontId="0" fillId="0" borderId="0" xfId="0" applyNumberFormat="1"/>
    <xf numFmtId="0" fontId="5" fillId="0" borderId="0" xfId="0" applyFont="1"/>
    <xf numFmtId="0" fontId="0" fillId="0" borderId="2" xfId="0" applyBorder="1"/>
    <xf numFmtId="165" fontId="0" fillId="2" borderId="3" xfId="0" applyNumberFormat="1" applyFill="1" applyBorder="1"/>
    <xf numFmtId="164" fontId="0" fillId="2" borderId="3" xfId="1" applyFont="1" applyFill="1" applyBorder="1"/>
    <xf numFmtId="166" fontId="0" fillId="2" borderId="3" xfId="0" applyNumberFormat="1" applyFill="1" applyBorder="1"/>
    <xf numFmtId="0" fontId="0" fillId="2" borderId="2" xfId="0" applyFill="1" applyBorder="1"/>
    <xf numFmtId="165" fontId="0" fillId="2" borderId="2" xfId="2" applyNumberFormat="1" applyFont="1" applyFill="1" applyBorder="1"/>
    <xf numFmtId="165" fontId="0" fillId="2" borderId="2" xfId="1" applyNumberFormat="1" applyFont="1" applyFill="1" applyBorder="1"/>
    <xf numFmtId="164" fontId="0" fillId="2" borderId="2" xfId="1" applyFont="1" applyFill="1" applyBorder="1"/>
    <xf numFmtId="165" fontId="2" fillId="5" borderId="2" xfId="2" applyNumberFormat="1" applyFont="1" applyFill="1" applyBorder="1"/>
    <xf numFmtId="165" fontId="5" fillId="5" borderId="4" xfId="0" applyNumberFormat="1" applyFont="1" applyFill="1" applyBorder="1"/>
    <xf numFmtId="165" fontId="5" fillId="5" borderId="3" xfId="0" applyNumberFormat="1" applyFont="1" applyFill="1" applyBorder="1"/>
    <xf numFmtId="167" fontId="0" fillId="5" borderId="2" xfId="0" applyNumberFormat="1" applyFill="1" applyBorder="1"/>
    <xf numFmtId="167" fontId="0" fillId="5" borderId="5" xfId="0" applyNumberFormat="1" applyFill="1" applyBorder="1"/>
    <xf numFmtId="167" fontId="0" fillId="5" borderId="3" xfId="0" applyNumberFormat="1" applyFill="1" applyBorder="1"/>
    <xf numFmtId="165" fontId="5" fillId="5" borderId="2" xfId="0" applyNumberFormat="1" applyFont="1" applyFill="1" applyBorder="1"/>
    <xf numFmtId="165" fontId="5" fillId="5" borderId="5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6" xfId="0" applyNumberFormat="1" applyFill="1" applyBorder="1"/>
    <xf numFmtId="0" fontId="5" fillId="0" borderId="7" xfId="0" applyFont="1" applyBorder="1"/>
    <xf numFmtId="165" fontId="5" fillId="5" borderId="7" xfId="0" applyNumberFormat="1" applyFont="1" applyFill="1" applyBorder="1"/>
    <xf numFmtId="165" fontId="5" fillId="0" borderId="8" xfId="0" applyNumberFormat="1" applyFont="1" applyBorder="1"/>
    <xf numFmtId="165" fontId="0" fillId="0" borderId="8" xfId="0" applyNumberFormat="1" applyBorder="1"/>
    <xf numFmtId="0" fontId="5" fillId="0" borderId="0" xfId="0" applyFont="1" applyBorder="1"/>
    <xf numFmtId="168" fontId="5" fillId="5" borderId="0" xfId="2" applyNumberFormat="1" applyFont="1" applyFill="1" applyBorder="1"/>
    <xf numFmtId="164" fontId="7" fillId="0" borderId="0" xfId="1" applyNumberFormat="1" applyFont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0" fontId="5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1" applyNumberFormat="1" applyFont="1" applyFill="1"/>
    <xf numFmtId="165" fontId="0" fillId="0" borderId="0" xfId="0" applyNumberFormat="1"/>
    <xf numFmtId="165" fontId="0" fillId="0" borderId="0" xfId="1" applyNumberFormat="1" applyFont="1" applyAlignment="1"/>
    <xf numFmtId="164" fontId="0" fillId="0" borderId="0" xfId="0" applyNumberFormat="1" applyFill="1"/>
    <xf numFmtId="164" fontId="0" fillId="0" borderId="0" xfId="1" applyNumberFormat="1" applyFont="1" applyAlignment="1"/>
    <xf numFmtId="165" fontId="0" fillId="0" borderId="0" xfId="1" applyNumberFormat="1" applyFont="1"/>
    <xf numFmtId="165" fontId="0" fillId="0" borderId="0" xfId="1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3" fontId="0" fillId="0" borderId="0" xfId="0" applyNumberFormat="1"/>
    <xf numFmtId="0" fontId="3" fillId="0" borderId="1" xfId="0" applyFont="1" applyBorder="1" applyAlignment="1">
      <alignment vertical="top"/>
    </xf>
    <xf numFmtId="0" fontId="8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0" fillId="0" borderId="0" xfId="0" applyFont="1"/>
    <xf numFmtId="0" fontId="0" fillId="0" borderId="1" xfId="0" applyBorder="1" applyAlignment="1">
      <alignment vertical="top"/>
    </xf>
    <xf numFmtId="43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4" fontId="0" fillId="0" borderId="0" xfId="0" applyNumberFormat="1" applyFill="1"/>
    <xf numFmtId="4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/>
    </xf>
    <xf numFmtId="4" fontId="0" fillId="0" borderId="0" xfId="0" applyNumberFormat="1" applyAlignment="1">
      <alignment vertical="top"/>
    </xf>
  </cellXfs>
  <cellStyles count="8">
    <cellStyle name="Comma" xfId="1" builtinId="3"/>
    <cellStyle name="Comma 10 23" xfId="3"/>
    <cellStyle name="Comma 10 6" xfId="2"/>
    <cellStyle name="Comma 2" xfId="5"/>
    <cellStyle name="Hyperlink 2" xfId="7"/>
    <cellStyle name="Normal" xfId="0" builtinId="0"/>
    <cellStyle name="Normal 2" xfId="4"/>
    <cellStyle name="Percent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I13" workbookViewId="0">
      <selection activeCell="O43" sqref="O43"/>
    </sheetView>
  </sheetViews>
  <sheetFormatPr defaultRowHeight="12.75" x14ac:dyDescent="0.2"/>
  <cols>
    <col min="1" max="1" width="48.140625" style="1" customWidth="1"/>
    <col min="2" max="8" width="15" style="1" hidden="1" customWidth="1"/>
    <col min="9" max="9" width="13.5703125" style="1" customWidth="1"/>
    <col min="10" max="10" width="36.140625" style="1" customWidth="1"/>
    <col min="11" max="11" width="60.140625" style="1" hidden="1" customWidth="1"/>
    <col min="12" max="12" width="15.28515625" style="1" hidden="1" customWidth="1"/>
    <col min="13" max="13" width="16.85546875" style="1" hidden="1" customWidth="1"/>
    <col min="14" max="14" width="0" style="1" hidden="1" customWidth="1"/>
    <col min="15" max="15" width="60.140625" style="1" customWidth="1"/>
    <col min="16" max="18" width="12.85546875" style="1" bestFit="1" customWidth="1"/>
    <col min="19" max="19" width="9.140625" style="1"/>
    <col min="20" max="20" width="14.5703125" style="1" customWidth="1"/>
    <col min="21" max="16384" width="9.140625" style="1"/>
  </cols>
  <sheetData>
    <row r="1" spans="1:20" ht="22.5" customHeight="1" x14ac:dyDescent="0.2">
      <c r="B1" s="2"/>
      <c r="C1" s="2"/>
      <c r="D1" s="2"/>
      <c r="E1" s="2"/>
      <c r="F1" s="2"/>
      <c r="G1" s="2"/>
      <c r="H1" s="2"/>
      <c r="I1" s="2"/>
      <c r="L1" s="2"/>
      <c r="P1" s="2"/>
      <c r="Q1" s="2"/>
      <c r="R1" s="2"/>
    </row>
    <row r="2" spans="1:20" ht="18.75" x14ac:dyDescent="0.3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>
        <f>I6*1000</f>
        <v>0</v>
      </c>
      <c r="K2" s="3" t="s">
        <v>1</v>
      </c>
      <c r="L2" s="4">
        <v>2017</v>
      </c>
      <c r="O2" s="3" t="s">
        <v>2</v>
      </c>
      <c r="P2" s="4">
        <v>2018</v>
      </c>
      <c r="Q2" s="4">
        <v>2019</v>
      </c>
      <c r="R2" s="4">
        <v>2020</v>
      </c>
    </row>
    <row r="3" spans="1:20" ht="15" x14ac:dyDescent="0.25">
      <c r="A3" s="6" t="s">
        <v>3</v>
      </c>
      <c r="K3" s="6" t="s">
        <v>3</v>
      </c>
      <c r="M3" s="5"/>
      <c r="O3" s="6" t="s">
        <v>3</v>
      </c>
    </row>
    <row r="4" spans="1:20" x14ac:dyDescent="0.2">
      <c r="A4" s="7" t="s">
        <v>4</v>
      </c>
      <c r="B4" s="8"/>
      <c r="C4" s="8"/>
      <c r="D4" s="8"/>
      <c r="E4" s="8"/>
      <c r="F4" s="8"/>
      <c r="G4" s="8"/>
      <c r="H4" s="8"/>
      <c r="I4" s="8">
        <v>51.37</v>
      </c>
      <c r="J4" s="1" t="s">
        <v>5</v>
      </c>
      <c r="K4" s="7" t="s">
        <v>6</v>
      </c>
      <c r="L4" s="9">
        <v>1.17</v>
      </c>
      <c r="M4" s="1" t="s">
        <v>5</v>
      </c>
      <c r="O4" s="7" t="s">
        <v>6</v>
      </c>
      <c r="P4" s="10">
        <v>2.5</v>
      </c>
      <c r="Q4" s="10">
        <v>2.5</v>
      </c>
      <c r="R4" s="10">
        <v>2.5</v>
      </c>
      <c r="S4" s="1" t="s">
        <v>5</v>
      </c>
      <c r="T4" s="5"/>
    </row>
    <row r="5" spans="1:20" x14ac:dyDescent="0.2">
      <c r="A5" s="7" t="s">
        <v>7</v>
      </c>
      <c r="B5" s="11">
        <v>366</v>
      </c>
      <c r="C5" s="11">
        <v>365</v>
      </c>
      <c r="D5" s="11">
        <v>365</v>
      </c>
      <c r="E5" s="11">
        <v>365</v>
      </c>
      <c r="F5" s="11">
        <v>366</v>
      </c>
      <c r="G5" s="11">
        <v>365</v>
      </c>
      <c r="H5" s="11">
        <v>365</v>
      </c>
      <c r="I5" s="11">
        <v>153</v>
      </c>
      <c r="K5" s="7" t="s">
        <v>7</v>
      </c>
      <c r="L5" s="11">
        <v>365</v>
      </c>
      <c r="O5" s="7" t="s">
        <v>7</v>
      </c>
      <c r="P5" s="11">
        <v>31</v>
      </c>
      <c r="Q5" s="11">
        <v>365</v>
      </c>
      <c r="R5" s="11">
        <v>365</v>
      </c>
      <c r="S5" s="50" t="s">
        <v>41</v>
      </c>
    </row>
    <row r="6" spans="1:20" x14ac:dyDescent="0.2">
      <c r="A6" s="7" t="s">
        <v>8</v>
      </c>
      <c r="B6" s="12"/>
      <c r="C6" s="12"/>
      <c r="D6" s="12"/>
      <c r="E6" s="12"/>
      <c r="F6" s="12"/>
      <c r="G6" s="12"/>
      <c r="H6" s="12"/>
      <c r="I6" s="13"/>
      <c r="J6" s="1" t="s">
        <v>9</v>
      </c>
      <c r="K6" s="7" t="s">
        <v>8</v>
      </c>
      <c r="L6" s="13">
        <v>0</v>
      </c>
      <c r="M6" s="1" t="s">
        <v>9</v>
      </c>
      <c r="O6" s="7" t="s">
        <v>8</v>
      </c>
      <c r="P6" s="14">
        <f>10/5.8</f>
        <v>1.7241379310344829</v>
      </c>
      <c r="Q6" s="14">
        <v>1.72</v>
      </c>
      <c r="R6" s="14">
        <v>1.72</v>
      </c>
      <c r="S6" s="52" t="s">
        <v>62</v>
      </c>
    </row>
    <row r="7" spans="1:20" ht="15" x14ac:dyDescent="0.25">
      <c r="A7" s="7" t="s">
        <v>10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K7" s="7" t="s">
        <v>11</v>
      </c>
      <c r="L7" s="15">
        <f>L6*L5*1000</f>
        <v>0</v>
      </c>
      <c r="O7" s="7" t="s">
        <v>11</v>
      </c>
      <c r="P7" s="15">
        <f t="shared" ref="P7:Q7" si="1">P6*P5*1000</f>
        <v>53448.275862068971</v>
      </c>
      <c r="Q7" s="15">
        <f t="shared" si="1"/>
        <v>627800</v>
      </c>
      <c r="R7" s="15">
        <f t="shared" ref="R7" si="2">R6*R5*1000</f>
        <v>627800</v>
      </c>
    </row>
    <row r="8" spans="1:20" ht="15.75" thickBot="1" x14ac:dyDescent="0.3">
      <c r="A8" s="7" t="s">
        <v>12</v>
      </c>
      <c r="B8" s="16">
        <f t="shared" ref="B8:I8" si="3">+B7*B4</f>
        <v>0</v>
      </c>
      <c r="C8" s="16">
        <f t="shared" si="3"/>
        <v>0</v>
      </c>
      <c r="D8" s="16">
        <f t="shared" si="3"/>
        <v>0</v>
      </c>
      <c r="E8" s="16">
        <f t="shared" si="3"/>
        <v>0</v>
      </c>
      <c r="F8" s="16">
        <f t="shared" si="3"/>
        <v>0</v>
      </c>
      <c r="G8" s="16">
        <f t="shared" si="3"/>
        <v>0</v>
      </c>
      <c r="H8" s="16">
        <f t="shared" si="3"/>
        <v>0</v>
      </c>
      <c r="I8" s="17">
        <f t="shared" si="3"/>
        <v>0</v>
      </c>
      <c r="K8" s="7" t="s">
        <v>12</v>
      </c>
      <c r="L8" s="17">
        <f>+L7*L4*5.8</f>
        <v>0</v>
      </c>
      <c r="O8" s="7" t="s">
        <v>12</v>
      </c>
      <c r="P8" s="17">
        <f>+P7*P4*5.8</f>
        <v>775000.00000000012</v>
      </c>
      <c r="Q8" s="17">
        <f>+Q7*Q4*5.8</f>
        <v>9103100</v>
      </c>
      <c r="R8" s="17">
        <f>+R7*R4*5.8</f>
        <v>9103100</v>
      </c>
    </row>
    <row r="9" spans="1:20" ht="13.5" thickTop="1" x14ac:dyDescent="0.2">
      <c r="A9" s="7" t="s">
        <v>13</v>
      </c>
      <c r="B9" s="18">
        <f t="shared" ref="B9:I9" si="4">-B8*0.2</f>
        <v>0</v>
      </c>
      <c r="C9" s="18">
        <f t="shared" si="4"/>
        <v>0</v>
      </c>
      <c r="D9" s="18">
        <f t="shared" si="4"/>
        <v>0</v>
      </c>
      <c r="E9" s="18">
        <f t="shared" si="4"/>
        <v>0</v>
      </c>
      <c r="F9" s="18">
        <f t="shared" si="4"/>
        <v>0</v>
      </c>
      <c r="G9" s="18">
        <f t="shared" si="4"/>
        <v>0</v>
      </c>
      <c r="H9" s="19">
        <f t="shared" si="4"/>
        <v>0</v>
      </c>
      <c r="I9" s="20">
        <f t="shared" si="4"/>
        <v>0</v>
      </c>
      <c r="J9" s="1" t="s">
        <v>14</v>
      </c>
      <c r="K9" s="7" t="s">
        <v>15</v>
      </c>
      <c r="L9" s="20">
        <f>-L8*0.07</f>
        <v>0</v>
      </c>
      <c r="M9" s="1" t="s">
        <v>16</v>
      </c>
      <c r="O9" s="7" t="s">
        <v>15</v>
      </c>
      <c r="P9" s="20">
        <f>-P8*0.07</f>
        <v>-54250.000000000015</v>
      </c>
      <c r="Q9" s="20">
        <f>-Q8*0.07</f>
        <v>-637217.00000000012</v>
      </c>
      <c r="R9" s="20">
        <f>-R8*0.07</f>
        <v>-637217.00000000012</v>
      </c>
      <c r="S9" s="1" t="s">
        <v>16</v>
      </c>
    </row>
    <row r="10" spans="1:20" x14ac:dyDescent="0.2">
      <c r="A10" s="7" t="s">
        <v>17</v>
      </c>
      <c r="B10" s="18"/>
      <c r="C10" s="18"/>
      <c r="D10" s="18"/>
      <c r="E10" s="18"/>
      <c r="F10" s="18"/>
      <c r="G10" s="18"/>
      <c r="H10" s="19"/>
      <c r="I10" s="18">
        <v>0</v>
      </c>
      <c r="K10" s="7" t="s">
        <v>17</v>
      </c>
      <c r="L10" s="18"/>
      <c r="O10" s="7" t="s">
        <v>17</v>
      </c>
      <c r="P10" s="18">
        <f>'NAG budget'!I5</f>
        <v>30898.731083333332</v>
      </c>
      <c r="Q10" s="18">
        <f>'NAG budget'!H5</f>
        <v>370784.77299999999</v>
      </c>
      <c r="R10" s="18">
        <f>'NAG budget'!H5</f>
        <v>370784.77299999999</v>
      </c>
      <c r="S10" s="53" t="s">
        <v>52</v>
      </c>
    </row>
    <row r="11" spans="1:20" x14ac:dyDescent="0.2">
      <c r="A11" s="7" t="s">
        <v>18</v>
      </c>
      <c r="B11" s="18"/>
      <c r="C11" s="18"/>
      <c r="D11" s="18"/>
      <c r="E11" s="18"/>
      <c r="F11" s="18"/>
      <c r="G11" s="18"/>
      <c r="H11" s="19"/>
      <c r="I11" s="18"/>
      <c r="K11" s="7" t="s">
        <v>18</v>
      </c>
      <c r="L11" s="18"/>
      <c r="O11" s="7" t="s">
        <v>18</v>
      </c>
      <c r="P11" s="18"/>
      <c r="Q11" s="18"/>
      <c r="R11" s="18"/>
    </row>
    <row r="12" spans="1:20" x14ac:dyDescent="0.2">
      <c r="A12" s="7" t="s">
        <v>19</v>
      </c>
      <c r="B12" s="18"/>
      <c r="C12" s="18"/>
      <c r="D12" s="18"/>
      <c r="E12" s="18"/>
      <c r="F12" s="18"/>
      <c r="G12" s="18"/>
      <c r="H12" s="19"/>
      <c r="I12" s="18">
        <f>-I6*I5*4200</f>
        <v>0</v>
      </c>
      <c r="J12" s="1" t="s">
        <v>20</v>
      </c>
      <c r="K12" s="7" t="s">
        <v>19</v>
      </c>
      <c r="L12" s="18">
        <f>-L6*L5*4200</f>
        <v>0</v>
      </c>
      <c r="O12" s="7" t="s">
        <v>19</v>
      </c>
      <c r="P12" s="18">
        <f>-P6*P5*4200</f>
        <v>-224482.75862068965</v>
      </c>
      <c r="Q12" s="18">
        <f>-Q6*Q5*4200</f>
        <v>-2636760</v>
      </c>
      <c r="R12" s="18">
        <f>-R6*R5*4200</f>
        <v>-2636760</v>
      </c>
    </row>
    <row r="13" spans="1:20" ht="15" x14ac:dyDescent="0.25">
      <c r="A13" s="7" t="s">
        <v>21</v>
      </c>
      <c r="B13" s="21">
        <f t="shared" ref="B13:H13" si="5">+B8+B9</f>
        <v>0</v>
      </c>
      <c r="C13" s="21">
        <f t="shared" si="5"/>
        <v>0</v>
      </c>
      <c r="D13" s="21">
        <f t="shared" si="5"/>
        <v>0</v>
      </c>
      <c r="E13" s="21">
        <f t="shared" si="5"/>
        <v>0</v>
      </c>
      <c r="F13" s="21">
        <f t="shared" si="5"/>
        <v>0</v>
      </c>
      <c r="G13" s="21">
        <f t="shared" si="5"/>
        <v>0</v>
      </c>
      <c r="H13" s="22">
        <f t="shared" si="5"/>
        <v>0</v>
      </c>
      <c r="I13" s="21">
        <f>+I8+I9+I10+I11+I12</f>
        <v>0</v>
      </c>
      <c r="K13" s="7" t="s">
        <v>21</v>
      </c>
      <c r="L13" s="21">
        <f>+L8+L9+L10+L11+L12</f>
        <v>0</v>
      </c>
      <c r="O13" s="7" t="s">
        <v>21</v>
      </c>
      <c r="P13" s="21">
        <f>+P8+P9+P10+P11+P12</f>
        <v>527165.97246264387</v>
      </c>
      <c r="Q13" s="21">
        <f>+Q8+Q9+Q10+Q11+Q12</f>
        <v>6199907.773</v>
      </c>
      <c r="R13" s="21">
        <f>+R8+R9+R10+R11+R12</f>
        <v>6199907.773</v>
      </c>
    </row>
    <row r="14" spans="1:20" x14ac:dyDescent="0.2">
      <c r="A14" s="7" t="s">
        <v>22</v>
      </c>
      <c r="B14" s="18">
        <f t="shared" ref="B14:I14" si="6">-B13*0.85</f>
        <v>0</v>
      </c>
      <c r="C14" s="18">
        <f t="shared" si="6"/>
        <v>0</v>
      </c>
      <c r="D14" s="18">
        <f t="shared" si="6"/>
        <v>0</v>
      </c>
      <c r="E14" s="18">
        <f t="shared" si="6"/>
        <v>0</v>
      </c>
      <c r="F14" s="18">
        <f t="shared" si="6"/>
        <v>0</v>
      </c>
      <c r="G14" s="18">
        <f t="shared" si="6"/>
        <v>0</v>
      </c>
      <c r="H14" s="19">
        <f t="shared" si="6"/>
        <v>0</v>
      </c>
      <c r="I14" s="18">
        <f t="shared" si="6"/>
        <v>0</v>
      </c>
      <c r="J14" s="1" t="s">
        <v>23</v>
      </c>
      <c r="K14" s="7" t="s">
        <v>24</v>
      </c>
      <c r="L14" s="18">
        <f>-L13*0.3</f>
        <v>0</v>
      </c>
      <c r="O14" s="7" t="s">
        <v>24</v>
      </c>
      <c r="P14" s="18">
        <f>-P13*0.3</f>
        <v>-158149.79173879317</v>
      </c>
      <c r="Q14" s="18">
        <f>-Q13*0.3</f>
        <v>-1859972.3318999999</v>
      </c>
      <c r="R14" s="18">
        <f>-R13*0.3</f>
        <v>-1859972.3318999999</v>
      </c>
    </row>
    <row r="15" spans="1:20" x14ac:dyDescent="0.2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  <c r="Q15" s="25"/>
      <c r="R15" s="25"/>
    </row>
    <row r="16" spans="1:20" ht="15.75" thickBot="1" x14ac:dyDescent="0.3">
      <c r="A16" s="26" t="s">
        <v>25</v>
      </c>
      <c r="B16" s="27">
        <f t="shared" ref="B16:I16" si="7">+B13+B14</f>
        <v>0</v>
      </c>
      <c r="C16" s="27">
        <f t="shared" si="7"/>
        <v>0</v>
      </c>
      <c r="D16" s="27">
        <f t="shared" si="7"/>
        <v>0</v>
      </c>
      <c r="E16" s="27">
        <f t="shared" si="7"/>
        <v>0</v>
      </c>
      <c r="F16" s="27">
        <f t="shared" si="7"/>
        <v>0</v>
      </c>
      <c r="G16" s="27">
        <f t="shared" si="7"/>
        <v>0</v>
      </c>
      <c r="H16" s="27">
        <f t="shared" si="7"/>
        <v>0</v>
      </c>
      <c r="I16" s="16">
        <f t="shared" si="7"/>
        <v>0</v>
      </c>
      <c r="K16" s="26" t="s">
        <v>25</v>
      </c>
      <c r="L16" s="16">
        <f t="shared" ref="L16" si="8">+L13+L14</f>
        <v>0</v>
      </c>
      <c r="O16" s="26" t="s">
        <v>25</v>
      </c>
      <c r="P16" s="16">
        <f t="shared" ref="P16:Q16" si="9">+P13+P14</f>
        <v>369016.18072385073</v>
      </c>
      <c r="Q16" s="16">
        <f t="shared" si="9"/>
        <v>4339935.4411000004</v>
      </c>
      <c r="R16" s="16">
        <f t="shared" ref="R16" si="10">+R13+R14</f>
        <v>4339935.4411000004</v>
      </c>
    </row>
    <row r="17" spans="1:20" ht="13.5" thickTop="1" x14ac:dyDescent="0.2"/>
    <row r="18" spans="1:20" ht="15.75" thickBot="1" x14ac:dyDescent="0.3">
      <c r="A18" s="1" t="s">
        <v>26</v>
      </c>
      <c r="I18" s="28">
        <f>I16-I12</f>
        <v>0</v>
      </c>
      <c r="J18" s="1" t="s">
        <v>27</v>
      </c>
      <c r="K18" s="1" t="s">
        <v>26</v>
      </c>
      <c r="L18" s="28">
        <f>L16-L12</f>
        <v>0</v>
      </c>
      <c r="M18" s="1" t="s">
        <v>27</v>
      </c>
      <c r="O18" s="1" t="s">
        <v>26</v>
      </c>
      <c r="P18" s="28">
        <f>P16-P12</f>
        <v>593498.93934454035</v>
      </c>
      <c r="Q18" s="28">
        <f>Q16-Q12</f>
        <v>6976695.4411000004</v>
      </c>
      <c r="R18" s="28">
        <f>R16-R12</f>
        <v>6976695.4411000004</v>
      </c>
      <c r="S18" s="1" t="s">
        <v>27</v>
      </c>
    </row>
    <row r="19" spans="1:20" ht="13.5" thickTop="1" x14ac:dyDescent="0.2"/>
    <row r="20" spans="1:20" ht="13.5" thickBot="1" x14ac:dyDescent="0.25">
      <c r="A20" s="1" t="s">
        <v>28</v>
      </c>
      <c r="I20" s="29">
        <f>I18-I14</f>
        <v>0</v>
      </c>
      <c r="J20" s="1" t="s">
        <v>27</v>
      </c>
      <c r="K20" s="1" t="s">
        <v>28</v>
      </c>
      <c r="L20" s="29">
        <f>L18-L14</f>
        <v>0</v>
      </c>
      <c r="M20" s="1" t="s">
        <v>27</v>
      </c>
      <c r="O20" s="1" t="s">
        <v>28</v>
      </c>
      <c r="P20" s="29">
        <f>P18-P14</f>
        <v>751648.73108333349</v>
      </c>
      <c r="Q20" s="29">
        <f>Q18-Q14</f>
        <v>8836667.773</v>
      </c>
      <c r="R20" s="29">
        <f>R18-R14</f>
        <v>8836667.773</v>
      </c>
      <c r="S20" s="1" t="s">
        <v>27</v>
      </c>
    </row>
    <row r="21" spans="1:20" ht="13.5" thickTop="1" x14ac:dyDescent="0.2"/>
    <row r="22" spans="1:20" ht="15" x14ac:dyDescent="0.25">
      <c r="A22" s="30"/>
      <c r="B22" s="31"/>
      <c r="C22" s="31"/>
      <c r="D22" s="31"/>
      <c r="E22" s="31"/>
      <c r="F22" s="31"/>
      <c r="G22" s="31"/>
      <c r="H22" s="31"/>
      <c r="I22" s="32"/>
      <c r="J22" s="33"/>
      <c r="L22" s="32"/>
      <c r="P22" s="32"/>
      <c r="Q22" s="32"/>
      <c r="R22" s="32"/>
    </row>
    <row r="23" spans="1:20" x14ac:dyDescent="0.2">
      <c r="A23" s="34" t="s">
        <v>29</v>
      </c>
      <c r="B23" s="34">
        <v>2014</v>
      </c>
      <c r="C23" s="34"/>
      <c r="D23" s="34"/>
      <c r="E23" s="34"/>
      <c r="F23" s="34"/>
      <c r="G23" s="34"/>
      <c r="H23" s="34"/>
      <c r="I23" s="35">
        <f>I18*0.3</f>
        <v>0</v>
      </c>
      <c r="P23" s="35">
        <f>P18*0.3</f>
        <v>178049.68180336209</v>
      </c>
      <c r="Q23" s="35">
        <f>Q18*0.3</f>
        <v>2093008.6323299999</v>
      </c>
      <c r="R23" s="35">
        <f>R18*0.3</f>
        <v>2093008.6323299999</v>
      </c>
      <c r="T23" s="33"/>
    </row>
    <row r="24" spans="1:20" s="34" customFormat="1" x14ac:dyDescent="0.2">
      <c r="B24" s="34">
        <v>2015</v>
      </c>
      <c r="J24" s="1"/>
      <c r="K24" s="1"/>
      <c r="O24" s="1"/>
    </row>
    <row r="25" spans="1:20" s="34" customFormat="1" ht="15" hidden="1" x14ac:dyDescent="0.25">
      <c r="A25" s="36" t="s">
        <v>30</v>
      </c>
      <c r="B25" s="34">
        <v>2016</v>
      </c>
      <c r="I25" s="34" t="s">
        <v>31</v>
      </c>
      <c r="J25" s="1" t="s">
        <v>32</v>
      </c>
      <c r="K25" s="37"/>
      <c r="O25" s="1"/>
      <c r="P25" s="38"/>
    </row>
    <row r="26" spans="1:20" s="34" customFormat="1" hidden="1" x14ac:dyDescent="0.2">
      <c r="A26" s="34" t="s">
        <v>33</v>
      </c>
      <c r="I26" s="39">
        <v>187677.00564760386</v>
      </c>
      <c r="J26" s="40">
        <f>I26</f>
        <v>187677.00564760386</v>
      </c>
      <c r="K26" s="41"/>
      <c r="L26" s="42"/>
      <c r="O26" s="1"/>
    </row>
    <row r="27" spans="1:20" s="34" customFormat="1" hidden="1" x14ac:dyDescent="0.2">
      <c r="A27" s="34" t="s">
        <v>34</v>
      </c>
      <c r="I27" s="38">
        <v>1664888.574633426</v>
      </c>
      <c r="J27" s="5">
        <f>I27/5.8</f>
        <v>287049.75424714241</v>
      </c>
      <c r="K27" s="43"/>
      <c r="O27" s="1"/>
    </row>
    <row r="28" spans="1:20" s="34" customFormat="1" hidden="1" x14ac:dyDescent="0.2">
      <c r="A28" s="34" t="s">
        <v>35</v>
      </c>
      <c r="I28" s="39">
        <v>126636.8363896712</v>
      </c>
      <c r="J28" s="5">
        <f>I28/5.8</f>
        <v>21833.937308564</v>
      </c>
      <c r="K28" s="43"/>
      <c r="O28" s="1"/>
    </row>
    <row r="29" spans="1:20" s="34" customFormat="1" hidden="1" x14ac:dyDescent="0.2">
      <c r="I29" s="38"/>
      <c r="J29" s="1"/>
      <c r="K29" s="1"/>
      <c r="O29" s="1"/>
    </row>
    <row r="30" spans="1:20" s="34" customFormat="1" hidden="1" x14ac:dyDescent="0.2">
      <c r="J30" s="44">
        <f>SUM(J26:J28)</f>
        <v>496560.69720331026</v>
      </c>
      <c r="K30" s="1"/>
      <c r="O30" s="1"/>
    </row>
    <row r="31" spans="1:20" s="34" customFormat="1" hidden="1" x14ac:dyDescent="0.2">
      <c r="A31" s="34" t="s">
        <v>36</v>
      </c>
      <c r="I31" s="34" t="s">
        <v>37</v>
      </c>
      <c r="J31" s="1" t="s">
        <v>38</v>
      </c>
      <c r="K31" s="1" t="s">
        <v>39</v>
      </c>
      <c r="O31" s="1"/>
    </row>
    <row r="32" spans="1:20" s="34" customFormat="1" hidden="1" x14ac:dyDescent="0.2">
      <c r="A32" s="34" t="s">
        <v>33</v>
      </c>
      <c r="I32" s="39">
        <v>187677.00564760386</v>
      </c>
      <c r="J32" s="45">
        <v>191700</v>
      </c>
      <c r="K32" s="40">
        <f>J32-I32</f>
        <v>4022.994352396141</v>
      </c>
      <c r="L32" s="39">
        <f>0.3*K32</f>
        <v>1206.8983057188423</v>
      </c>
      <c r="M32" s="46"/>
      <c r="O32" s="1"/>
    </row>
    <row r="33" spans="1:19" s="34" customFormat="1" hidden="1" x14ac:dyDescent="0.2">
      <c r="A33" s="34" t="s">
        <v>34</v>
      </c>
      <c r="I33" s="39">
        <v>287050</v>
      </c>
      <c r="J33" s="44">
        <v>289462.71000000002</v>
      </c>
      <c r="K33" s="40">
        <f>J33-I33</f>
        <v>2412.710000000021</v>
      </c>
      <c r="L33" s="39">
        <f t="shared" ref="L33:L34" si="11">0.3*K33</f>
        <v>723.81300000000624</v>
      </c>
      <c r="M33" s="46"/>
      <c r="O33" s="1"/>
    </row>
    <row r="34" spans="1:19" s="34" customFormat="1" hidden="1" x14ac:dyDescent="0.2">
      <c r="A34" s="34" t="s">
        <v>35</v>
      </c>
      <c r="I34" s="47">
        <v>21834</v>
      </c>
      <c r="J34" s="47">
        <v>22095.040000000001</v>
      </c>
      <c r="K34" s="40">
        <f>J34-I34</f>
        <v>261.04000000000087</v>
      </c>
      <c r="L34" s="39">
        <f t="shared" si="11"/>
        <v>78.312000000000253</v>
      </c>
      <c r="M34" s="46"/>
      <c r="O34" s="1"/>
    </row>
    <row r="35" spans="1:19" s="34" customFormat="1" hidden="1" x14ac:dyDescent="0.2">
      <c r="I35" s="38">
        <f>SUM(I32:I34)</f>
        <v>496561.00564760389</v>
      </c>
      <c r="J35" s="38">
        <f>SUM(J32:J34)</f>
        <v>503257.75</v>
      </c>
      <c r="K35" s="38">
        <f>SUM(K32:K34)</f>
        <v>6696.7443523961629</v>
      </c>
      <c r="L35" s="38">
        <f>SUM(L32:L34)</f>
        <v>2009.0233057188489</v>
      </c>
      <c r="M35" s="46"/>
      <c r="O35" s="1"/>
    </row>
    <row r="36" spans="1:19" s="34" customFormat="1" hidden="1" x14ac:dyDescent="0.2">
      <c r="J36" s="1"/>
      <c r="K36" s="1"/>
      <c r="O36" s="1"/>
    </row>
    <row r="37" spans="1:19" s="34" customFormat="1" x14ac:dyDescent="0.2">
      <c r="I37" s="35"/>
      <c r="J37" s="1"/>
      <c r="K37" s="1"/>
      <c r="O37" s="1"/>
      <c r="Q37" s="35">
        <f>Q23/12</f>
        <v>174417.3860275</v>
      </c>
      <c r="R37" s="35">
        <f>R23/12</f>
        <v>174417.3860275</v>
      </c>
      <c r="S37" s="34" t="s">
        <v>42</v>
      </c>
    </row>
    <row r="38" spans="1:19" s="34" customFormat="1" x14ac:dyDescent="0.2">
      <c r="J38" s="1"/>
      <c r="K38" s="1"/>
      <c r="O38" s="1"/>
    </row>
    <row r="39" spans="1:19" s="34" customFormat="1" x14ac:dyDescent="0.2">
      <c r="J39" s="1"/>
      <c r="K39" s="1"/>
      <c r="O39" s="1"/>
    </row>
    <row r="40" spans="1:19" s="34" customFormat="1" x14ac:dyDescent="0.2">
      <c r="J40" s="1"/>
      <c r="K40" s="1"/>
      <c r="O40" s="52" t="s">
        <v>59</v>
      </c>
      <c r="P40" s="57">
        <f>'NAG budget'!F18</f>
        <v>41591</v>
      </c>
    </row>
    <row r="41" spans="1:19" s="34" customFormat="1" x14ac:dyDescent="0.2">
      <c r="J41" s="48"/>
      <c r="K41" s="1"/>
      <c r="O41" s="1"/>
      <c r="P41" s="57"/>
    </row>
    <row r="42" spans="1:19" s="34" customFormat="1" x14ac:dyDescent="0.2">
      <c r="J42" s="1"/>
      <c r="K42" s="1"/>
      <c r="O42" s="1" t="s">
        <v>60</v>
      </c>
      <c r="P42" s="58">
        <f>P18-P40</f>
        <v>551907.93934454035</v>
      </c>
      <c r="Q42" s="58">
        <f>Q18-Q40</f>
        <v>6976695.4411000004</v>
      </c>
      <c r="R42" s="58">
        <f>R18-R40</f>
        <v>6976695.4411000004</v>
      </c>
    </row>
    <row r="43" spans="1:19" s="34" customFormat="1" x14ac:dyDescent="0.2">
      <c r="J43" s="1"/>
      <c r="K43" s="1"/>
      <c r="O43" s="59" t="s">
        <v>61</v>
      </c>
      <c r="P43" s="58">
        <f>0.3*P42</f>
        <v>165572.38180336211</v>
      </c>
      <c r="Q43" s="58">
        <f>0.3*Q42</f>
        <v>2093008.6323299999</v>
      </c>
      <c r="R43" s="58">
        <f>0.3*R42</f>
        <v>2093008.6323299999</v>
      </c>
    </row>
    <row r="44" spans="1:19" s="34" customFormat="1" x14ac:dyDescent="0.2">
      <c r="J44" s="1"/>
      <c r="K44" s="1"/>
      <c r="O44" s="1"/>
      <c r="P44" s="57"/>
    </row>
    <row r="45" spans="1:19" s="34" customFormat="1" x14ac:dyDescent="0.2">
      <c r="J45" s="1"/>
      <c r="K45" s="1"/>
      <c r="O45" s="1"/>
    </row>
    <row r="46" spans="1:19" s="34" customFormat="1" x14ac:dyDescent="0.2">
      <c r="J46" s="1"/>
      <c r="K46" s="1"/>
      <c r="O46" s="1"/>
    </row>
    <row r="47" spans="1:19" s="34" customFormat="1" x14ac:dyDescent="0.2">
      <c r="J47" s="1"/>
      <c r="K47" s="1"/>
      <c r="O47" s="1"/>
    </row>
    <row r="48" spans="1:19" s="34" customFormat="1" x14ac:dyDescent="0.2">
      <c r="J48" s="1"/>
      <c r="K48" s="1"/>
      <c r="O48" s="1"/>
    </row>
    <row r="49" spans="1:15" s="34" customFormat="1" x14ac:dyDescent="0.2">
      <c r="J49" s="1"/>
      <c r="K49" s="1"/>
      <c r="O49" s="1"/>
    </row>
    <row r="50" spans="1:15" x14ac:dyDescent="0.2">
      <c r="A50" s="34"/>
      <c r="B50" s="34"/>
      <c r="C50" s="34"/>
      <c r="D50" s="34"/>
      <c r="E50" s="34"/>
      <c r="F50" s="34"/>
      <c r="G50" s="34"/>
      <c r="H50" s="34"/>
      <c r="I50" s="34"/>
    </row>
    <row r="51" spans="1:15" s="34" customFormat="1" x14ac:dyDescent="0.2">
      <c r="J51" s="1"/>
      <c r="K51" s="1"/>
      <c r="O51" s="1"/>
    </row>
    <row r="52" spans="1:15" x14ac:dyDescent="0.2">
      <c r="A52" s="34"/>
      <c r="B52" s="34"/>
      <c r="C52" s="34"/>
      <c r="D52" s="34"/>
      <c r="E52" s="34"/>
      <c r="F52" s="34"/>
      <c r="G52" s="34"/>
      <c r="H52" s="34"/>
      <c r="I52" s="34"/>
    </row>
    <row r="53" spans="1:15" x14ac:dyDescent="0.2">
      <c r="A53" s="34"/>
      <c r="B53" s="34"/>
      <c r="C53" s="34"/>
      <c r="D53" s="34"/>
      <c r="E53" s="34"/>
      <c r="F53" s="34"/>
      <c r="G53" s="34"/>
      <c r="H53" s="34"/>
      <c r="I53" s="34"/>
    </row>
    <row r="54" spans="1:15" x14ac:dyDescent="0.2">
      <c r="A54" s="34"/>
      <c r="B54" s="34"/>
      <c r="C54" s="34"/>
      <c r="D54" s="34"/>
      <c r="E54" s="34"/>
      <c r="F54" s="34"/>
      <c r="G54" s="34"/>
      <c r="H54" s="34"/>
      <c r="I54" s="34"/>
    </row>
    <row r="55" spans="1:15" x14ac:dyDescent="0.2">
      <c r="A55" s="34"/>
      <c r="B55" s="34"/>
      <c r="C55" s="34"/>
      <c r="D55" s="34"/>
      <c r="E55" s="34"/>
      <c r="F55" s="34"/>
      <c r="G55" s="34"/>
      <c r="H55" s="34"/>
      <c r="I55" s="34"/>
    </row>
    <row r="56" spans="1:15" x14ac:dyDescent="0.2">
      <c r="A56" s="34"/>
      <c r="B56" s="34"/>
      <c r="C56" s="34"/>
      <c r="D56" s="34"/>
      <c r="E56" s="34"/>
      <c r="F56" s="34"/>
      <c r="G56" s="34"/>
      <c r="H56" s="34"/>
      <c r="I56" s="34"/>
    </row>
    <row r="57" spans="1:15" x14ac:dyDescent="0.2">
      <c r="A57" s="34"/>
      <c r="B57" s="34"/>
      <c r="C57" s="34"/>
      <c r="D57" s="34"/>
      <c r="E57" s="34"/>
      <c r="F57" s="34"/>
      <c r="G57" s="34"/>
      <c r="H57" s="34"/>
      <c r="I57" s="34"/>
    </row>
    <row r="58" spans="1:15" x14ac:dyDescent="0.2">
      <c r="A58" s="34"/>
      <c r="B58" s="34"/>
      <c r="C58" s="34"/>
      <c r="D58" s="34"/>
      <c r="E58" s="34"/>
      <c r="F58" s="34"/>
      <c r="G58" s="34"/>
      <c r="H58" s="34"/>
      <c r="I58" s="34"/>
    </row>
    <row r="59" spans="1:15" x14ac:dyDescent="0.2">
      <c r="A59" s="34"/>
      <c r="B59" s="34"/>
      <c r="C59" s="34"/>
      <c r="D59" s="34"/>
      <c r="E59" s="34"/>
      <c r="F59" s="34"/>
      <c r="G59" s="34"/>
      <c r="H59" s="34"/>
      <c r="I59" s="34"/>
    </row>
    <row r="60" spans="1:15" x14ac:dyDescent="0.2">
      <c r="A60" s="34"/>
      <c r="B60" s="34"/>
      <c r="C60" s="34"/>
      <c r="D60" s="34"/>
      <c r="E60" s="34"/>
      <c r="F60" s="34"/>
      <c r="G60" s="34"/>
      <c r="H60" s="34"/>
      <c r="I60" s="34"/>
    </row>
    <row r="61" spans="1:15" x14ac:dyDescent="0.2">
      <c r="A61" s="34"/>
      <c r="B61" s="34"/>
      <c r="C61" s="34"/>
      <c r="D61" s="34"/>
      <c r="E61" s="34"/>
      <c r="F61" s="34"/>
      <c r="G61" s="34"/>
      <c r="H61" s="34"/>
      <c r="I61" s="34"/>
    </row>
    <row r="62" spans="1:15" x14ac:dyDescent="0.2">
      <c r="A62" s="34"/>
      <c r="B62" s="34"/>
      <c r="C62" s="34"/>
      <c r="D62" s="34"/>
      <c r="E62" s="34"/>
      <c r="F62" s="34"/>
      <c r="G62" s="34"/>
      <c r="H62" s="34"/>
      <c r="I62" s="34"/>
    </row>
    <row r="63" spans="1:15" x14ac:dyDescent="0.2">
      <c r="A63" s="34"/>
      <c r="B63" s="34"/>
      <c r="C63" s="34"/>
      <c r="D63" s="34"/>
      <c r="E63" s="34"/>
      <c r="F63" s="34"/>
      <c r="G63" s="34"/>
      <c r="H63" s="34"/>
      <c r="I63" s="34"/>
    </row>
    <row r="64" spans="1:15" x14ac:dyDescent="0.2">
      <c r="A64" s="34"/>
      <c r="B64" s="34"/>
      <c r="C64" s="34"/>
      <c r="D64" s="34"/>
      <c r="E64" s="34"/>
      <c r="F64" s="34"/>
      <c r="G64" s="34"/>
      <c r="H64" s="34"/>
      <c r="I64" s="34"/>
    </row>
    <row r="65" spans="1:9" x14ac:dyDescent="0.2">
      <c r="A65" s="34"/>
      <c r="B65" s="34"/>
      <c r="C65" s="34"/>
      <c r="D65" s="34"/>
      <c r="E65" s="34"/>
      <c r="F65" s="34"/>
      <c r="G65" s="34"/>
      <c r="H65" s="34"/>
      <c r="I65" s="34"/>
    </row>
    <row r="66" spans="1:9" x14ac:dyDescent="0.2">
      <c r="A66" s="34"/>
      <c r="B66" s="34"/>
      <c r="C66" s="34"/>
      <c r="D66" s="34"/>
      <c r="E66" s="34"/>
      <c r="F66" s="34"/>
      <c r="G66" s="34"/>
      <c r="H66" s="34"/>
      <c r="I66" s="34"/>
    </row>
    <row r="67" spans="1:9" x14ac:dyDescent="0.2">
      <c r="A67" s="34"/>
      <c r="B67" s="34"/>
      <c r="C67" s="34"/>
      <c r="D67" s="34"/>
      <c r="E67" s="34"/>
      <c r="F67" s="34"/>
      <c r="G67" s="34"/>
      <c r="H67" s="34"/>
      <c r="I67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1"/>
  <sheetViews>
    <sheetView workbookViewId="0">
      <selection activeCell="D29" sqref="D29"/>
    </sheetView>
  </sheetViews>
  <sheetFormatPr defaultRowHeight="12.75" x14ac:dyDescent="0.2"/>
  <cols>
    <col min="3" max="3" width="14.5703125" customWidth="1"/>
    <col min="4" max="4" width="13.42578125" customWidth="1"/>
    <col min="5" max="5" width="12.7109375" customWidth="1"/>
    <col min="6" max="6" width="11.7109375" customWidth="1"/>
    <col min="7" max="7" width="24.7109375" customWidth="1"/>
    <col min="8" max="8" width="11.28515625" bestFit="1" customWidth="1"/>
    <col min="9" max="9" width="10.28515625" bestFit="1" customWidth="1"/>
  </cols>
  <sheetData>
    <row r="2" spans="3:9" x14ac:dyDescent="0.2">
      <c r="C2" s="51" t="s">
        <v>53</v>
      </c>
    </row>
    <row r="3" spans="3:9" x14ac:dyDescent="0.2">
      <c r="C3" s="54" t="s">
        <v>47</v>
      </c>
      <c r="D3" s="54"/>
      <c r="E3" s="54"/>
      <c r="F3" s="54"/>
      <c r="G3" s="54"/>
      <c r="H3" s="54"/>
      <c r="I3" s="54"/>
    </row>
    <row r="4" spans="3:9" x14ac:dyDescent="0.2">
      <c r="C4" s="54" t="s">
        <v>45</v>
      </c>
      <c r="D4" s="54" t="s">
        <v>46</v>
      </c>
      <c r="E4" s="54" t="s">
        <v>48</v>
      </c>
      <c r="F4" s="54" t="s">
        <v>49</v>
      </c>
      <c r="G4" s="49" t="s">
        <v>57</v>
      </c>
      <c r="H4" s="49" t="s">
        <v>50</v>
      </c>
      <c r="I4" s="49" t="s">
        <v>51</v>
      </c>
    </row>
    <row r="5" spans="3:9" x14ac:dyDescent="0.2">
      <c r="C5" s="55">
        <v>1078791.5</v>
      </c>
      <c r="D5" s="55">
        <v>713454.85</v>
      </c>
      <c r="E5" s="55">
        <v>433066.62</v>
      </c>
      <c r="F5" s="55">
        <v>308502.92599999998</v>
      </c>
      <c r="G5" s="55">
        <f>E5+F5</f>
        <v>741569.54599999997</v>
      </c>
      <c r="H5" s="55">
        <f>G5/2</f>
        <v>370784.77299999999</v>
      </c>
      <c r="I5" s="55">
        <f>H5/12</f>
        <v>30898.731083333332</v>
      </c>
    </row>
    <row r="6" spans="3:9" x14ac:dyDescent="0.2">
      <c r="C6" s="54"/>
      <c r="D6" s="54"/>
      <c r="E6" s="54"/>
      <c r="F6" s="54"/>
      <c r="G6" s="54"/>
      <c r="H6" s="54"/>
      <c r="I6" s="54"/>
    </row>
    <row r="7" spans="3:9" x14ac:dyDescent="0.2">
      <c r="C7" s="54"/>
      <c r="D7" s="54"/>
      <c r="E7" s="54"/>
      <c r="F7" s="54"/>
      <c r="G7" s="54"/>
      <c r="H7" s="54"/>
      <c r="I7" s="54"/>
    </row>
    <row r="8" spans="3:9" x14ac:dyDescent="0.2">
      <c r="C8" s="54"/>
      <c r="D8" s="54"/>
      <c r="E8" s="54"/>
      <c r="F8" s="54"/>
      <c r="G8" s="54"/>
      <c r="H8" s="54"/>
      <c r="I8" s="54"/>
    </row>
    <row r="9" spans="3:9" x14ac:dyDescent="0.2">
      <c r="C9" s="54" t="s">
        <v>44</v>
      </c>
      <c r="D9" s="54"/>
      <c r="E9" s="54"/>
      <c r="F9" s="54"/>
      <c r="G9" s="54"/>
      <c r="H9" s="54"/>
      <c r="I9" s="54"/>
    </row>
    <row r="10" spans="3:9" x14ac:dyDescent="0.2">
      <c r="C10" s="49" t="s">
        <v>40</v>
      </c>
      <c r="D10" s="54"/>
      <c r="E10" s="54"/>
      <c r="F10" s="56">
        <v>639591</v>
      </c>
      <c r="G10" s="56"/>
      <c r="H10" s="54"/>
      <c r="I10" s="54"/>
    </row>
    <row r="11" spans="3:9" x14ac:dyDescent="0.2">
      <c r="C11" s="54" t="s">
        <v>43</v>
      </c>
      <c r="D11" s="54"/>
      <c r="E11" s="54"/>
      <c r="F11" s="56">
        <v>100000</v>
      </c>
      <c r="G11" s="56"/>
      <c r="H11" s="54"/>
      <c r="I11" s="54"/>
    </row>
    <row r="12" spans="3:9" x14ac:dyDescent="0.2">
      <c r="C12" s="54"/>
      <c r="D12" s="54"/>
      <c r="E12" s="54"/>
      <c r="F12" s="56">
        <f>SUM(F10:F11)</f>
        <v>739591</v>
      </c>
      <c r="G12" s="56"/>
      <c r="H12" s="54"/>
      <c r="I12" s="54"/>
    </row>
    <row r="13" spans="3:9" x14ac:dyDescent="0.2">
      <c r="C13" s="54"/>
      <c r="D13" s="54"/>
      <c r="E13" s="54"/>
      <c r="F13" s="56"/>
      <c r="G13" s="56"/>
      <c r="H13" s="54"/>
      <c r="I13" s="54"/>
    </row>
    <row r="14" spans="3:9" x14ac:dyDescent="0.2">
      <c r="C14" s="49" t="s">
        <v>54</v>
      </c>
      <c r="D14" s="54"/>
      <c r="E14" s="54"/>
      <c r="F14" s="56">
        <v>698000</v>
      </c>
      <c r="G14" s="56"/>
      <c r="H14" s="54"/>
      <c r="I14" s="54"/>
    </row>
    <row r="15" spans="3:9" x14ac:dyDescent="0.2">
      <c r="C15" s="54"/>
      <c r="D15" s="54"/>
      <c r="E15" s="54"/>
      <c r="F15" s="54"/>
      <c r="G15" s="54"/>
      <c r="H15" s="54"/>
      <c r="I15" s="54"/>
    </row>
    <row r="16" spans="3:9" x14ac:dyDescent="0.2">
      <c r="C16" s="54"/>
      <c r="D16" s="54"/>
      <c r="E16" s="54"/>
      <c r="F16" s="54"/>
      <c r="G16" s="54"/>
      <c r="H16" s="54"/>
      <c r="I16" s="54"/>
    </row>
    <row r="17" spans="3:9" x14ac:dyDescent="0.2">
      <c r="C17" s="59"/>
      <c r="D17" s="59"/>
      <c r="E17" s="59"/>
      <c r="F17" s="59"/>
      <c r="G17" s="59"/>
      <c r="H17" s="59"/>
      <c r="I17" s="59"/>
    </row>
    <row r="18" spans="3:9" x14ac:dyDescent="0.2">
      <c r="C18" t="s">
        <v>58</v>
      </c>
      <c r="F18" s="60">
        <f>F12-F14</f>
        <v>41591</v>
      </c>
    </row>
    <row r="19" spans="3:9" x14ac:dyDescent="0.2">
      <c r="F19" s="60"/>
    </row>
    <row r="20" spans="3:9" x14ac:dyDescent="0.2">
      <c r="C20" s="51" t="s">
        <v>55</v>
      </c>
    </row>
    <row r="21" spans="3:9" x14ac:dyDescent="0.2">
      <c r="C21" s="5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NAG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Wokoma, Esther M SPDC-UPO/G/PSW</cp:lastModifiedBy>
  <cp:revision>1</cp:revision>
  <dcterms:created xsi:type="dcterms:W3CDTF">2018-06-25T15:33:33Z</dcterms:created>
  <dcterms:modified xsi:type="dcterms:W3CDTF">2018-07-07T11:19:39Z</dcterms:modified>
  <cp:category/>
</cp:coreProperties>
</file>