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ssan.Salisu\Desktop\"/>
    </mc:Choice>
  </mc:AlternateContent>
  <bookViews>
    <workbookView xWindow="0" yWindow="0" windowWidth="28800" windowHeight="10710"/>
  </bookViews>
  <sheets>
    <sheet name="Project" sheetId="1" r:id="rId1"/>
    <sheet name="S-Curve" sheetId="5" r:id="rId2"/>
  </sheets>
  <calcPr calcId="171027"/>
</workbook>
</file>

<file path=xl/calcChain.xml><?xml version="1.0" encoding="utf-8"?>
<calcChain xmlns="http://schemas.openxmlformats.org/spreadsheetml/2006/main">
  <c r="H40" i="1" l="1"/>
  <c r="H27" i="1"/>
  <c r="AN18" i="1" l="1"/>
  <c r="AN19" i="1"/>
  <c r="AN20" i="1"/>
  <c r="AN21" i="1"/>
  <c r="AN22" i="1"/>
  <c r="AN23" i="1"/>
  <c r="AN24" i="1"/>
  <c r="AN25" i="1"/>
  <c r="AN26" i="1"/>
  <c r="AN27" i="1"/>
  <c r="AN28" i="1"/>
  <c r="AN30" i="1"/>
  <c r="AN31" i="1"/>
  <c r="AN32" i="1"/>
  <c r="AN34" i="1"/>
  <c r="AN35" i="1"/>
  <c r="AN36" i="1"/>
  <c r="AN37" i="1"/>
  <c r="AN40" i="1"/>
  <c r="AN41" i="1"/>
  <c r="AN42" i="1"/>
  <c r="AN43" i="1"/>
  <c r="AN44" i="1"/>
  <c r="AN45" i="1"/>
  <c r="AN46" i="1"/>
  <c r="AN47" i="1"/>
  <c r="AN48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17" i="1"/>
  <c r="AJ24" i="1" l="1"/>
  <c r="AJ25" i="1"/>
  <c r="AJ26" i="1"/>
  <c r="AJ27" i="1"/>
  <c r="AJ28" i="1"/>
  <c r="AJ30" i="1"/>
  <c r="AJ31" i="1"/>
  <c r="AJ32" i="1"/>
  <c r="AJ34" i="1"/>
  <c r="AJ35" i="1"/>
  <c r="AJ36" i="1"/>
  <c r="AJ66" i="1" l="1"/>
  <c r="AJ65" i="1"/>
  <c r="AJ64" i="1"/>
  <c r="AJ63" i="1"/>
  <c r="AJ62" i="1"/>
  <c r="AJ60" i="1"/>
  <c r="AJ59" i="1"/>
  <c r="AJ58" i="1"/>
  <c r="AJ47" i="1"/>
  <c r="AJ42" i="1"/>
  <c r="AJ40" i="1"/>
  <c r="AJ23" i="1"/>
  <c r="AJ22" i="1"/>
  <c r="AJ20" i="1"/>
  <c r="AJ19" i="1"/>
  <c r="I64" i="1" l="1"/>
  <c r="R19" i="1" l="1"/>
  <c r="G67" i="1" l="1"/>
  <c r="H53" i="1" l="1"/>
  <c r="H52" i="1"/>
  <c r="H51" i="1"/>
  <c r="H50" i="1"/>
  <c r="H49" i="1"/>
  <c r="H38" i="1"/>
  <c r="H39" i="1"/>
  <c r="H33" i="1"/>
  <c r="I40" i="1"/>
  <c r="H29" i="1"/>
  <c r="H25" i="1"/>
  <c r="R17" i="1"/>
  <c r="H58" i="1"/>
  <c r="H66" i="1"/>
  <c r="H56" i="1"/>
  <c r="H60" i="1"/>
  <c r="H57" i="1"/>
  <c r="H61" i="1"/>
  <c r="H63" i="1"/>
  <c r="AJ57" i="1" s="1"/>
  <c r="H62" i="1"/>
  <c r="H59" i="1"/>
  <c r="AJ48" i="1" s="1"/>
  <c r="H42" i="1"/>
  <c r="H46" i="1"/>
  <c r="H48" i="1"/>
  <c r="H43" i="1"/>
  <c r="H47" i="1"/>
  <c r="H44" i="1"/>
  <c r="H45" i="1"/>
  <c r="H30" i="1"/>
  <c r="AJ43" i="1" s="1"/>
  <c r="H35" i="1"/>
  <c r="AJ41" i="1" s="1"/>
  <c r="H31" i="1"/>
  <c r="H36" i="1"/>
  <c r="H32" i="1"/>
  <c r="H37" i="1"/>
  <c r="H34" i="1"/>
  <c r="H19" i="1"/>
  <c r="H23" i="1"/>
  <c r="H26" i="1"/>
  <c r="AJ44" i="1" s="1"/>
  <c r="H20" i="1"/>
  <c r="H24" i="1"/>
  <c r="H22" i="1"/>
  <c r="H21" i="1"/>
  <c r="AJ56" i="1" s="1"/>
  <c r="H18" i="1"/>
  <c r="H28" i="1"/>
  <c r="H41" i="1"/>
  <c r="AJ67" i="1" s="1"/>
  <c r="H55" i="1"/>
  <c r="AJ54" i="1" s="1"/>
  <c r="H65" i="1"/>
  <c r="AJ61" i="1" s="1"/>
  <c r="AJ55" i="1" l="1"/>
  <c r="AJ18" i="1"/>
  <c r="I27" i="1"/>
  <c r="AJ37" i="1"/>
  <c r="AJ45" i="1"/>
  <c r="AJ17" i="1"/>
  <c r="AK17" i="1" s="1"/>
  <c r="AJ21" i="1"/>
  <c r="I54" i="1"/>
  <c r="AJ46" i="1"/>
  <c r="R21" i="1"/>
  <c r="H54" i="1"/>
  <c r="H17" i="1"/>
  <c r="I17" i="1"/>
  <c r="H64" i="1"/>
  <c r="AK18" i="1" l="1"/>
  <c r="AK19" i="1" s="1"/>
  <c r="AK20" i="1" s="1"/>
  <c r="AK21" i="1" s="1"/>
  <c r="AK22" i="1" s="1"/>
  <c r="AK23" i="1" s="1"/>
  <c r="AL18" i="1"/>
  <c r="I67" i="1"/>
  <c r="R22" i="1" s="1"/>
  <c r="F13" i="1" s="1"/>
  <c r="R18" i="1"/>
  <c r="R20" i="1" s="1"/>
  <c r="AL19" i="1"/>
  <c r="AL27" i="1"/>
  <c r="AL32" i="1"/>
  <c r="AL35" i="1"/>
  <c r="AL26" i="1"/>
  <c r="AL31" i="1"/>
  <c r="AL25" i="1"/>
  <c r="AL30" i="1"/>
  <c r="AL36" i="1"/>
  <c r="AL24" i="1"/>
  <c r="AL34" i="1"/>
  <c r="AL28" i="1"/>
  <c r="AL45" i="1"/>
  <c r="AL17" i="1"/>
  <c r="AM17" i="1" s="1"/>
  <c r="AL22" i="1"/>
  <c r="AL42" i="1"/>
  <c r="AL46" i="1"/>
  <c r="AL55" i="1"/>
  <c r="AL59" i="1"/>
  <c r="AL63" i="1"/>
  <c r="AL67" i="1"/>
  <c r="AL44" i="1"/>
  <c r="AL57" i="1"/>
  <c r="AL65" i="1"/>
  <c r="AL54" i="1"/>
  <c r="AL62" i="1"/>
  <c r="AL23" i="1"/>
  <c r="AL37" i="1"/>
  <c r="AL43" i="1"/>
  <c r="AL47" i="1"/>
  <c r="AL56" i="1"/>
  <c r="AL60" i="1"/>
  <c r="AL64" i="1"/>
  <c r="AL20" i="1"/>
  <c r="AL40" i="1"/>
  <c r="AL48" i="1"/>
  <c r="AL61" i="1"/>
  <c r="AL21" i="1"/>
  <c r="AL41" i="1"/>
  <c r="AL58" i="1"/>
  <c r="AL66" i="1"/>
  <c r="H67" i="1"/>
  <c r="AM18" i="1" l="1"/>
  <c r="AM19" i="1" s="1"/>
  <c r="AM20" i="1" s="1"/>
  <c r="AM21" i="1" s="1"/>
  <c r="AM22" i="1" s="1"/>
  <c r="AM23" i="1" s="1"/>
  <c r="AM24" i="1" s="1"/>
  <c r="AM25" i="1" s="1"/>
  <c r="AM26" i="1" s="1"/>
  <c r="AM27" i="1" s="1"/>
  <c r="AM28" i="1" s="1"/>
  <c r="AM30" i="1" s="1"/>
  <c r="AM31" i="1" s="1"/>
  <c r="AM32" i="1" s="1"/>
  <c r="AM34" i="1" s="1"/>
  <c r="AM35" i="1" s="1"/>
  <c r="AM36" i="1" s="1"/>
  <c r="AK24" i="1"/>
  <c r="AK25" i="1" s="1"/>
  <c r="AK26" i="1" s="1"/>
  <c r="AK27" i="1" s="1"/>
  <c r="AK28" i="1" s="1"/>
  <c r="AK30" i="1" s="1"/>
  <c r="AK31" i="1" s="1"/>
  <c r="AK32" i="1" s="1"/>
  <c r="AK34" i="1" s="1"/>
  <c r="AK35" i="1" s="1"/>
  <c r="AK36" i="1" s="1"/>
  <c r="AK37" i="1" s="1"/>
  <c r="AK40" i="1" s="1"/>
  <c r="AK41" i="1" s="1"/>
  <c r="AK42" i="1" s="1"/>
  <c r="AK43" i="1" s="1"/>
  <c r="AK44" i="1" s="1"/>
  <c r="AK45" i="1" s="1"/>
  <c r="AK46" i="1" s="1"/>
  <c r="AK47" i="1" s="1"/>
  <c r="AK48" i="1" s="1"/>
  <c r="AK54" i="1" s="1"/>
  <c r="AK55" i="1" s="1"/>
  <c r="AK56" i="1" s="1"/>
  <c r="AK57" i="1" s="1"/>
  <c r="AK58" i="1" s="1"/>
  <c r="AK59" i="1" s="1"/>
  <c r="AK60" i="1" s="1"/>
  <c r="AK61" i="1" s="1"/>
  <c r="AK62" i="1" s="1"/>
  <c r="AK63" i="1" s="1"/>
  <c r="AK64" i="1" s="1"/>
  <c r="AK65" i="1" s="1"/>
  <c r="AK66" i="1" s="1"/>
  <c r="AK67" i="1" s="1"/>
  <c r="AM37" i="1" l="1"/>
  <c r="AM40" i="1" s="1"/>
  <c r="AM41" i="1" s="1"/>
  <c r="AM42" i="1" s="1"/>
  <c r="AM43" i="1" s="1"/>
  <c r="AM44" i="1" s="1"/>
  <c r="AM45" i="1" s="1"/>
  <c r="AM46" i="1" s="1"/>
  <c r="AM47" i="1" s="1"/>
  <c r="AM48" i="1" s="1"/>
  <c r="AM54" i="1" s="1"/>
  <c r="AM55" i="1" s="1"/>
  <c r="AM56" i="1" s="1"/>
  <c r="AM57" i="1" s="1"/>
  <c r="AM58" i="1" s="1"/>
  <c r="AM59" i="1" s="1"/>
  <c r="AM60" i="1" s="1"/>
  <c r="AM61" i="1" s="1"/>
  <c r="AM62" i="1" s="1"/>
  <c r="AM63" i="1" s="1"/>
  <c r="AM64" i="1" s="1"/>
  <c r="AM65" i="1" s="1"/>
  <c r="AM66" i="1" s="1"/>
  <c r="AM67" i="1" s="1"/>
</calcChain>
</file>

<file path=xl/sharedStrings.xml><?xml version="1.0" encoding="utf-8"?>
<sst xmlns="http://schemas.openxmlformats.org/spreadsheetml/2006/main" count="113" uniqueCount="104">
  <si>
    <t>Project Name</t>
  </si>
  <si>
    <t>Status Date</t>
  </si>
  <si>
    <t>Start Date</t>
  </si>
  <si>
    <t>Target End Date</t>
  </si>
  <si>
    <t>Budget</t>
  </si>
  <si>
    <t>Available </t>
  </si>
  <si>
    <t>HIGHLIGHT</t>
  </si>
  <si>
    <t>HSE STATISTICS</t>
  </si>
  <si>
    <t>LOOK AHEAD</t>
  </si>
  <si>
    <r>
      <t>Continue with</t>
    </r>
    <r>
      <rPr>
        <sz val="10"/>
        <color theme="1"/>
        <rFont val="Futura Medium"/>
      </rPr>
      <t>:</t>
    </r>
  </si>
  <si>
    <t>POB</t>
  </si>
  <si>
    <t>NM</t>
  </si>
  <si>
    <t>FAC</t>
  </si>
  <si>
    <t>-</t>
  </si>
  <si>
    <t>MTC/RWC</t>
  </si>
  <si>
    <t>LWC</t>
  </si>
  <si>
    <t>HIPO</t>
  </si>
  <si>
    <t>FATALITY</t>
  </si>
  <si>
    <t>NAD</t>
  </si>
  <si>
    <t>ACTIVITY PROGRESS</t>
  </si>
  <si>
    <t>ACTIVITY SUMMARY (YTD)</t>
  </si>
  <si>
    <t>% Plan</t>
  </si>
  <si>
    <t>% Complete</t>
  </si>
  <si>
    <t>Total</t>
  </si>
  <si>
    <t>Contractor</t>
  </si>
  <si>
    <t>Mobilization</t>
  </si>
  <si>
    <t>A</t>
  </si>
  <si>
    <t>B</t>
  </si>
  <si>
    <t>REROUTING OF IMO RIVER-2 &amp; 3 TO IMO RIVER 1 FLOWSTATION</t>
  </si>
  <si>
    <t xml:space="preserve">PEACOT NIG LTD </t>
  </si>
  <si>
    <t>Site HSE Induction</t>
  </si>
  <si>
    <t>Tie-In of Imo River 1 F/S</t>
  </si>
  <si>
    <t>Tie-In of Imo River 2 F/S</t>
  </si>
  <si>
    <t>Tie-In of Imo River 3 F/S</t>
  </si>
  <si>
    <t>Radigraphy of 6" Line Imo 3 to Imo 1 f/s</t>
  </si>
  <si>
    <t>Imo River 3 To Imo River 1 F/S</t>
  </si>
  <si>
    <t>Road Crossing From Imo 3 F/s to Gatering Manifold</t>
  </si>
  <si>
    <t>Imo River 2 To Imo River 1 F/S</t>
  </si>
  <si>
    <t>Road Crossing From Imo 2 F/s to Imo River 1 f/s</t>
  </si>
  <si>
    <t>Backfilling of flowline ROW</t>
  </si>
  <si>
    <t>Imo River 1 Gathering Manifold</t>
  </si>
  <si>
    <t>Tie-In of 2Nos Flowline From Imo River 3 F/S</t>
  </si>
  <si>
    <t>Tie-In of 6" Bulk line from Imo River 2 F/S</t>
  </si>
  <si>
    <t>Backfilling of flowline Road Crossing</t>
  </si>
  <si>
    <t>Radigraphy of 6" Bulk line Line Imo 2 to Imo 1 f/s</t>
  </si>
  <si>
    <t>Hydrotest of  6" Line Imo 2 to Imo 1 f/s</t>
  </si>
  <si>
    <t>Sleeving of Joints</t>
  </si>
  <si>
    <t>Lowering of flowline from Imo 2 to Imo 1 F/S</t>
  </si>
  <si>
    <t>Lowering of flowline From Imo 3 to Imo 1 F/S</t>
  </si>
  <si>
    <t>Imo River Rerouting Shutdown Activities</t>
  </si>
  <si>
    <t>Sleeving of Joints  Imo 3 to Imo 1 f/s</t>
  </si>
  <si>
    <t>Sleeving of Joints  Imo 2 to Imo 1 f/s</t>
  </si>
  <si>
    <t xml:space="preserve">Radigraphy of Inlet F/L to LP &amp; HP Header Imo1 f/s </t>
  </si>
  <si>
    <t xml:space="preserve">Hydrotest of  Inlet F/L to LP &amp; HP Header Imo1 f/s </t>
  </si>
  <si>
    <t>C</t>
  </si>
  <si>
    <t>D</t>
  </si>
  <si>
    <t>Demobilization &amp; Site Cleean Up</t>
  </si>
  <si>
    <t>SoF Sign off</t>
  </si>
  <si>
    <t>E</t>
  </si>
  <si>
    <t>Lay &amp; Weld of 6" Line Imo 3 to Imo 1 f/s</t>
  </si>
  <si>
    <t>Lay &amp; Weld of 6" Bulk Line Imo 2 to Imo 1 f/s</t>
  </si>
  <si>
    <t xml:space="preserve">Lay &amp; Weld of Inlet F/L to LP &amp; HP Header Imo1 f/s </t>
  </si>
  <si>
    <t>Yard Fabrication Tie-In Spools for Imo 2 f/s</t>
  </si>
  <si>
    <t>Yard Fabrication Tie-In Spools for Imo 3 f/s</t>
  </si>
  <si>
    <t>Yard Fabrication Tie-In Spools for Imo 1 f/s</t>
  </si>
  <si>
    <t>Yard Fabrication Gathering Manifold Header for Imo 1 f/s</t>
  </si>
  <si>
    <r>
      <t xml:space="preserve">WBS/Activity – </t>
    </r>
    <r>
      <rPr>
        <b/>
        <sz val="8"/>
        <color theme="1"/>
        <rFont val="Cambria"/>
        <family val="1"/>
      </rPr>
      <t> </t>
    </r>
    <r>
      <rPr>
        <b/>
        <sz val="8"/>
        <color theme="1"/>
        <rFont val="Futura Medium"/>
      </rPr>
      <t>O.NG.PAE.A1F.FAC.724FC</t>
    </r>
  </si>
  <si>
    <t>Excavation of Imo 3 to Imo 1 Line 6" flowline</t>
  </si>
  <si>
    <t>Excavation of Imo 2 to Imo 1 Line 6" flowline</t>
  </si>
  <si>
    <t>End Date</t>
  </si>
  <si>
    <t>Commissioning &amp; Handover</t>
  </si>
  <si>
    <t>Unit</t>
  </si>
  <si>
    <t>YTD Plan (%)</t>
  </si>
  <si>
    <t>YTD Actual (%)</t>
  </si>
  <si>
    <t>Plan (Unit)</t>
  </si>
  <si>
    <t>Completed (Unit)</t>
  </si>
  <si>
    <t>In Progress (Unit)</t>
  </si>
  <si>
    <t>Not Started (Unit)</t>
  </si>
  <si>
    <t>Percentage Work Completion:</t>
  </si>
  <si>
    <t>%Cum (Plan)</t>
  </si>
  <si>
    <t>%Cum (Actual)</t>
  </si>
  <si>
    <t>View S Curve</t>
  </si>
  <si>
    <t>UA/UC</t>
  </si>
  <si>
    <t>View Report</t>
  </si>
  <si>
    <t>Actual</t>
  </si>
  <si>
    <t>DATE</t>
  </si>
  <si>
    <t>%PLAN</t>
  </si>
  <si>
    <t>%ACTUAL</t>
  </si>
  <si>
    <t>DATE LINE</t>
  </si>
  <si>
    <t>CUM MH</t>
  </si>
  <si>
    <t>Hydrotest of  6" Line (W59T &amp; W43T) Imo 3 to Imo 1 f/s</t>
  </si>
  <si>
    <t>Tie-back of W/5L to Imo 3</t>
  </si>
  <si>
    <t>Install Tie-in pieces and other shutdown works</t>
  </si>
  <si>
    <t>Locate 4" flowline (W/5L) to Imo 1 manifold</t>
  </si>
  <si>
    <t>Tie-back 4" flowline to ex-59T ligaments</t>
  </si>
  <si>
    <t xml:space="preserve">Locate 4" flowlines (25L, 21S) </t>
  </si>
  <si>
    <t>Tie-back 4" flowlines to Imo 2</t>
  </si>
  <si>
    <t>Tie-back 4" bulk lines to Imo 1</t>
  </si>
  <si>
    <t>Gas generator fuel gas line modification</t>
  </si>
  <si>
    <t>Installation of Bulk Header Manifold at Imo 1 FS</t>
  </si>
  <si>
    <t xml:space="preserve">Road Crossing of of Inlet Flowline to LP1 &amp; LP2 Header Imo1 F/s </t>
  </si>
  <si>
    <r>
      <t xml:space="preserve">HIGHLIGHTS -                                                                                                 </t>
    </r>
    <r>
      <rPr>
        <sz val="11"/>
        <rFont val="Futura Medium"/>
      </rPr>
      <t xml:space="preserve"> 
- Yard Fabrication of Spools for gathering manifold installation on going - 100% Complete
- Radiography of Spools for the Imo 2 &amp; 3 S/D conpleted
- Personne Mobilized to site on 21/11/2017                                                                                 - Shutdown of Imo 1 f/S for Tie-In activity on 22/11                                                                      - Installation of 2 Nos 4 x 600# ball valves for Tie-In to LP1 &amp; LP2 at Imo 1 F/S Completed.                                                                                                        - Boundary Reopening for the new bulkine in progress - 35% completed.                                                                                                       - Stringing of 6" Line pipes along ROW - 13.2% completed                                                                                                                                                                                                               - Probing and test digging in progress - Dist covered 140m, Cum dist. Covered 1.1km1.1km completed                                                                                                                                    - Excavation for the two line tie-in into LP1 and LP2 at Imo 1 from the new manifold at Imo gathering point - 100% completed                                                                                                                     - Bush clearing along R.O.W - Dist. covered 223m, Cum dist.covered 1km                                                 - Excavation and Thrust boring for Lines going from Imo 3 to Imo 1 - 100% Completed                                - Excavation for new 6" Imo 2 bulkline - 38% Completed                                                                  </t>
    </r>
    <r>
      <rPr>
        <b/>
        <sz val="11"/>
        <rFont val="Futura Medium"/>
      </rPr>
      <t xml:space="preserve">                                                                                      </t>
    </r>
    <r>
      <rPr>
        <sz val="11"/>
        <rFont val="Futura Medium"/>
      </rPr>
      <t xml:space="preserve">- Site opened after Xmas break on the 11/01/18 </t>
    </r>
    <r>
      <rPr>
        <b/>
        <sz val="11"/>
        <rFont val="Futura Medium"/>
      </rPr>
      <t xml:space="preserve">                                                                      </t>
    </r>
    <r>
      <rPr>
        <sz val="11"/>
        <rFont val="Futura Medium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Futura Medium"/>
      </rPr>
      <t xml:space="preserve">                                                                                          </t>
    </r>
    <r>
      <rPr>
        <sz val="11"/>
        <rFont val="Futura Medium"/>
      </rPr>
      <t xml:space="preserve">                                     </t>
    </r>
    <r>
      <rPr>
        <b/>
        <sz val="11"/>
        <rFont val="Futura Medium"/>
      </rPr>
      <t xml:space="preserve">                                                                                                      </t>
    </r>
    <r>
      <rPr>
        <sz val="11"/>
        <rFont val="Futura Medium"/>
      </rPr>
      <t xml:space="preserve">                                                                                                                                                                                                      - Rerouting of Well 59T to Imo 3 - 100% Completed                                                                                                                                                    - Tie-In of the new 6" Bulk line welding in progress - 46% completed.                                                  - Tie-In of W43T at Imo 1 end completed. </t>
    </r>
    <r>
      <rPr>
        <b/>
        <sz val="11"/>
        <rFont val="Futura Medium"/>
      </rPr>
      <t xml:space="preserve">                                                                                           </t>
    </r>
    <r>
      <rPr>
        <sz val="11"/>
        <rFont val="Futura Medium"/>
      </rPr>
      <t xml:space="preserve">- Shutdown activities at Imo 3 on 21/02 -100% completed    </t>
    </r>
    <r>
      <rPr>
        <b/>
        <sz val="11"/>
        <rFont val="Futura Medium"/>
      </rPr>
      <t xml:space="preserve">                                                               </t>
    </r>
    <r>
      <rPr>
        <sz val="11"/>
        <rFont val="Futura Medium"/>
      </rPr>
      <t xml:space="preserve">- Weld &amp; Lay of Lines going to  LP1 &amp; LP2 hook-up - 81% Completed                                                                                                             - Secured FTO to continue laying of 6" bulkline to Imo 2 on 26/02   </t>
    </r>
    <r>
      <rPr>
        <b/>
        <sz val="11"/>
        <rFont val="Futura Medium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Futura Medium"/>
      </rPr>
      <t xml:space="preserve">- Cold cutting of disused pipes on the pipe rack at Imo1 f/s - 100% completed  </t>
    </r>
    <r>
      <rPr>
        <b/>
        <sz val="11"/>
        <rFont val="Futura Medium"/>
      </rPr>
      <t xml:space="preserve">                                                                                          </t>
    </r>
    <r>
      <rPr>
        <sz val="11"/>
        <rFont val="Futura Medium"/>
      </rPr>
      <t xml:space="preserve">- Weld &amp; Lay of Lines new 6" bulkline to Imo 2 - 49.5% Completed     </t>
    </r>
    <r>
      <rPr>
        <b/>
        <sz val="11"/>
        <rFont val="Futura Medium"/>
      </rPr>
      <t xml:space="preserve">                                                                                                                </t>
    </r>
    <r>
      <rPr>
        <sz val="11"/>
        <rFont val="Futura Medium"/>
      </rPr>
      <t xml:space="preserve">- Post Shutdown hook up activites for Imo 3 in progress. - 100% Completed                                             - Completed Fabrication of Shutdown Spools for Imo 2- 100% Completed                                               - Probing &amp; Identification of W5L - 100% Completed.             </t>
    </r>
    <r>
      <rPr>
        <b/>
        <sz val="11"/>
        <rFont val="Futura Medium"/>
      </rPr>
      <t xml:space="preserve">                                                     - Sleeving of welded joints on going - Cum 48% Completed.                                                                                                                                                                                 - Commenced flushing of W5L                                                                                                           - Radiography of welded joints - 186 joints radiographed todate. 54% completed </t>
    </r>
  </si>
  <si>
    <t xml:space="preserve">LOWLIGHTS:                                                                                                                                                                                                                                                                                                                                                                                                                                                                                                                                                                                                                                                                            
 - Large volume of Crude slowing the flushing progress of in W5L                                                      
</t>
  </si>
  <si>
    <r>
      <t xml:space="preserve">- Stringing of 6" PE coated Line pipes along Imo 1 to Imo 2 F/S
- Boundary Reopening, line cutting/bush clearing of row for the new 6" bulk line
- Welding of 6" B/L along ROW 
- Radiography of welded joints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1"/>
        <rFont val="Futura Medium"/>
      </rPr>
      <t xml:space="preserve">                                          </t>
    </r>
    <r>
      <rPr>
        <sz val="12"/>
        <color theme="1"/>
        <rFont val="Futura Medium"/>
      </rPr>
      <t>- Sleeving of welded joints                                                                                - Bolt up of completed of spools for Imo3.                                                             - Installation of Shutdown Spools for Imo 2</t>
    </r>
    <r>
      <rPr>
        <b/>
        <sz val="12"/>
        <color theme="1"/>
        <rFont val="Futura Medium"/>
      </rPr>
      <t xml:space="preserve">                                                      - Tie-in of W5L at the Gathering Manifold at Imo 1 </t>
    </r>
    <r>
      <rPr>
        <sz val="12"/>
        <color theme="1"/>
        <rFont val="Futura Medium"/>
      </rPr>
      <t xml:space="preserve">                                            </t>
    </r>
    <r>
      <rPr>
        <b/>
        <sz val="12"/>
        <color theme="1"/>
        <rFont val="Futura Medium"/>
      </rPr>
      <t xml:space="preserve">- Installation of IJ's at Imo 1 end   </t>
    </r>
    <r>
      <rPr>
        <sz val="12"/>
        <color theme="1"/>
        <rFont val="Futura Medium"/>
      </rPr>
      <t xml:space="preserve">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</si>
</sst>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;@"/>
    <numFmt numFmtId="165" formatCode="[$-409]d\-mmm\-yy;@"/>
  </numFmts>
  <fonts count="3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sz val="12"/>
      <color rgb="FF365F91"/>
      <name val="Cambria"/>
      <family val="1"/>
    </font>
    <font>
      <sz val="10"/>
      <color theme="1"/>
      <name val="Futura Medium"/>
    </font>
    <font>
      <sz val="10"/>
      <color rgb="FF000000"/>
      <name val="Futura Medium"/>
    </font>
    <font>
      <b/>
      <sz val="8"/>
      <color rgb="FF000000"/>
      <name val="Futura Medium"/>
    </font>
    <font>
      <sz val="8"/>
      <color theme="1"/>
      <name val="Futura Medium"/>
    </font>
    <font>
      <b/>
      <sz val="10"/>
      <color rgb="FF000000"/>
      <name val="Futura Medium"/>
    </font>
    <font>
      <sz val="10"/>
      <color rgb="FF000000"/>
      <name val="Cambria"/>
      <family val="1"/>
    </font>
    <font>
      <b/>
      <sz val="8"/>
      <color rgb="FFFFFFFF"/>
      <name val="Futura Medium"/>
    </font>
    <font>
      <b/>
      <sz val="8"/>
      <color theme="1"/>
      <name val="Futura Medium"/>
    </font>
    <font>
      <b/>
      <sz val="10"/>
      <color rgb="FFFFFFFF"/>
      <name val="Futura Medium"/>
    </font>
    <font>
      <b/>
      <sz val="11"/>
      <color rgb="FF00B050"/>
      <name val="Futura Medium"/>
    </font>
    <font>
      <b/>
      <sz val="11"/>
      <color rgb="FF000000"/>
      <name val="Futura Medium"/>
    </font>
    <font>
      <sz val="10"/>
      <color rgb="FF1F497D"/>
      <name val="Futura Medium"/>
    </font>
    <font>
      <b/>
      <sz val="8"/>
      <color theme="1"/>
      <name val="Cambria"/>
      <family val="1"/>
    </font>
    <font>
      <sz val="11"/>
      <color rgb="FFFF0000"/>
      <name val="Futura Medium"/>
    </font>
    <font>
      <b/>
      <sz val="12"/>
      <color theme="1"/>
      <name val="Futura Medium"/>
    </font>
    <font>
      <sz val="10"/>
      <name val="Futura Medium"/>
    </font>
    <font>
      <b/>
      <sz val="11"/>
      <color theme="1"/>
      <name val="Calibri"/>
      <family val="2"/>
      <scheme val="minor"/>
    </font>
    <font>
      <b/>
      <sz val="11"/>
      <name val="Futura Medium"/>
    </font>
    <font>
      <sz val="11"/>
      <color rgb="FF3333FF"/>
      <name val="Arial"/>
      <family val="2"/>
    </font>
    <font>
      <sz val="11"/>
      <name val="Futura Medium"/>
    </font>
    <font>
      <b/>
      <sz val="8"/>
      <color rgb="FF1F497D"/>
      <name val="Futura Medium"/>
    </font>
    <font>
      <b/>
      <sz val="10"/>
      <name val="Futura Medium"/>
    </font>
    <font>
      <b/>
      <sz val="12"/>
      <color rgb="FFFF0000"/>
      <name val="Futura Medium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Futura Medium"/>
    </font>
    <font>
      <sz val="12"/>
      <color theme="1"/>
      <name val="Futura Medium"/>
    </font>
    <font>
      <b/>
      <i/>
      <sz val="10"/>
      <color theme="1"/>
      <name val="Futura Medium"/>
    </font>
    <font>
      <u/>
      <sz val="11"/>
      <color theme="10"/>
      <name val="Calibri"/>
      <family val="2"/>
      <scheme val="minor"/>
    </font>
    <font>
      <u/>
      <sz val="36"/>
      <color theme="10"/>
      <name val="Calibri"/>
      <family val="2"/>
      <scheme val="minor"/>
    </font>
    <font>
      <sz val="12"/>
      <name val="Futura Medium"/>
    </font>
    <font>
      <b/>
      <u/>
      <sz val="28"/>
      <color theme="10"/>
      <name val="Futura Medium"/>
    </font>
  </fonts>
  <fills count="11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EF1CE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8" fillId="0" borderId="0" applyFont="0" applyFill="0" applyBorder="0" applyAlignment="0" applyProtection="0"/>
    <xf numFmtId="0" fontId="32" fillId="0" borderId="0" applyNumberFormat="0" applyFill="0" applyBorder="0" applyAlignment="0" applyProtection="0"/>
  </cellStyleXfs>
  <cellXfs count="182">
    <xf numFmtId="0" fontId="0" fillId="0" borderId="0" xfId="0"/>
    <xf numFmtId="0" fontId="3" fillId="2" borderId="1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14" xfId="0" applyBorder="1"/>
    <xf numFmtId="0" fontId="0" fillId="0" borderId="8" xfId="0" applyBorder="1"/>
    <xf numFmtId="0" fontId="0" fillId="0" borderId="18" xfId="0" applyBorder="1"/>
    <xf numFmtId="0" fontId="0" fillId="0" borderId="19" xfId="0" applyBorder="1"/>
    <xf numFmtId="0" fontId="4" fillId="0" borderId="9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8" fillId="6" borderId="3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vertical="center"/>
    </xf>
    <xf numFmtId="0" fontId="5" fillId="7" borderId="20" xfId="0" applyFont="1" applyFill="1" applyBorder="1" applyAlignment="1">
      <alignment horizontal="left" vertical="center"/>
    </xf>
    <xf numFmtId="0" fontId="5" fillId="7" borderId="25" xfId="0" applyFont="1" applyFill="1" applyBorder="1" applyAlignment="1">
      <alignment horizontal="left" vertical="center"/>
    </xf>
    <xf numFmtId="0" fontId="5" fillId="7" borderId="25" xfId="0" applyFont="1" applyFill="1" applyBorder="1" applyAlignment="1">
      <alignment vertical="center"/>
    </xf>
    <xf numFmtId="0" fontId="4" fillId="7" borderId="20" xfId="0" applyFont="1" applyFill="1" applyBorder="1" applyAlignment="1">
      <alignment horizontal="left" vertical="center"/>
    </xf>
    <xf numFmtId="0" fontId="4" fillId="7" borderId="25" xfId="0" applyFont="1" applyFill="1" applyBorder="1" applyAlignment="1">
      <alignment horizontal="left" vertical="center"/>
    </xf>
    <xf numFmtId="0" fontId="19" fillId="7" borderId="15" xfId="0" applyFont="1" applyFill="1" applyBorder="1" applyAlignment="1">
      <alignment horizontal="center" vertical="center"/>
    </xf>
    <xf numFmtId="9" fontId="19" fillId="7" borderId="15" xfId="1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9" fontId="8" fillId="3" borderId="15" xfId="0" applyNumberFormat="1" applyFont="1" applyFill="1" applyBorder="1" applyAlignment="1">
      <alignment horizontal="center" vertical="center"/>
    </xf>
    <xf numFmtId="9" fontId="8" fillId="3" borderId="15" xfId="1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vertical="center"/>
    </xf>
    <xf numFmtId="0" fontId="5" fillId="7" borderId="29" xfId="0" applyFont="1" applyFill="1" applyBorder="1" applyAlignment="1">
      <alignment vertical="center"/>
    </xf>
    <xf numFmtId="0" fontId="5" fillId="7" borderId="30" xfId="0" applyFont="1" applyFill="1" applyBorder="1" applyAlignment="1">
      <alignment vertical="center"/>
    </xf>
    <xf numFmtId="0" fontId="19" fillId="7" borderId="31" xfId="0" applyFont="1" applyFill="1" applyBorder="1" applyAlignment="1">
      <alignment horizontal="center" vertical="center"/>
    </xf>
    <xf numFmtId="9" fontId="19" fillId="7" borderId="31" xfId="1" applyFont="1" applyFill="1" applyBorder="1" applyAlignment="1">
      <alignment horizontal="center" vertical="center"/>
    </xf>
    <xf numFmtId="0" fontId="4" fillId="7" borderId="29" xfId="0" applyFont="1" applyFill="1" applyBorder="1" applyAlignment="1">
      <alignment horizontal="left" vertical="center"/>
    </xf>
    <xf numFmtId="0" fontId="4" fillId="7" borderId="30" xfId="0" applyFont="1" applyFill="1" applyBorder="1" applyAlignment="1">
      <alignment horizontal="left" vertical="center"/>
    </xf>
    <xf numFmtId="0" fontId="5" fillId="3" borderId="15" xfId="0" applyFont="1" applyFill="1" applyBorder="1" applyAlignment="1">
      <alignment vertical="center"/>
    </xf>
    <xf numFmtId="9" fontId="5" fillId="3" borderId="27" xfId="1" applyFont="1" applyFill="1" applyBorder="1" applyAlignment="1">
      <alignment horizontal="center" vertical="center"/>
    </xf>
    <xf numFmtId="9" fontId="5" fillId="3" borderId="15" xfId="1" applyFont="1" applyFill="1" applyBorder="1" applyAlignment="1">
      <alignment horizontal="center" vertical="center"/>
    </xf>
    <xf numFmtId="0" fontId="5" fillId="3" borderId="0" xfId="0" applyFont="1" applyFill="1" applyBorder="1" applyAlignment="1">
      <alignment vertical="center"/>
    </xf>
    <xf numFmtId="164" fontId="5" fillId="8" borderId="15" xfId="0" applyNumberFormat="1" applyFont="1" applyFill="1" applyBorder="1" applyAlignment="1">
      <alignment horizontal="center" vertical="center"/>
    </xf>
    <xf numFmtId="164" fontId="5" fillId="3" borderId="27" xfId="0" applyNumberFormat="1" applyFont="1" applyFill="1" applyBorder="1" applyAlignment="1">
      <alignment vertical="center"/>
    </xf>
    <xf numFmtId="164" fontId="5" fillId="3" borderId="28" xfId="0" applyNumberFormat="1" applyFont="1" applyFill="1" applyBorder="1" applyAlignment="1">
      <alignment vertical="center"/>
    </xf>
    <xf numFmtId="164" fontId="5" fillId="8" borderId="31" xfId="0" applyNumberFormat="1" applyFont="1" applyFill="1" applyBorder="1" applyAlignment="1">
      <alignment horizontal="center" vertical="center"/>
    </xf>
    <xf numFmtId="164" fontId="5" fillId="3" borderId="15" xfId="0" applyNumberFormat="1" applyFont="1" applyFill="1" applyBorder="1" applyAlignment="1">
      <alignment vertical="center"/>
    </xf>
    <xf numFmtId="9" fontId="14" fillId="0" borderId="15" xfId="0" applyNumberFormat="1" applyFont="1" applyBorder="1" applyAlignment="1">
      <alignment horizontal="left" vertical="center" wrapText="1"/>
    </xf>
    <xf numFmtId="9" fontId="19" fillId="7" borderId="15" xfId="0" applyNumberFormat="1" applyFont="1" applyFill="1" applyBorder="1" applyAlignment="1" applyProtection="1">
      <alignment horizontal="center" vertical="center"/>
      <protection locked="0"/>
    </xf>
    <xf numFmtId="9" fontId="19" fillId="7" borderId="15" xfId="1" applyFont="1" applyFill="1" applyBorder="1" applyAlignment="1" applyProtection="1">
      <alignment horizontal="center" vertical="center"/>
      <protection locked="0"/>
    </xf>
    <xf numFmtId="9" fontId="19" fillId="7" borderId="31" xfId="1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>
      <alignment vertical="center" wrapText="1"/>
    </xf>
    <xf numFmtId="0" fontId="22" fillId="0" borderId="15" xfId="0" applyFont="1" applyBorder="1" applyAlignment="1">
      <alignment vertical="center" wrapText="1"/>
    </xf>
    <xf numFmtId="0" fontId="20" fillId="0" borderId="18" xfId="0" applyFont="1" applyBorder="1"/>
    <xf numFmtId="0" fontId="25" fillId="3" borderId="36" xfId="0" applyFont="1" applyFill="1" applyBorder="1" applyAlignment="1">
      <alignment horizontal="center" vertical="center"/>
    </xf>
    <xf numFmtId="9" fontId="25" fillId="3" borderId="36" xfId="0" applyNumberFormat="1" applyFont="1" applyFill="1" applyBorder="1" applyAlignment="1">
      <alignment horizontal="center" vertical="center"/>
    </xf>
    <xf numFmtId="0" fontId="0" fillId="10" borderId="0" xfId="0" applyFill="1"/>
    <xf numFmtId="3" fontId="34" fillId="5" borderId="7" xfId="0" applyNumberFormat="1" applyFont="1" applyFill="1" applyBorder="1" applyAlignment="1" applyProtection="1">
      <alignment horizontal="center" vertical="center"/>
      <protection locked="0"/>
    </xf>
    <xf numFmtId="3" fontId="34" fillId="5" borderId="5" xfId="0" applyNumberFormat="1" applyFont="1" applyFill="1" applyBorder="1" applyAlignment="1" applyProtection="1">
      <alignment horizontal="center" vertical="center"/>
      <protection locked="0"/>
    </xf>
    <xf numFmtId="3" fontId="34" fillId="5" borderId="6" xfId="0" applyNumberFormat="1" applyFont="1" applyFill="1" applyBorder="1" applyAlignment="1" applyProtection="1">
      <alignment horizontal="center" vertical="center"/>
      <protection locked="0"/>
    </xf>
    <xf numFmtId="0" fontId="34" fillId="5" borderId="10" xfId="0" applyFont="1" applyFill="1" applyBorder="1" applyAlignment="1" applyProtection="1">
      <alignment horizontal="center" vertical="center"/>
      <protection locked="0"/>
    </xf>
    <xf numFmtId="0" fontId="34" fillId="5" borderId="9" xfId="0" applyFont="1" applyFill="1" applyBorder="1" applyAlignment="1" applyProtection="1">
      <alignment horizontal="center" vertical="center"/>
      <protection locked="0"/>
    </xf>
    <xf numFmtId="9" fontId="7" fillId="8" borderId="20" xfId="0" applyNumberFormat="1" applyFont="1" applyFill="1" applyBorder="1" applyAlignment="1" applyProtection="1">
      <alignment horizontal="center" vertical="center"/>
      <protection locked="0"/>
    </xf>
    <xf numFmtId="9" fontId="7" fillId="8" borderId="25" xfId="0" applyNumberFormat="1" applyFont="1" applyFill="1" applyBorder="1" applyAlignment="1" applyProtection="1">
      <alignment horizontal="center" vertical="center"/>
      <protection locked="0"/>
    </xf>
    <xf numFmtId="9" fontId="7" fillId="8" borderId="26" xfId="0" applyNumberFormat="1" applyFont="1" applyFill="1" applyBorder="1" applyAlignment="1" applyProtection="1">
      <alignment horizontal="center" vertical="center"/>
      <protection locked="0"/>
    </xf>
    <xf numFmtId="9" fontId="7" fillId="8" borderId="21" xfId="0" applyNumberFormat="1" applyFont="1" applyFill="1" applyBorder="1" applyAlignment="1" applyProtection="1">
      <alignment horizontal="center" vertical="center"/>
      <protection locked="0"/>
    </xf>
    <xf numFmtId="9" fontId="7" fillId="8" borderId="22" xfId="0" applyNumberFormat="1" applyFont="1" applyFill="1" applyBorder="1" applyAlignment="1" applyProtection="1">
      <alignment horizontal="center" vertical="center"/>
      <protection locked="0"/>
    </xf>
    <xf numFmtId="9" fontId="7" fillId="8" borderId="23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Border="1"/>
    <xf numFmtId="0" fontId="8" fillId="3" borderId="15" xfId="0" applyFont="1" applyFill="1" applyBorder="1" applyAlignment="1">
      <alignment horizontal="center" vertical="center"/>
    </xf>
    <xf numFmtId="9" fontId="0" fillId="0" borderId="0" xfId="1" applyFont="1"/>
    <xf numFmtId="0" fontId="17" fillId="7" borderId="12" xfId="0" applyFont="1" applyFill="1" applyBorder="1" applyAlignment="1" applyProtection="1">
      <alignment vertical="center" wrapText="1"/>
      <protection locked="0"/>
    </xf>
    <xf numFmtId="0" fontId="17" fillId="7" borderId="32" xfId="0" applyFont="1" applyFill="1" applyBorder="1" applyAlignment="1" applyProtection="1">
      <alignment vertical="center" wrapText="1"/>
      <protection locked="0"/>
    </xf>
    <xf numFmtId="0" fontId="17" fillId="7" borderId="0" xfId="0" applyFont="1" applyFill="1" applyBorder="1" applyAlignment="1" applyProtection="1">
      <alignment vertical="center" wrapText="1"/>
      <protection locked="0"/>
    </xf>
    <xf numFmtId="0" fontId="17" fillId="7" borderId="33" xfId="0" applyFont="1" applyFill="1" applyBorder="1" applyAlignment="1" applyProtection="1">
      <alignment vertical="center" wrapText="1"/>
      <protection locked="0"/>
    </xf>
    <xf numFmtId="0" fontId="17" fillId="7" borderId="24" xfId="0" applyFont="1" applyFill="1" applyBorder="1" applyAlignment="1" applyProtection="1">
      <alignment vertical="center" wrapText="1"/>
      <protection locked="0"/>
    </xf>
    <xf numFmtId="0" fontId="17" fillId="7" borderId="34" xfId="0" applyFont="1" applyFill="1" applyBorder="1" applyAlignment="1" applyProtection="1">
      <alignment vertical="center" wrapText="1"/>
      <protection locked="0"/>
    </xf>
    <xf numFmtId="0" fontId="8" fillId="6" borderId="3" xfId="0" applyFont="1" applyFill="1" applyBorder="1" applyAlignment="1">
      <alignment vertical="center"/>
    </xf>
    <xf numFmtId="165" fontId="0" fillId="0" borderId="0" xfId="0" applyNumberFormat="1"/>
    <xf numFmtId="1" fontId="0" fillId="0" borderId="0" xfId="0" applyNumberFormat="1"/>
    <xf numFmtId="0" fontId="34" fillId="5" borderId="3" xfId="0" applyFont="1" applyFill="1" applyBorder="1" applyAlignment="1" applyProtection="1">
      <alignment horizontal="center" vertical="center"/>
      <protection locked="0"/>
    </xf>
    <xf numFmtId="9" fontId="25" fillId="7" borderId="15" xfId="1" applyFont="1" applyFill="1" applyBorder="1" applyAlignment="1" applyProtection="1">
      <alignment horizontal="center" vertical="center"/>
      <protection locked="0"/>
    </xf>
    <xf numFmtId="9" fontId="25" fillId="7" borderId="15" xfId="0" applyNumberFormat="1" applyFont="1" applyFill="1" applyBorder="1" applyAlignment="1" applyProtection="1">
      <alignment horizontal="center" vertical="center"/>
      <protection locked="0"/>
    </xf>
    <xf numFmtId="0" fontId="4" fillId="8" borderId="20" xfId="0" applyFont="1" applyFill="1" applyBorder="1" applyAlignment="1">
      <alignment horizontal="left" vertical="center"/>
    </xf>
    <xf numFmtId="0" fontId="5" fillId="8" borderId="25" xfId="0" applyFont="1" applyFill="1" applyBorder="1" applyAlignment="1">
      <alignment vertical="center"/>
    </xf>
    <xf numFmtId="9" fontId="19" fillId="8" borderId="15" xfId="1" applyFont="1" applyFill="1" applyBorder="1" applyAlignment="1">
      <alignment horizontal="center" vertical="center"/>
    </xf>
    <xf numFmtId="9" fontId="19" fillId="8" borderId="15" xfId="1" applyFont="1" applyFill="1" applyBorder="1" applyAlignment="1" applyProtection="1">
      <alignment horizontal="center" vertical="center"/>
      <protection locked="0"/>
    </xf>
    <xf numFmtId="0" fontId="5" fillId="8" borderId="20" xfId="0" applyFont="1" applyFill="1" applyBorder="1" applyAlignment="1">
      <alignment vertical="center"/>
    </xf>
    <xf numFmtId="0" fontId="4" fillId="7" borderId="29" xfId="0" applyFont="1" applyFill="1" applyBorder="1" applyAlignment="1">
      <alignment vertical="center"/>
    </xf>
    <xf numFmtId="0" fontId="4" fillId="7" borderId="20" xfId="0" applyFont="1" applyFill="1" applyBorder="1" applyAlignment="1">
      <alignment vertical="center"/>
    </xf>
    <xf numFmtId="0" fontId="31" fillId="9" borderId="15" xfId="0" applyFont="1" applyFill="1" applyBorder="1" applyAlignment="1">
      <alignment horizontal="center" vertical="center"/>
    </xf>
    <xf numFmtId="0" fontId="31" fillId="9" borderId="35" xfId="0" applyFont="1" applyFill="1" applyBorder="1" applyAlignment="1">
      <alignment horizontal="center" vertical="center"/>
    </xf>
    <xf numFmtId="0" fontId="34" fillId="5" borderId="3" xfId="0" applyFont="1" applyFill="1" applyBorder="1" applyAlignment="1">
      <alignment horizontal="center" vertical="center"/>
    </xf>
    <xf numFmtId="0" fontId="34" fillId="5" borderId="9" xfId="0" applyFont="1" applyFill="1" applyBorder="1" applyAlignment="1">
      <alignment horizontal="center" vertical="center"/>
    </xf>
    <xf numFmtId="0" fontId="15" fillId="0" borderId="14" xfId="0" applyFont="1" applyBorder="1" applyAlignment="1" applyProtection="1">
      <alignment vertical="center" wrapText="1"/>
      <protection locked="0"/>
    </xf>
    <xf numFmtId="0" fontId="15" fillId="0" borderId="12" xfId="0" applyFont="1" applyBorder="1" applyAlignment="1" applyProtection="1">
      <alignment vertical="center" wrapText="1"/>
      <protection locked="0"/>
    </xf>
    <xf numFmtId="0" fontId="15" fillId="0" borderId="16" xfId="0" applyFont="1" applyBorder="1" applyAlignment="1" applyProtection="1">
      <alignment vertical="center" wrapText="1"/>
      <protection locked="0"/>
    </xf>
    <xf numFmtId="0" fontId="13" fillId="0" borderId="14" xfId="0" applyFont="1" applyBorder="1" applyAlignment="1">
      <alignment vertical="center" wrapText="1"/>
    </xf>
    <xf numFmtId="0" fontId="13" fillId="0" borderId="12" xfId="0" applyFont="1" applyBorder="1" applyAlignment="1">
      <alignment vertical="center" wrapText="1"/>
    </xf>
    <xf numFmtId="0" fontId="13" fillId="0" borderId="13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9" xfId="0" applyBorder="1" applyAlignment="1">
      <alignment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right" vertical="center" wrapText="1"/>
    </xf>
    <xf numFmtId="0" fontId="14" fillId="0" borderId="15" xfId="0" applyFont="1" applyBorder="1" applyAlignment="1">
      <alignment horizontal="right" vertical="center" wrapText="1"/>
    </xf>
    <xf numFmtId="0" fontId="26" fillId="0" borderId="8" xfId="0" applyFont="1" applyBorder="1" applyAlignment="1" applyProtection="1">
      <alignment vertical="center" wrapText="1"/>
      <protection locked="0"/>
    </xf>
    <xf numFmtId="0" fontId="26" fillId="0" borderId="0" xfId="0" applyFont="1" applyBorder="1" applyAlignment="1" applyProtection="1">
      <alignment vertical="center" wrapText="1"/>
      <protection locked="0"/>
    </xf>
    <xf numFmtId="0" fontId="26" fillId="0" borderId="17" xfId="0" applyFont="1" applyBorder="1" applyAlignment="1" applyProtection="1">
      <alignment vertical="center" wrapText="1"/>
      <protection locked="0"/>
    </xf>
    <xf numFmtId="0" fontId="27" fillId="0" borderId="8" xfId="0" applyFont="1" applyBorder="1" applyAlignment="1" applyProtection="1">
      <alignment vertical="center" wrapText="1"/>
      <protection locked="0"/>
    </xf>
    <xf numFmtId="0" fontId="27" fillId="0" borderId="0" xfId="0" applyFont="1" applyBorder="1" applyAlignment="1" applyProtection="1">
      <alignment vertical="center" wrapText="1"/>
      <protection locked="0"/>
    </xf>
    <xf numFmtId="0" fontId="27" fillId="0" borderId="17" xfId="0" applyFont="1" applyBorder="1" applyAlignment="1" applyProtection="1">
      <alignment vertical="center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0" xfId="0" applyBorder="1" applyAlignment="1" applyProtection="1">
      <alignment vertical="top" wrapText="1"/>
      <protection locked="0"/>
    </xf>
    <xf numFmtId="0" fontId="0" fillId="0" borderId="17" xfId="0" applyBorder="1" applyAlignment="1" applyProtection="1">
      <alignment vertical="top" wrapText="1"/>
      <protection locked="0"/>
    </xf>
    <xf numFmtId="0" fontId="34" fillId="5" borderId="10" xfId="0" applyFont="1" applyFill="1" applyBorder="1" applyAlignment="1" applyProtection="1">
      <alignment horizontal="center" vertical="center"/>
      <protection locked="0"/>
    </xf>
    <xf numFmtId="0" fontId="34" fillId="5" borderId="3" xfId="0" applyFont="1" applyFill="1" applyBorder="1" applyAlignment="1" applyProtection="1">
      <alignment horizontal="center" vertical="center"/>
      <protection locked="0"/>
    </xf>
    <xf numFmtId="0" fontId="34" fillId="5" borderId="9" xfId="0" applyFont="1" applyFill="1" applyBorder="1" applyAlignment="1" applyProtection="1">
      <alignment horizontal="center" vertical="center"/>
      <protection locked="0"/>
    </xf>
    <xf numFmtId="0" fontId="30" fillId="0" borderId="8" xfId="0" quotePrefix="1" applyFont="1" applyBorder="1" applyAlignment="1" applyProtection="1">
      <alignment horizontal="left" vertical="top" wrapText="1"/>
      <protection locked="0"/>
    </xf>
    <xf numFmtId="0" fontId="30" fillId="0" borderId="0" xfId="0" applyFont="1" applyBorder="1" applyAlignment="1" applyProtection="1">
      <alignment horizontal="left" vertical="top" wrapText="1"/>
      <protection locked="0"/>
    </xf>
    <xf numFmtId="0" fontId="30" fillId="0" borderId="17" xfId="0" applyFont="1" applyBorder="1" applyAlignment="1" applyProtection="1">
      <alignment horizontal="left" vertical="top" wrapText="1"/>
      <protection locked="0"/>
    </xf>
    <xf numFmtId="0" fontId="30" fillId="0" borderId="8" xfId="0" applyFont="1" applyBorder="1" applyAlignment="1" applyProtection="1">
      <alignment horizontal="left" vertical="top" wrapText="1"/>
      <protection locked="0"/>
    </xf>
    <xf numFmtId="0" fontId="25" fillId="0" borderId="10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14" fillId="3" borderId="15" xfId="0" applyFont="1" applyFill="1" applyBorder="1" applyAlignment="1">
      <alignment vertical="center"/>
    </xf>
    <xf numFmtId="0" fontId="0" fillId="0" borderId="15" xfId="0" applyFont="1" applyBorder="1" applyAlignment="1">
      <alignment vertical="center"/>
    </xf>
    <xf numFmtId="0" fontId="3" fillId="2" borderId="10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18" fillId="0" borderId="3" xfId="0" applyFont="1" applyBorder="1" applyAlignment="1">
      <alignment horizontal="left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14" fontId="24" fillId="0" borderId="10" xfId="0" applyNumberFormat="1" applyFont="1" applyBorder="1" applyAlignment="1">
      <alignment horizontal="center" vertical="center"/>
    </xf>
    <xf numFmtId="14" fontId="24" fillId="0" borderId="2" xfId="0" applyNumberFormat="1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6" fillId="3" borderId="11" xfId="0" applyFont="1" applyFill="1" applyBorder="1" applyAlignment="1">
      <alignment vertical="center"/>
    </xf>
    <xf numFmtId="0" fontId="6" fillId="3" borderId="9" xfId="0" applyFont="1" applyFill="1" applyBorder="1" applyAlignment="1">
      <alignment vertical="center"/>
    </xf>
    <xf numFmtId="14" fontId="6" fillId="0" borderId="10" xfId="0" applyNumberFormat="1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8" fillId="3" borderId="11" xfId="0" applyFont="1" applyFill="1" applyBorder="1" applyAlignment="1">
      <alignment vertical="center"/>
    </xf>
    <xf numFmtId="0" fontId="8" fillId="3" borderId="9" xfId="0" applyFont="1" applyFill="1" applyBorder="1" applyAlignment="1">
      <alignment vertical="center"/>
    </xf>
    <xf numFmtId="0" fontId="9" fillId="0" borderId="10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0" fillId="4" borderId="0" xfId="0" applyFont="1" applyFill="1" applyBorder="1" applyAlignment="1">
      <alignment vertical="center"/>
    </xf>
    <xf numFmtId="0" fontId="10" fillId="4" borderId="5" xfId="0" applyFont="1" applyFill="1" applyBorder="1" applyAlignment="1">
      <alignment vertical="center"/>
    </xf>
    <xf numFmtId="0" fontId="10" fillId="4" borderId="6" xfId="0" applyFont="1" applyFill="1" applyBorder="1" applyAlignment="1">
      <alignment vertical="center"/>
    </xf>
    <xf numFmtId="0" fontId="12" fillId="4" borderId="10" xfId="0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0" fillId="0" borderId="7" xfId="0" applyBorder="1" applyAlignment="1" applyProtection="1">
      <alignment vertical="top" wrapText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8" fillId="3" borderId="36" xfId="0" applyFont="1" applyFill="1" applyBorder="1" applyAlignment="1">
      <alignment vertical="center"/>
    </xf>
    <xf numFmtId="0" fontId="8" fillId="3" borderId="36" xfId="0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vertical="center" wrapText="1"/>
    </xf>
    <xf numFmtId="0" fontId="8" fillId="3" borderId="22" xfId="0" applyFont="1" applyFill="1" applyBorder="1" applyAlignment="1">
      <alignment vertical="center" wrapText="1"/>
    </xf>
    <xf numFmtId="9" fontId="33" fillId="8" borderId="29" xfId="2" applyNumberFormat="1" applyFont="1" applyFill="1" applyBorder="1" applyAlignment="1">
      <alignment horizontal="center" vertical="center"/>
    </xf>
    <xf numFmtId="9" fontId="33" fillId="8" borderId="30" xfId="2" applyNumberFormat="1" applyFont="1" applyFill="1" applyBorder="1" applyAlignment="1">
      <alignment horizontal="center" vertical="center"/>
    </xf>
    <xf numFmtId="9" fontId="33" fillId="8" borderId="37" xfId="2" applyNumberFormat="1" applyFont="1" applyFill="1" applyBorder="1" applyAlignment="1">
      <alignment horizontal="center" vertical="center"/>
    </xf>
    <xf numFmtId="9" fontId="33" fillId="8" borderId="27" xfId="2" applyNumberFormat="1" applyFont="1" applyFill="1" applyBorder="1" applyAlignment="1">
      <alignment horizontal="center" vertical="center"/>
    </xf>
    <xf numFmtId="9" fontId="33" fillId="8" borderId="0" xfId="2" applyNumberFormat="1" applyFont="1" applyFill="1" applyBorder="1" applyAlignment="1">
      <alignment horizontal="center" vertical="center"/>
    </xf>
    <xf numFmtId="9" fontId="33" fillId="8" borderId="33" xfId="2" applyNumberFormat="1" applyFont="1" applyFill="1" applyBorder="1" applyAlignment="1">
      <alignment horizontal="center" vertical="center"/>
    </xf>
    <xf numFmtId="9" fontId="33" fillId="8" borderId="38" xfId="2" applyNumberFormat="1" applyFont="1" applyFill="1" applyBorder="1" applyAlignment="1">
      <alignment horizontal="center" vertical="center"/>
    </xf>
    <xf numFmtId="9" fontId="33" fillId="8" borderId="24" xfId="2" applyNumberFormat="1" applyFont="1" applyFill="1" applyBorder="1" applyAlignment="1">
      <alignment horizontal="center" vertical="center"/>
    </xf>
    <xf numFmtId="9" fontId="33" fillId="8" borderId="34" xfId="2" applyNumberFormat="1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vertical="center"/>
    </xf>
    <xf numFmtId="0" fontId="8" fillId="3" borderId="20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29" fillId="3" borderId="15" xfId="0" applyFont="1" applyFill="1" applyBorder="1" applyAlignment="1">
      <alignment horizontal="center" vertical="center"/>
    </xf>
    <xf numFmtId="0" fontId="29" fillId="3" borderId="35" xfId="0" applyFont="1" applyFill="1" applyBorder="1" applyAlignment="1">
      <alignment horizontal="center" vertical="center"/>
    </xf>
    <xf numFmtId="9" fontId="31" fillId="9" borderId="15" xfId="0" applyNumberFormat="1" applyFont="1" applyFill="1" applyBorder="1" applyAlignment="1">
      <alignment horizontal="center" vertical="center"/>
    </xf>
    <xf numFmtId="9" fontId="31" fillId="9" borderId="35" xfId="0" applyNumberFormat="1" applyFont="1" applyFill="1" applyBorder="1" applyAlignment="1">
      <alignment horizontal="center" vertical="center"/>
    </xf>
    <xf numFmtId="9" fontId="29" fillId="9" borderId="20" xfId="0" applyNumberFormat="1" applyFont="1" applyFill="1" applyBorder="1" applyAlignment="1">
      <alignment horizontal="center" vertical="center"/>
    </xf>
    <xf numFmtId="9" fontId="29" fillId="9" borderId="25" xfId="0" applyNumberFormat="1" applyFont="1" applyFill="1" applyBorder="1" applyAlignment="1">
      <alignment horizontal="center" vertical="center"/>
    </xf>
    <xf numFmtId="9" fontId="29" fillId="9" borderId="26" xfId="0" applyNumberFormat="1" applyFont="1" applyFill="1" applyBorder="1" applyAlignment="1">
      <alignment horizontal="center" vertical="center"/>
    </xf>
    <xf numFmtId="0" fontId="35" fillId="10" borderId="0" xfId="2" applyFont="1" applyFill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3">
    <dxf>
      <font>
        <b val="0"/>
        <i/>
      </font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EF1CE"/>
      <color rgb="FFFEEBC6"/>
      <color rgb="FFFEE7BA"/>
      <color rgb="FFD3E8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2.xml"/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000" b="1" i="0" u="none" strike="noStrike" kern="1200" baseline="0">
                <a:solidFill>
                  <a:srgbClr val="000000"/>
                </a:solidFill>
                <a:latin typeface="Comic Sans MS"/>
                <a:ea typeface="Comic Sans MS"/>
                <a:cs typeface="Comic Sans MS"/>
              </a:defRPr>
            </a:pPr>
            <a:r>
              <a:rPr lang="en-US" sz="2000" b="1" i="0" kern="1200" spc="0" baseline="0">
                <a:solidFill>
                  <a:srgbClr val="002060"/>
                </a:solidFill>
                <a:effectLst/>
                <a:latin typeface="Futura Medium" panose="00000400000000000000" pitchFamily="2" charset="0"/>
              </a:rPr>
              <a:t>REROUTING OF IMO RIVER-2 &amp; 3 TO IMO RIVER 1 FLOWSTATION (Project S-Curve)</a:t>
            </a:r>
            <a:endParaRPr lang="en-US" sz="2000">
              <a:effectLst/>
            </a:endParaRPr>
          </a:p>
        </c:rich>
      </c:tx>
      <c:layout>
        <c:manualLayout>
          <c:xMode val="edge"/>
          <c:yMode val="edge"/>
          <c:x val="0.2127314468903066"/>
          <c:y val="1.505929958075379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7649527806925495E-2"/>
          <c:y val="8.4840055632823361E-2"/>
          <c:w val="0.83001049317943332"/>
          <c:h val="0.7162726008344924"/>
        </c:manualLayout>
      </c:layout>
      <c:barChart>
        <c:barDir val="col"/>
        <c:grouping val="percentStacked"/>
        <c:varyColors val="0"/>
        <c:ser>
          <c:idx val="0"/>
          <c:order val="2"/>
          <c:tx>
            <c:v>Today-line</c:v>
          </c:tx>
          <c:spPr>
            <a:solidFill>
              <a:sysClr val="windowText" lastClr="000000"/>
            </a:solidFill>
            <a:ln>
              <a:noFill/>
            </a:ln>
          </c:spPr>
          <c:invertIfNegative val="0"/>
          <c:dPt>
            <c:idx val="30"/>
            <c:invertIfNegative val="0"/>
            <c:bubble3D val="0"/>
            <c:spPr/>
            <c:extLst>
              <c:ext xmlns:c16="http://schemas.microsoft.com/office/drawing/2014/chart" uri="{C3380CC4-5D6E-409C-BE32-E72D297353CC}">
                <c16:uniqueId val="{00000005-1377-4A39-B4E6-EB5F2482FE3F}"/>
              </c:ext>
            </c:extLst>
          </c:dPt>
          <c:cat>
            <c:numRef>
              <c:f>Project!$AI$17:$AI$67</c:f>
              <c:numCache>
                <c:formatCode>[$-409]d\-mmm;@</c:formatCode>
                <c:ptCount val="51"/>
                <c:pt idx="0">
                  <c:v>43059</c:v>
                </c:pt>
                <c:pt idx="1">
                  <c:v>43060</c:v>
                </c:pt>
                <c:pt idx="2">
                  <c:v>43061</c:v>
                </c:pt>
                <c:pt idx="3">
                  <c:v>43062</c:v>
                </c:pt>
                <c:pt idx="4">
                  <c:v>43063</c:v>
                </c:pt>
                <c:pt idx="5">
                  <c:v>43064</c:v>
                </c:pt>
                <c:pt idx="6">
                  <c:v>43065</c:v>
                </c:pt>
                <c:pt idx="7">
                  <c:v>43066</c:v>
                </c:pt>
                <c:pt idx="8">
                  <c:v>43067</c:v>
                </c:pt>
                <c:pt idx="9">
                  <c:v>43068</c:v>
                </c:pt>
                <c:pt idx="10">
                  <c:v>43069</c:v>
                </c:pt>
                <c:pt idx="11">
                  <c:v>43070</c:v>
                </c:pt>
                <c:pt idx="13">
                  <c:v>43071</c:v>
                </c:pt>
                <c:pt idx="14">
                  <c:v>43072</c:v>
                </c:pt>
                <c:pt idx="15">
                  <c:v>43073</c:v>
                </c:pt>
                <c:pt idx="17">
                  <c:v>43074</c:v>
                </c:pt>
                <c:pt idx="18">
                  <c:v>43075</c:v>
                </c:pt>
                <c:pt idx="19">
                  <c:v>43076</c:v>
                </c:pt>
                <c:pt idx="20">
                  <c:v>43077</c:v>
                </c:pt>
                <c:pt idx="23">
                  <c:v>43078</c:v>
                </c:pt>
                <c:pt idx="24">
                  <c:v>43079</c:v>
                </c:pt>
                <c:pt idx="25">
                  <c:v>43080</c:v>
                </c:pt>
                <c:pt idx="26">
                  <c:v>43081</c:v>
                </c:pt>
                <c:pt idx="27">
                  <c:v>43082</c:v>
                </c:pt>
                <c:pt idx="28">
                  <c:v>43083</c:v>
                </c:pt>
                <c:pt idx="29">
                  <c:v>43084</c:v>
                </c:pt>
                <c:pt idx="30">
                  <c:v>43085</c:v>
                </c:pt>
                <c:pt idx="31">
                  <c:v>43086</c:v>
                </c:pt>
                <c:pt idx="37">
                  <c:v>43087</c:v>
                </c:pt>
                <c:pt idx="38">
                  <c:v>43088</c:v>
                </c:pt>
                <c:pt idx="39">
                  <c:v>43089</c:v>
                </c:pt>
                <c:pt idx="40">
                  <c:v>43090</c:v>
                </c:pt>
                <c:pt idx="41">
                  <c:v>43091</c:v>
                </c:pt>
                <c:pt idx="42">
                  <c:v>43092</c:v>
                </c:pt>
                <c:pt idx="43">
                  <c:v>43093</c:v>
                </c:pt>
                <c:pt idx="44">
                  <c:v>43094</c:v>
                </c:pt>
                <c:pt idx="45">
                  <c:v>43095</c:v>
                </c:pt>
                <c:pt idx="46">
                  <c:v>43096</c:v>
                </c:pt>
                <c:pt idx="47">
                  <c:v>43097</c:v>
                </c:pt>
                <c:pt idx="48">
                  <c:v>43098</c:v>
                </c:pt>
                <c:pt idx="49">
                  <c:v>43099</c:v>
                </c:pt>
                <c:pt idx="50">
                  <c:v>43100</c:v>
                </c:pt>
              </c:numCache>
            </c:numRef>
          </c:cat>
          <c:val>
            <c:numRef>
              <c:f>Project!$AN$17:$AN$67</c:f>
              <c:numCache>
                <c:formatCode>0%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77-4A39-B4E6-EB5F2482FE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4"/>
        <c:overlap val="100"/>
        <c:axId val="123741696"/>
        <c:axId val="123743616"/>
      </c:barChart>
      <c:lineChart>
        <c:grouping val="standard"/>
        <c:varyColors val="0"/>
        <c:ser>
          <c:idx val="2"/>
          <c:order val="0"/>
          <c:tx>
            <c:strRef>
              <c:f>Project!$AK$16</c:f>
              <c:strCache>
                <c:ptCount val="1"/>
                <c:pt idx="0">
                  <c:v>%Cum (Plan)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Project!$AI$17:$AI$67</c:f>
              <c:numCache>
                <c:formatCode>[$-409]d\-mmm;@</c:formatCode>
                <c:ptCount val="51"/>
                <c:pt idx="0">
                  <c:v>43059</c:v>
                </c:pt>
                <c:pt idx="1">
                  <c:v>43060</c:v>
                </c:pt>
                <c:pt idx="2">
                  <c:v>43061</c:v>
                </c:pt>
                <c:pt idx="3">
                  <c:v>43062</c:v>
                </c:pt>
                <c:pt idx="4">
                  <c:v>43063</c:v>
                </c:pt>
                <c:pt idx="5">
                  <c:v>43064</c:v>
                </c:pt>
                <c:pt idx="6">
                  <c:v>43065</c:v>
                </c:pt>
                <c:pt idx="7">
                  <c:v>43066</c:v>
                </c:pt>
                <c:pt idx="8">
                  <c:v>43067</c:v>
                </c:pt>
                <c:pt idx="9">
                  <c:v>43068</c:v>
                </c:pt>
                <c:pt idx="10">
                  <c:v>43069</c:v>
                </c:pt>
                <c:pt idx="11">
                  <c:v>43070</c:v>
                </c:pt>
                <c:pt idx="13">
                  <c:v>43071</c:v>
                </c:pt>
                <c:pt idx="14">
                  <c:v>43072</c:v>
                </c:pt>
                <c:pt idx="15">
                  <c:v>43073</c:v>
                </c:pt>
                <c:pt idx="17">
                  <c:v>43074</c:v>
                </c:pt>
                <c:pt idx="18">
                  <c:v>43075</c:v>
                </c:pt>
                <c:pt idx="19">
                  <c:v>43076</c:v>
                </c:pt>
                <c:pt idx="20">
                  <c:v>43077</c:v>
                </c:pt>
                <c:pt idx="23">
                  <c:v>43078</c:v>
                </c:pt>
                <c:pt idx="24">
                  <c:v>43079</c:v>
                </c:pt>
                <c:pt idx="25">
                  <c:v>43080</c:v>
                </c:pt>
                <c:pt idx="26">
                  <c:v>43081</c:v>
                </c:pt>
                <c:pt idx="27">
                  <c:v>43082</c:v>
                </c:pt>
                <c:pt idx="28">
                  <c:v>43083</c:v>
                </c:pt>
                <c:pt idx="29">
                  <c:v>43084</c:v>
                </c:pt>
                <c:pt idx="30">
                  <c:v>43085</c:v>
                </c:pt>
                <c:pt idx="31">
                  <c:v>43086</c:v>
                </c:pt>
                <c:pt idx="37">
                  <c:v>43087</c:v>
                </c:pt>
                <c:pt idx="38">
                  <c:v>43088</c:v>
                </c:pt>
                <c:pt idx="39">
                  <c:v>43089</c:v>
                </c:pt>
                <c:pt idx="40">
                  <c:v>43090</c:v>
                </c:pt>
                <c:pt idx="41">
                  <c:v>43091</c:v>
                </c:pt>
                <c:pt idx="42">
                  <c:v>43092</c:v>
                </c:pt>
                <c:pt idx="43">
                  <c:v>43093</c:v>
                </c:pt>
                <c:pt idx="44">
                  <c:v>43094</c:v>
                </c:pt>
                <c:pt idx="45">
                  <c:v>43095</c:v>
                </c:pt>
                <c:pt idx="46">
                  <c:v>43096</c:v>
                </c:pt>
                <c:pt idx="47">
                  <c:v>43097</c:v>
                </c:pt>
                <c:pt idx="48">
                  <c:v>43098</c:v>
                </c:pt>
                <c:pt idx="49">
                  <c:v>43099</c:v>
                </c:pt>
                <c:pt idx="50">
                  <c:v>43100</c:v>
                </c:pt>
              </c:numCache>
            </c:numRef>
          </c:cat>
          <c:val>
            <c:numRef>
              <c:f>Project!$AK$17:$AK$67</c:f>
              <c:numCache>
                <c:formatCode>0%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377-4A39-B4E6-EB5F2482FE3F}"/>
            </c:ext>
          </c:extLst>
        </c:ser>
        <c:ser>
          <c:idx val="3"/>
          <c:order val="1"/>
          <c:tx>
            <c:strRef>
              <c:f>Project!$AM$16</c:f>
              <c:strCache>
                <c:ptCount val="1"/>
                <c:pt idx="0">
                  <c:v>%Cum (Actual)</c:v>
                </c:pt>
              </c:strCache>
            </c:strRef>
          </c:tx>
          <c:spPr>
            <a:ln w="38100">
              <a:solidFill>
                <a:srgbClr val="339966"/>
              </a:solidFill>
              <a:prstDash val="solid"/>
            </a:ln>
          </c:spPr>
          <c:marker>
            <c:symbol val="none"/>
          </c:marker>
          <c:cat>
            <c:numRef>
              <c:f>Project!$AI$17:$AI$67</c:f>
              <c:numCache>
                <c:formatCode>[$-409]d\-mmm;@</c:formatCode>
                <c:ptCount val="51"/>
                <c:pt idx="0">
                  <c:v>43059</c:v>
                </c:pt>
                <c:pt idx="1">
                  <c:v>43060</c:v>
                </c:pt>
                <c:pt idx="2">
                  <c:v>43061</c:v>
                </c:pt>
                <c:pt idx="3">
                  <c:v>43062</c:v>
                </c:pt>
                <c:pt idx="4">
                  <c:v>43063</c:v>
                </c:pt>
                <c:pt idx="5">
                  <c:v>43064</c:v>
                </c:pt>
                <c:pt idx="6">
                  <c:v>43065</c:v>
                </c:pt>
                <c:pt idx="7">
                  <c:v>43066</c:v>
                </c:pt>
                <c:pt idx="8">
                  <c:v>43067</c:v>
                </c:pt>
                <c:pt idx="9">
                  <c:v>43068</c:v>
                </c:pt>
                <c:pt idx="10">
                  <c:v>43069</c:v>
                </c:pt>
                <c:pt idx="11">
                  <c:v>43070</c:v>
                </c:pt>
                <c:pt idx="13">
                  <c:v>43071</c:v>
                </c:pt>
                <c:pt idx="14">
                  <c:v>43072</c:v>
                </c:pt>
                <c:pt idx="15">
                  <c:v>43073</c:v>
                </c:pt>
                <c:pt idx="17">
                  <c:v>43074</c:v>
                </c:pt>
                <c:pt idx="18">
                  <c:v>43075</c:v>
                </c:pt>
                <c:pt idx="19">
                  <c:v>43076</c:v>
                </c:pt>
                <c:pt idx="20">
                  <c:v>43077</c:v>
                </c:pt>
                <c:pt idx="23">
                  <c:v>43078</c:v>
                </c:pt>
                <c:pt idx="24">
                  <c:v>43079</c:v>
                </c:pt>
                <c:pt idx="25">
                  <c:v>43080</c:v>
                </c:pt>
                <c:pt idx="26">
                  <c:v>43081</c:v>
                </c:pt>
                <c:pt idx="27">
                  <c:v>43082</c:v>
                </c:pt>
                <c:pt idx="28">
                  <c:v>43083</c:v>
                </c:pt>
                <c:pt idx="29">
                  <c:v>43084</c:v>
                </c:pt>
                <c:pt idx="30">
                  <c:v>43085</c:v>
                </c:pt>
                <c:pt idx="31">
                  <c:v>43086</c:v>
                </c:pt>
                <c:pt idx="37">
                  <c:v>43087</c:v>
                </c:pt>
                <c:pt idx="38">
                  <c:v>43088</c:v>
                </c:pt>
                <c:pt idx="39">
                  <c:v>43089</c:v>
                </c:pt>
                <c:pt idx="40">
                  <c:v>43090</c:v>
                </c:pt>
                <c:pt idx="41">
                  <c:v>43091</c:v>
                </c:pt>
                <c:pt idx="42">
                  <c:v>43092</c:v>
                </c:pt>
                <c:pt idx="43">
                  <c:v>43093</c:v>
                </c:pt>
                <c:pt idx="44">
                  <c:v>43094</c:v>
                </c:pt>
                <c:pt idx="45">
                  <c:v>43095</c:v>
                </c:pt>
                <c:pt idx="46">
                  <c:v>43096</c:v>
                </c:pt>
                <c:pt idx="47">
                  <c:v>43097</c:v>
                </c:pt>
                <c:pt idx="48">
                  <c:v>43098</c:v>
                </c:pt>
                <c:pt idx="49">
                  <c:v>43099</c:v>
                </c:pt>
                <c:pt idx="50">
                  <c:v>43100</c:v>
                </c:pt>
              </c:numCache>
            </c:numRef>
          </c:cat>
          <c:val>
            <c:numRef>
              <c:f>Project!$AM$17:$AM$67</c:f>
              <c:numCache>
                <c:formatCode>0%</c:formatCode>
                <c:ptCount val="51"/>
                <c:pt idx="0">
                  <c:v>3.8834951456310676E-2</c:v>
                </c:pt>
                <c:pt idx="1">
                  <c:v>7.7669902912621352E-2</c:v>
                </c:pt>
                <c:pt idx="2">
                  <c:v>0.11650485436893203</c:v>
                </c:pt>
                <c:pt idx="3">
                  <c:v>0.11650485436893203</c:v>
                </c:pt>
                <c:pt idx="4">
                  <c:v>0.11650485436893203</c:v>
                </c:pt>
                <c:pt idx="5">
                  <c:v>0.11650485436893203</c:v>
                </c:pt>
                <c:pt idx="6">
                  <c:v>0.11650485436893203</c:v>
                </c:pt>
                <c:pt idx="7">
                  <c:v>0.11650485436893203</c:v>
                </c:pt>
                <c:pt idx="8">
                  <c:v>0.11650485436893203</c:v>
                </c:pt>
                <c:pt idx="9">
                  <c:v>0.11650485436893203</c:v>
                </c:pt>
                <c:pt idx="10">
                  <c:v>0.11650485436893203</c:v>
                </c:pt>
                <c:pt idx="11">
                  <c:v>0.11650485436893203</c:v>
                </c:pt>
                <c:pt idx="13">
                  <c:v>0.11650485436893203</c:v>
                </c:pt>
                <c:pt idx="14">
                  <c:v>0.11650485436893203</c:v>
                </c:pt>
                <c:pt idx="15">
                  <c:v>0.11650485436893203</c:v>
                </c:pt>
                <c:pt idx="17">
                  <c:v>0.11650485436893203</c:v>
                </c:pt>
                <c:pt idx="18">
                  <c:v>0.11650485436893203</c:v>
                </c:pt>
                <c:pt idx="19">
                  <c:v>0.11650485436893203</c:v>
                </c:pt>
                <c:pt idx="20">
                  <c:v>0.13592233009708737</c:v>
                </c:pt>
                <c:pt idx="23">
                  <c:v>0.13592233009708737</c:v>
                </c:pt>
                <c:pt idx="24">
                  <c:v>0.13592233009708737</c:v>
                </c:pt>
                <c:pt idx="25">
                  <c:v>0.13592233009708737</c:v>
                </c:pt>
                <c:pt idx="26">
                  <c:v>0.13592233009708737</c:v>
                </c:pt>
                <c:pt idx="27">
                  <c:v>0.13592233009708737</c:v>
                </c:pt>
                <c:pt idx="28">
                  <c:v>0.1553398058252427</c:v>
                </c:pt>
                <c:pt idx="29">
                  <c:v>0.17475728155339804</c:v>
                </c:pt>
                <c:pt idx="30">
                  <c:v>0.17475728155339804</c:v>
                </c:pt>
                <c:pt idx="31">
                  <c:v>0.17475728155339804</c:v>
                </c:pt>
                <c:pt idx="37">
                  <c:v>0.17475728155339804</c:v>
                </c:pt>
                <c:pt idx="38">
                  <c:v>0.17475728155339804</c:v>
                </c:pt>
                <c:pt idx="39">
                  <c:v>0.17475728155339804</c:v>
                </c:pt>
                <c:pt idx="40">
                  <c:v>0.17475728155339804</c:v>
                </c:pt>
                <c:pt idx="41">
                  <c:v>0.17475728155339804</c:v>
                </c:pt>
                <c:pt idx="42">
                  <c:v>0.17475728155339804</c:v>
                </c:pt>
                <c:pt idx="43">
                  <c:v>0.17475728155339804</c:v>
                </c:pt>
                <c:pt idx="44">
                  <c:v>0.17475728155339804</c:v>
                </c:pt>
                <c:pt idx="45">
                  <c:v>0.17475728155339804</c:v>
                </c:pt>
                <c:pt idx="46">
                  <c:v>0.17475728155339804</c:v>
                </c:pt>
                <c:pt idx="47">
                  <c:v>0.17475728155339804</c:v>
                </c:pt>
                <c:pt idx="48">
                  <c:v>0.17475728155339804</c:v>
                </c:pt>
                <c:pt idx="49">
                  <c:v>0.17475728155339804</c:v>
                </c:pt>
                <c:pt idx="50">
                  <c:v>0.17475728155339804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1377-4A39-B4E6-EB5F2482FE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741696"/>
        <c:axId val="123743616"/>
      </c:lineChart>
      <c:catAx>
        <c:axId val="123741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omic Sans MS"/>
                    <a:ea typeface="Comic Sans MS"/>
                    <a:cs typeface="Comic Sans MS"/>
                  </a:defRPr>
                </a:pPr>
                <a:r>
                  <a:rPr lang="en-US"/>
                  <a:t>Timeline (days)</a:t>
                </a:r>
              </a:p>
            </c:rich>
          </c:tx>
          <c:layout>
            <c:manualLayout>
              <c:xMode val="edge"/>
              <c:yMode val="edge"/>
              <c:x val="0.46379851530820226"/>
              <c:y val="0.89151596174512926"/>
            </c:manualLayout>
          </c:layout>
          <c:overlay val="0"/>
          <c:spPr>
            <a:noFill/>
            <a:ln w="25400">
              <a:noFill/>
            </a:ln>
          </c:spPr>
        </c:title>
        <c:numFmt formatCode="[$-409]d\-mmm\-yy;@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Comic Sans MS"/>
                <a:ea typeface="Comic Sans MS"/>
                <a:cs typeface="Comic Sans MS"/>
              </a:defRPr>
            </a:pPr>
            <a:endParaRPr lang="en-US"/>
          </a:p>
        </c:txPr>
        <c:crossAx val="12374361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23743616"/>
        <c:scaling>
          <c:orientation val="minMax"/>
          <c:max val="1"/>
        </c:scaling>
        <c:delete val="0"/>
        <c:axPos val="l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Comic Sans MS"/>
                    <a:ea typeface="Comic Sans MS"/>
                    <a:cs typeface="Comic Sans MS"/>
                  </a:defRPr>
                </a:pPr>
                <a:r>
                  <a:rPr lang="en-US" sz="1400" b="0" i="0" baseline="0">
                    <a:effectLst/>
                  </a:rPr>
                  <a:t>Cumulative %</a:t>
                </a:r>
                <a:endParaRPr lang="en-US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2.1371008578797902E-2"/>
              <c:y val="0.38232767497641496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3741696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100000">
              <a:srgbClr val="CCFFCC"/>
            </a:gs>
          </a:gsLst>
          <a:lin ang="5400000" scaled="1"/>
        </a:gradFill>
        <a:ln w="12700">
          <a:solidFill>
            <a:srgbClr val="000000"/>
          </a:solidFill>
          <a:prstDash val="solid"/>
        </a:ln>
      </c:spPr>
    </c:plotArea>
    <c:legend>
      <c:legendPos val="r"/>
      <c:legendEntry>
        <c:idx val="0"/>
        <c:delete val="1"/>
      </c:legendEntry>
      <c:layout>
        <c:manualLayout>
          <c:xMode val="edge"/>
          <c:yMode val="edge"/>
          <c:x val="0.78757303231041209"/>
          <c:y val="0.64861110254718557"/>
          <c:w val="7.4870458710909318E-2"/>
          <c:h val="6.195583762525547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omic Sans MS"/>
              <a:ea typeface="Comic Sans MS"/>
              <a:cs typeface="Comic Sans MS"/>
            </a:defRPr>
          </a:pPr>
          <a:endParaRPr lang="en-US"/>
        </a:p>
      </c:txPr>
    </c:legend>
    <c:plotVisOnly val="1"/>
    <c:dispBlanksAs val="gap"/>
    <c:showDLblsOverMax val="0"/>
  </c:chart>
  <c:spPr>
    <a:gradFill rotWithShape="0">
      <a:gsLst>
        <a:gs pos="0">
          <a:srgbClr val="FFFF00"/>
        </a:gs>
        <a:gs pos="100000">
          <a:srgbClr val="FFFFFF"/>
        </a:gs>
      </a:gsLst>
      <a:lin ang="5400000" scaled="1"/>
    </a:gradFill>
    <a:ln w="9525">
      <a:solidFill>
        <a:srgbClr val="002060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2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3</xdr:row>
      <xdr:rowOff>122060</xdr:rowOff>
    </xdr:from>
    <xdr:to>
      <xdr:col>27</xdr:col>
      <xdr:colOff>400050</xdr:colOff>
      <xdr:row>45</xdr:row>
      <xdr:rowOff>50799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2C135DEF-25F7-42B0-9776-B684D1186D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0.68118</cdr:x>
      <cdr:y>0.1266</cdr:y>
    </cdr:from>
    <cdr:to>
      <cdr:x>0.77928</cdr:x>
      <cdr:y>0.16739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4334A374-A515-4080-B0B2-000D83D4F15A}"/>
            </a:ext>
          </a:extLst>
        </cdr:cNvPr>
        <cdr:cNvSpPr txBox="1"/>
      </cdr:nvSpPr>
      <cdr:spPr>
        <a:xfrm xmlns:a="http://schemas.openxmlformats.org/drawingml/2006/main">
          <a:off x="8247315" y="858376"/>
          <a:ext cx="1187730" cy="2765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FF0000"/>
              </a:solidFill>
            </a:rPr>
            <a:t>YTD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Grayscale">
    <a:dk1>
      <a:sysClr val="windowText" lastClr="000000"/>
    </a:dk1>
    <a:lt1>
      <a:sysClr val="window" lastClr="FFFFFF"/>
    </a:lt1>
    <a:dk2>
      <a:srgbClr val="000000"/>
    </a:dk2>
    <a:lt2>
      <a:srgbClr val="F8F8F8"/>
    </a:lt2>
    <a:accent1>
      <a:srgbClr val="DDDDDD"/>
    </a:accent1>
    <a:accent2>
      <a:srgbClr val="B2B2B2"/>
    </a:accent2>
    <a:accent3>
      <a:srgbClr val="969696"/>
    </a:accent3>
    <a:accent4>
      <a:srgbClr val="808080"/>
    </a:accent4>
    <a:accent5>
      <a:srgbClr val="5F5F5F"/>
    </a:accent5>
    <a:accent6>
      <a:srgbClr val="4D4D4D"/>
    </a:accent6>
    <a:hlink>
      <a:srgbClr val="5F5F5F"/>
    </a:hlink>
    <a:folHlink>
      <a:srgbClr val="919191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N71"/>
  <sheetViews>
    <sheetView showGridLines="0" tabSelected="1" topLeftCell="A43" zoomScale="90" zoomScaleNormal="90" workbookViewId="0">
      <selection activeCell="C5" sqref="C5:H8"/>
    </sheetView>
  </sheetViews>
  <sheetFormatPr defaultRowHeight="14.5" x14ac:dyDescent="0.35"/>
  <cols>
    <col min="1" max="1" width="2.54296875" customWidth="1"/>
    <col min="2" max="2" width="6.453125" customWidth="1"/>
    <col min="3" max="3" width="15.453125" customWidth="1"/>
    <col min="4" max="4" width="13.7265625" customWidth="1"/>
    <col min="5" max="5" width="15.1796875" customWidth="1"/>
    <col min="6" max="6" width="14.81640625" customWidth="1"/>
    <col min="7" max="8" width="14.54296875" customWidth="1"/>
    <col min="9" max="9" width="10.54296875" customWidth="1"/>
    <col min="10" max="10" width="11.453125" customWidth="1"/>
    <col min="11" max="11" width="9.453125" customWidth="1"/>
    <col min="12" max="12" width="10.26953125" customWidth="1"/>
    <col min="13" max="13" width="8.1796875" customWidth="1"/>
    <col min="15" max="15" width="16" customWidth="1"/>
    <col min="17" max="17" width="15.453125" customWidth="1"/>
    <col min="18" max="18" width="5.81640625" customWidth="1"/>
    <col min="19" max="19" width="9.1796875" customWidth="1"/>
    <col min="20" max="20" width="3.54296875" customWidth="1"/>
    <col min="21" max="21" width="3.26953125" customWidth="1"/>
    <col min="22" max="34" width="9.1796875" customWidth="1"/>
    <col min="36" max="36" width="8.453125" customWidth="1"/>
    <col min="38" max="38" width="10.26953125" customWidth="1"/>
    <col min="39" max="40" width="10.54296875" bestFit="1" customWidth="1"/>
  </cols>
  <sheetData>
    <row r="1" spans="2:40" ht="15" thickBot="1" x14ac:dyDescent="0.4"/>
    <row r="2" spans="2:40" ht="28.5" customHeight="1" thickBot="1" x14ac:dyDescent="0.4">
      <c r="B2" s="5"/>
      <c r="C2" s="1" t="s">
        <v>0</v>
      </c>
      <c r="D2" s="117" t="s">
        <v>28</v>
      </c>
      <c r="E2" s="118"/>
      <c r="F2" s="118"/>
      <c r="G2" s="118"/>
      <c r="H2" s="118"/>
      <c r="I2" s="118"/>
      <c r="J2" s="118"/>
      <c r="K2" s="121" t="s">
        <v>24</v>
      </c>
      <c r="L2" s="122"/>
      <c r="M2" s="123"/>
      <c r="N2" s="124" t="s">
        <v>29</v>
      </c>
      <c r="O2" s="124"/>
      <c r="P2" s="124"/>
      <c r="Q2" s="124"/>
      <c r="R2" s="124"/>
      <c r="S2" s="124"/>
      <c r="T2" s="124"/>
      <c r="U2" s="9"/>
    </row>
    <row r="3" spans="2:40" ht="15" thickBot="1" x14ac:dyDescent="0.4">
      <c r="B3" s="6"/>
      <c r="C3" s="2" t="s">
        <v>1</v>
      </c>
      <c r="D3" s="133">
        <v>43166</v>
      </c>
      <c r="E3" s="134"/>
      <c r="F3" s="3" t="s">
        <v>2</v>
      </c>
      <c r="G3" s="133">
        <v>43059</v>
      </c>
      <c r="H3" s="135"/>
      <c r="I3" s="136" t="s">
        <v>3</v>
      </c>
      <c r="J3" s="137"/>
      <c r="K3" s="138">
        <v>43182</v>
      </c>
      <c r="L3" s="139"/>
      <c r="M3" s="139"/>
      <c r="N3" s="139"/>
      <c r="O3" s="140"/>
      <c r="P3" s="141" t="s">
        <v>4</v>
      </c>
      <c r="Q3" s="142"/>
      <c r="R3" s="143" t="s">
        <v>5</v>
      </c>
      <c r="S3" s="144"/>
      <c r="T3" s="144"/>
      <c r="U3" s="145"/>
    </row>
    <row r="4" spans="2:40" ht="19.5" customHeight="1" thickBot="1" x14ac:dyDescent="0.4">
      <c r="B4" s="5"/>
      <c r="C4" s="125" t="s">
        <v>6</v>
      </c>
      <c r="D4" s="126"/>
      <c r="E4" s="126"/>
      <c r="F4" s="126"/>
      <c r="G4" s="126"/>
      <c r="H4" s="127"/>
      <c r="I4" s="128" t="s">
        <v>7</v>
      </c>
      <c r="J4" s="128"/>
      <c r="K4" s="128"/>
      <c r="L4" s="128"/>
      <c r="M4" s="129"/>
      <c r="N4" s="130" t="s">
        <v>8</v>
      </c>
      <c r="O4" s="131"/>
      <c r="P4" s="131"/>
      <c r="Q4" s="131"/>
      <c r="R4" s="131"/>
      <c r="S4" s="131"/>
      <c r="T4" s="131"/>
      <c r="U4" s="132"/>
    </row>
    <row r="5" spans="2:40" ht="120" customHeight="1" thickBot="1" x14ac:dyDescent="0.4">
      <c r="B5" s="6"/>
      <c r="C5" s="91" t="s">
        <v>101</v>
      </c>
      <c r="D5" s="92"/>
      <c r="E5" s="92"/>
      <c r="F5" s="92"/>
      <c r="G5" s="92"/>
      <c r="H5" s="93"/>
      <c r="I5" s="86" t="s">
        <v>89</v>
      </c>
      <c r="J5" s="87"/>
      <c r="K5" s="51"/>
      <c r="L5" s="52">
        <v>16659</v>
      </c>
      <c r="M5" s="53"/>
      <c r="N5" s="88" t="s">
        <v>9</v>
      </c>
      <c r="O5" s="89"/>
      <c r="P5" s="89"/>
      <c r="Q5" s="89"/>
      <c r="R5" s="89"/>
      <c r="S5" s="89"/>
      <c r="T5" s="89"/>
      <c r="U5" s="90"/>
    </row>
    <row r="6" spans="2:40" ht="114" customHeight="1" thickBot="1" x14ac:dyDescent="0.4">
      <c r="B6" s="6"/>
      <c r="C6" s="94"/>
      <c r="D6" s="95"/>
      <c r="E6" s="95"/>
      <c r="F6" s="95"/>
      <c r="G6" s="95"/>
      <c r="H6" s="96"/>
      <c r="I6" s="86" t="s">
        <v>10</v>
      </c>
      <c r="J6" s="87"/>
      <c r="K6" s="54"/>
      <c r="L6" s="74">
        <v>20</v>
      </c>
      <c r="M6" s="55"/>
      <c r="N6" s="113" t="s">
        <v>103</v>
      </c>
      <c r="O6" s="114"/>
      <c r="P6" s="114"/>
      <c r="Q6" s="114"/>
      <c r="R6" s="114"/>
      <c r="S6" s="114"/>
      <c r="T6" s="114"/>
      <c r="U6" s="115"/>
    </row>
    <row r="7" spans="2:40" ht="112.5" customHeight="1" thickBot="1" x14ac:dyDescent="0.4">
      <c r="B7" s="6"/>
      <c r="C7" s="94"/>
      <c r="D7" s="95"/>
      <c r="E7" s="95"/>
      <c r="F7" s="95"/>
      <c r="G7" s="95"/>
      <c r="H7" s="96"/>
      <c r="I7" s="86" t="s">
        <v>82</v>
      </c>
      <c r="J7" s="87"/>
      <c r="K7" s="54"/>
      <c r="L7" s="74">
        <v>175</v>
      </c>
      <c r="M7" s="55"/>
      <c r="N7" s="116"/>
      <c r="O7" s="114"/>
      <c r="P7" s="114"/>
      <c r="Q7" s="114"/>
      <c r="R7" s="114"/>
      <c r="S7" s="114"/>
      <c r="T7" s="114"/>
      <c r="U7" s="115"/>
      <c r="AL7" s="62"/>
      <c r="AM7" s="62"/>
    </row>
    <row r="8" spans="2:40" ht="103.5" customHeight="1" thickBot="1" x14ac:dyDescent="0.4">
      <c r="B8" s="6"/>
      <c r="C8" s="94"/>
      <c r="D8" s="95"/>
      <c r="E8" s="95"/>
      <c r="F8" s="95"/>
      <c r="G8" s="95"/>
      <c r="H8" s="96"/>
      <c r="I8" s="86" t="s">
        <v>11</v>
      </c>
      <c r="J8" s="87"/>
      <c r="K8" s="110">
        <v>0</v>
      </c>
      <c r="L8" s="111"/>
      <c r="M8" s="112"/>
      <c r="N8" s="116"/>
      <c r="O8" s="114"/>
      <c r="P8" s="114"/>
      <c r="Q8" s="114"/>
      <c r="R8" s="114"/>
      <c r="S8" s="114"/>
      <c r="T8" s="114"/>
      <c r="U8" s="115"/>
    </row>
    <row r="9" spans="2:40" ht="38.25" customHeight="1" thickBot="1" x14ac:dyDescent="0.4">
      <c r="B9" s="6"/>
      <c r="C9" s="101" t="s">
        <v>102</v>
      </c>
      <c r="D9" s="102"/>
      <c r="E9" s="102"/>
      <c r="F9" s="102"/>
      <c r="G9" s="102"/>
      <c r="H9" s="103"/>
      <c r="I9" s="86" t="s">
        <v>12</v>
      </c>
      <c r="J9" s="87"/>
      <c r="K9" s="110" t="s">
        <v>13</v>
      </c>
      <c r="L9" s="111"/>
      <c r="M9" s="112"/>
      <c r="N9" s="116"/>
      <c r="O9" s="114"/>
      <c r="P9" s="114"/>
      <c r="Q9" s="114"/>
      <c r="R9" s="114"/>
      <c r="S9" s="114"/>
      <c r="T9" s="114"/>
      <c r="U9" s="115"/>
    </row>
    <row r="10" spans="2:40" ht="34.5" customHeight="1" thickBot="1" x14ac:dyDescent="0.4">
      <c r="B10" s="6"/>
      <c r="C10" s="104"/>
      <c r="D10" s="105"/>
      <c r="E10" s="105"/>
      <c r="F10" s="105"/>
      <c r="G10" s="105"/>
      <c r="H10" s="106"/>
      <c r="I10" s="86" t="s">
        <v>14</v>
      </c>
      <c r="J10" s="87"/>
      <c r="K10" s="110" t="s">
        <v>13</v>
      </c>
      <c r="L10" s="111"/>
      <c r="M10" s="112"/>
      <c r="N10" s="116"/>
      <c r="O10" s="114"/>
      <c r="P10" s="114"/>
      <c r="Q10" s="114"/>
      <c r="R10" s="114"/>
      <c r="S10" s="114"/>
      <c r="T10" s="114"/>
      <c r="U10" s="115"/>
    </row>
    <row r="11" spans="2:40" ht="17.25" customHeight="1" thickBot="1" x14ac:dyDescent="0.4">
      <c r="B11" s="6"/>
      <c r="C11" s="104"/>
      <c r="D11" s="105"/>
      <c r="E11" s="105"/>
      <c r="F11" s="105"/>
      <c r="G11" s="105"/>
      <c r="H11" s="106"/>
      <c r="I11" s="86" t="s">
        <v>15</v>
      </c>
      <c r="J11" s="87"/>
      <c r="K11" s="110" t="s">
        <v>13</v>
      </c>
      <c r="L11" s="111"/>
      <c r="M11" s="112"/>
      <c r="N11" s="107"/>
      <c r="O11" s="108"/>
      <c r="P11" s="108"/>
      <c r="Q11" s="108"/>
      <c r="R11" s="108"/>
      <c r="S11" s="108"/>
      <c r="T11" s="108"/>
      <c r="U11" s="109"/>
    </row>
    <row r="12" spans="2:40" ht="21.75" customHeight="1" thickBot="1" x14ac:dyDescent="0.4">
      <c r="B12" s="6"/>
      <c r="C12" s="104"/>
      <c r="D12" s="105"/>
      <c r="E12" s="105"/>
      <c r="F12" s="105"/>
      <c r="G12" s="105"/>
      <c r="H12" s="106"/>
      <c r="I12" s="86" t="s">
        <v>16</v>
      </c>
      <c r="J12" s="87"/>
      <c r="K12" s="110" t="s">
        <v>13</v>
      </c>
      <c r="L12" s="111"/>
      <c r="M12" s="112"/>
      <c r="N12" s="107"/>
      <c r="O12" s="108"/>
      <c r="P12" s="108"/>
      <c r="Q12" s="108"/>
      <c r="R12" s="108"/>
      <c r="S12" s="108"/>
      <c r="T12" s="108"/>
      <c r="U12" s="109"/>
    </row>
    <row r="13" spans="2:40" ht="18.75" customHeight="1" thickBot="1" x14ac:dyDescent="0.4">
      <c r="B13" s="6"/>
      <c r="C13" s="99" t="s">
        <v>78</v>
      </c>
      <c r="D13" s="100"/>
      <c r="E13" s="100"/>
      <c r="F13" s="41">
        <f>R22</f>
        <v>0.3689320388349514</v>
      </c>
      <c r="G13" s="97"/>
      <c r="H13" s="98"/>
      <c r="I13" s="86" t="s">
        <v>17</v>
      </c>
      <c r="J13" s="87"/>
      <c r="K13" s="110" t="s">
        <v>13</v>
      </c>
      <c r="L13" s="111"/>
      <c r="M13" s="112"/>
      <c r="N13" s="107"/>
      <c r="O13" s="108"/>
      <c r="P13" s="108"/>
      <c r="Q13" s="108"/>
      <c r="R13" s="108"/>
      <c r="S13" s="108"/>
      <c r="T13" s="108"/>
      <c r="U13" s="109"/>
    </row>
    <row r="14" spans="2:40" ht="17.25" customHeight="1" thickBot="1" x14ac:dyDescent="0.4">
      <c r="B14" s="6"/>
      <c r="C14" s="155"/>
      <c r="D14" s="156"/>
      <c r="E14" s="156"/>
      <c r="F14" s="156"/>
      <c r="G14" s="156"/>
      <c r="H14" s="157"/>
      <c r="I14" s="86" t="s">
        <v>18</v>
      </c>
      <c r="J14" s="87"/>
      <c r="K14" s="110" t="s">
        <v>13</v>
      </c>
      <c r="L14" s="111"/>
      <c r="M14" s="112"/>
      <c r="N14" s="152"/>
      <c r="O14" s="153"/>
      <c r="P14" s="153"/>
      <c r="Q14" s="153"/>
      <c r="R14" s="153"/>
      <c r="S14" s="153"/>
      <c r="T14" s="153"/>
      <c r="U14" s="154"/>
    </row>
    <row r="15" spans="2:40" ht="15" thickBot="1" x14ac:dyDescent="0.4">
      <c r="B15" s="7"/>
      <c r="C15" s="146" t="s">
        <v>19</v>
      </c>
      <c r="D15" s="146"/>
      <c r="E15" s="146"/>
      <c r="F15" s="146"/>
      <c r="G15" s="146"/>
      <c r="H15" s="146"/>
      <c r="I15" s="146"/>
      <c r="J15" s="146"/>
      <c r="K15" s="146"/>
      <c r="L15" s="147"/>
      <c r="M15" s="147"/>
      <c r="N15" s="147"/>
      <c r="O15" s="148"/>
      <c r="P15" s="149" t="s">
        <v>20</v>
      </c>
      <c r="Q15" s="150"/>
      <c r="R15" s="150"/>
      <c r="S15" s="150"/>
      <c r="T15" s="150"/>
      <c r="U15" s="151"/>
      <c r="AM15" s="72"/>
      <c r="AN15" s="73"/>
    </row>
    <row r="16" spans="2:40" ht="28.5" thickBot="1" x14ac:dyDescent="0.4">
      <c r="B16" s="7"/>
      <c r="C16" s="171" t="s">
        <v>66</v>
      </c>
      <c r="D16" s="171"/>
      <c r="E16" s="171"/>
      <c r="F16" s="171"/>
      <c r="G16" s="22" t="s">
        <v>71</v>
      </c>
      <c r="H16" s="22" t="s">
        <v>21</v>
      </c>
      <c r="I16" s="22" t="s">
        <v>22</v>
      </c>
      <c r="J16" s="172" t="s">
        <v>3</v>
      </c>
      <c r="K16" s="173"/>
      <c r="L16" s="63"/>
      <c r="M16" s="71"/>
      <c r="N16" s="71"/>
      <c r="O16" s="71"/>
      <c r="P16" s="71"/>
      <c r="Q16" s="25"/>
      <c r="R16" s="174"/>
      <c r="S16" s="174"/>
      <c r="T16" s="174"/>
      <c r="U16" s="175"/>
      <c r="AI16" s="46" t="s">
        <v>85</v>
      </c>
      <c r="AJ16" s="46" t="s">
        <v>86</v>
      </c>
      <c r="AK16" s="46" t="s">
        <v>79</v>
      </c>
      <c r="AL16" s="46" t="s">
        <v>87</v>
      </c>
      <c r="AM16" s="46" t="s">
        <v>80</v>
      </c>
      <c r="AN16" s="46" t="s">
        <v>88</v>
      </c>
    </row>
    <row r="17" spans="2:40" ht="15" thickBot="1" x14ac:dyDescent="0.4">
      <c r="B17" s="47" t="s">
        <v>26</v>
      </c>
      <c r="C17" s="119" t="s">
        <v>49</v>
      </c>
      <c r="D17" s="120"/>
      <c r="E17" s="120"/>
      <c r="F17" s="120"/>
      <c r="G17" s="22"/>
      <c r="H17" s="23">
        <f>SUM(H18:H26)</f>
        <v>0.17475728155339801</v>
      </c>
      <c r="I17" s="24">
        <f>SUMIF(I18:I26,100%,H18:H26)</f>
        <v>0.15533980582524268</v>
      </c>
      <c r="J17" s="22" t="s">
        <v>2</v>
      </c>
      <c r="K17" s="22" t="s">
        <v>69</v>
      </c>
      <c r="L17" s="63" t="s">
        <v>84</v>
      </c>
      <c r="M17" s="13"/>
      <c r="N17" s="13"/>
      <c r="O17" s="13"/>
      <c r="P17" s="13"/>
      <c r="Q17" s="25" t="s">
        <v>74</v>
      </c>
      <c r="R17" s="84">
        <f>G67</f>
        <v>51.5</v>
      </c>
      <c r="S17" s="84"/>
      <c r="T17" s="84"/>
      <c r="U17" s="85"/>
      <c r="AI17" s="36">
        <v>43059</v>
      </c>
      <c r="AJ17" s="21">
        <f>SUMIF($K$18:$K$66,"20-Nov",$H$18:$H$66)</f>
        <v>0</v>
      </c>
      <c r="AK17" s="21">
        <f>AJ17</f>
        <v>0</v>
      </c>
      <c r="AL17" s="21">
        <f t="shared" ref="AL17:AL28" si="0">SUMIFS($H$18:$H$66,$I$18:$I$66,"100%",$L$18:$L$66,AI17)</f>
        <v>3.8834951456310676E-2</v>
      </c>
      <c r="AM17" s="21">
        <f>AL17</f>
        <v>3.8834951456310676E-2</v>
      </c>
      <c r="AN17" s="21" t="str">
        <f ca="1">IF(AI17=TODAY(),1,"")</f>
        <v/>
      </c>
    </row>
    <row r="18" spans="2:40" ht="17.25" customHeight="1" x14ac:dyDescent="0.35">
      <c r="B18" s="7">
        <v>1</v>
      </c>
      <c r="C18" s="15" t="s">
        <v>64</v>
      </c>
      <c r="D18" s="16"/>
      <c r="E18" s="16"/>
      <c r="F18" s="16"/>
      <c r="G18" s="20">
        <v>1</v>
      </c>
      <c r="H18" s="21">
        <f t="shared" ref="H18:H26" si="1">G18/$G$67</f>
        <v>1.9417475728155338E-2</v>
      </c>
      <c r="I18" s="42">
        <v>1</v>
      </c>
      <c r="J18" s="36">
        <v>43060</v>
      </c>
      <c r="K18" s="36">
        <v>43060</v>
      </c>
      <c r="L18" s="36">
        <v>43060</v>
      </c>
      <c r="M18" s="65"/>
      <c r="N18" s="65"/>
      <c r="O18" s="65"/>
      <c r="P18" s="66"/>
      <c r="Q18" s="25" t="s">
        <v>75</v>
      </c>
      <c r="R18" s="84">
        <f>COUNTIF(I18:I66,100%)</f>
        <v>17</v>
      </c>
      <c r="S18" s="84"/>
      <c r="T18" s="84"/>
      <c r="U18" s="85"/>
      <c r="AI18" s="36">
        <v>43060</v>
      </c>
      <c r="AJ18" s="21">
        <f>SUMIF($K$18:$K$66,"21-Nov",$H$18:$H$66)</f>
        <v>0</v>
      </c>
      <c r="AK18" s="21">
        <f>AJ18+AK17</f>
        <v>0</v>
      </c>
      <c r="AL18" s="21">
        <f t="shared" si="0"/>
        <v>3.8834951456310676E-2</v>
      </c>
      <c r="AM18" s="21">
        <f>AL18+AM17</f>
        <v>7.7669902912621352E-2</v>
      </c>
      <c r="AN18" s="21" t="str">
        <f t="shared" ref="AN18:AN67" ca="1" si="2">IF(AI18=TODAY(),1,"")</f>
        <v/>
      </c>
    </row>
    <row r="19" spans="2:40" ht="15.75" customHeight="1" x14ac:dyDescent="0.35">
      <c r="B19" s="7">
        <v>2</v>
      </c>
      <c r="C19" s="15" t="s">
        <v>62</v>
      </c>
      <c r="D19" s="16"/>
      <c r="E19" s="16"/>
      <c r="F19" s="16"/>
      <c r="G19" s="20">
        <v>1</v>
      </c>
      <c r="H19" s="21">
        <f t="shared" si="1"/>
        <v>1.9417475728155338E-2</v>
      </c>
      <c r="I19" s="42">
        <v>1</v>
      </c>
      <c r="J19" s="36">
        <v>43060</v>
      </c>
      <c r="K19" s="36">
        <v>43060</v>
      </c>
      <c r="L19" s="36">
        <v>43060</v>
      </c>
      <c r="M19" s="67"/>
      <c r="N19" s="67"/>
      <c r="O19" s="67"/>
      <c r="P19" s="68"/>
      <c r="Q19" s="25" t="s">
        <v>76</v>
      </c>
      <c r="R19" s="84">
        <f>SUMPRODUCT((I18:I26&gt;0%)*(I18:I26&lt;100%))+SUMPRODUCT((I28:I37&gt;0%)*(I28:I37&lt;100%))+SUMPRODUCT((I41:I48&gt;0%)*(I41:I48&lt;100%))+SUMPRODUCT((I55:I63&gt;0%)*(I55:I63&lt;100%))+SUMPRODUCT((I65:I66&lt;0%)*(I65:I66&lt;100%))</f>
        <v>12</v>
      </c>
      <c r="S19" s="84"/>
      <c r="T19" s="84"/>
      <c r="U19" s="85"/>
      <c r="AI19" s="36">
        <v>43061</v>
      </c>
      <c r="AJ19" s="21">
        <f>SUMIF($K$18:$K$66,"22-Nov",$H$18:$H$66)</f>
        <v>0</v>
      </c>
      <c r="AK19" s="21">
        <f t="shared" ref="AK19:AK60" si="3">AJ19+AK18</f>
        <v>0</v>
      </c>
      <c r="AL19" s="21">
        <f t="shared" si="0"/>
        <v>3.8834951456310676E-2</v>
      </c>
      <c r="AM19" s="21">
        <f t="shared" ref="AM19:AM56" si="4">AL19+AM18</f>
        <v>0.11650485436893203</v>
      </c>
      <c r="AN19" s="21" t="str">
        <f t="shared" ca="1" si="2"/>
        <v/>
      </c>
    </row>
    <row r="20" spans="2:40" ht="17.25" customHeight="1" x14ac:dyDescent="0.35">
      <c r="B20" s="7">
        <v>3</v>
      </c>
      <c r="C20" s="15" t="s">
        <v>63</v>
      </c>
      <c r="D20" s="16"/>
      <c r="E20" s="16"/>
      <c r="F20" s="16"/>
      <c r="G20" s="20">
        <v>1</v>
      </c>
      <c r="H20" s="21">
        <f t="shared" si="1"/>
        <v>1.9417475728155338E-2</v>
      </c>
      <c r="I20" s="42">
        <v>1</v>
      </c>
      <c r="J20" s="36">
        <v>43061</v>
      </c>
      <c r="K20" s="36">
        <v>43063</v>
      </c>
      <c r="L20" s="36">
        <v>43061</v>
      </c>
      <c r="M20" s="67"/>
      <c r="N20" s="67"/>
      <c r="O20" s="67"/>
      <c r="P20" s="68"/>
      <c r="Q20" s="25" t="s">
        <v>77</v>
      </c>
      <c r="R20" s="84">
        <f>R17-R19-R18</f>
        <v>22.5</v>
      </c>
      <c r="S20" s="84"/>
      <c r="T20" s="84"/>
      <c r="U20" s="85"/>
      <c r="AI20" s="36">
        <v>43062</v>
      </c>
      <c r="AJ20" s="21">
        <f>SUMIF($K$18:$K$66,"23-Nov",$H$18:$H$66)</f>
        <v>0</v>
      </c>
      <c r="AK20" s="21">
        <f t="shared" si="3"/>
        <v>0</v>
      </c>
      <c r="AL20" s="21">
        <f t="shared" si="0"/>
        <v>0</v>
      </c>
      <c r="AM20" s="21">
        <f t="shared" si="4"/>
        <v>0.11650485436893203</v>
      </c>
      <c r="AN20" s="21" t="str">
        <f t="shared" ca="1" si="2"/>
        <v/>
      </c>
    </row>
    <row r="21" spans="2:40" ht="16.5" customHeight="1" x14ac:dyDescent="0.35">
      <c r="B21" s="7">
        <v>4</v>
      </c>
      <c r="C21" s="15" t="s">
        <v>25</v>
      </c>
      <c r="D21" s="16"/>
      <c r="E21" s="16"/>
      <c r="F21" s="16"/>
      <c r="G21" s="20">
        <v>1</v>
      </c>
      <c r="H21" s="21">
        <f t="shared" si="1"/>
        <v>1.9417475728155338E-2</v>
      </c>
      <c r="I21" s="42">
        <v>1</v>
      </c>
      <c r="J21" s="36">
        <v>43087</v>
      </c>
      <c r="K21" s="36">
        <v>43089</v>
      </c>
      <c r="L21" s="36">
        <v>43061</v>
      </c>
      <c r="M21" s="67"/>
      <c r="N21" s="67"/>
      <c r="O21" s="67"/>
      <c r="P21" s="68"/>
      <c r="Q21" s="25" t="s">
        <v>72</v>
      </c>
      <c r="R21" s="176">
        <f ca="1">SUMIF(K18:K66,"&lt;"&amp;TODAY(),H18:H66)</f>
        <v>0.495145631067961</v>
      </c>
      <c r="S21" s="176"/>
      <c r="T21" s="176"/>
      <c r="U21" s="177"/>
      <c r="AI21" s="36">
        <v>43063</v>
      </c>
      <c r="AJ21" s="21">
        <f>SUMIF($K$18:$K$66,"24-Nov",$H$18:$H$66)</f>
        <v>0</v>
      </c>
      <c r="AK21" s="21">
        <f t="shared" si="3"/>
        <v>0</v>
      </c>
      <c r="AL21" s="21">
        <f t="shared" si="0"/>
        <v>0</v>
      </c>
      <c r="AM21" s="21">
        <f t="shared" si="4"/>
        <v>0.11650485436893203</v>
      </c>
      <c r="AN21" s="21" t="str">
        <f t="shared" ca="1" si="2"/>
        <v/>
      </c>
    </row>
    <row r="22" spans="2:40" ht="16.5" customHeight="1" x14ac:dyDescent="0.35">
      <c r="B22" s="7">
        <v>5</v>
      </c>
      <c r="C22" s="15" t="s">
        <v>30</v>
      </c>
      <c r="D22" s="16"/>
      <c r="E22" s="16"/>
      <c r="F22" s="16"/>
      <c r="G22" s="20">
        <v>1</v>
      </c>
      <c r="H22" s="21">
        <f t="shared" si="1"/>
        <v>1.9417475728155338E-2</v>
      </c>
      <c r="I22" s="42">
        <v>1</v>
      </c>
      <c r="J22" s="36">
        <v>43081</v>
      </c>
      <c r="K22" s="36">
        <v>43083</v>
      </c>
      <c r="L22" s="36">
        <v>43083</v>
      </c>
      <c r="M22" s="67"/>
      <c r="N22" s="67"/>
      <c r="O22" s="67"/>
      <c r="P22" s="68"/>
      <c r="Q22" s="25" t="s">
        <v>73</v>
      </c>
      <c r="R22" s="178">
        <f>I67</f>
        <v>0.3689320388349514</v>
      </c>
      <c r="S22" s="179"/>
      <c r="T22" s="179"/>
      <c r="U22" s="180"/>
      <c r="AI22" s="36">
        <v>43064</v>
      </c>
      <c r="AJ22" s="21">
        <f>SUMIF($K$18:$K$66,"25-Nov",$H$18:$H$66)</f>
        <v>0</v>
      </c>
      <c r="AK22" s="21">
        <f t="shared" si="3"/>
        <v>0</v>
      </c>
      <c r="AL22" s="21">
        <f t="shared" si="0"/>
        <v>0</v>
      </c>
      <c r="AM22" s="21">
        <f t="shared" si="4"/>
        <v>0.11650485436893203</v>
      </c>
      <c r="AN22" s="21" t="str">
        <f t="shared" ca="1" si="2"/>
        <v/>
      </c>
    </row>
    <row r="23" spans="2:40" ht="18.649999999999999" customHeight="1" x14ac:dyDescent="0.35">
      <c r="B23" s="7">
        <v>6</v>
      </c>
      <c r="C23" s="15" t="s">
        <v>31</v>
      </c>
      <c r="D23" s="16"/>
      <c r="E23" s="16"/>
      <c r="F23" s="16"/>
      <c r="G23" s="20">
        <v>1</v>
      </c>
      <c r="H23" s="21">
        <f t="shared" si="1"/>
        <v>1.9417475728155338E-2</v>
      </c>
      <c r="I23" s="42">
        <v>1</v>
      </c>
      <c r="J23" s="36">
        <v>43059</v>
      </c>
      <c r="K23" s="36">
        <v>43059</v>
      </c>
      <c r="L23" s="36">
        <v>43059</v>
      </c>
      <c r="M23" s="67"/>
      <c r="N23" s="67"/>
      <c r="O23" s="67"/>
      <c r="P23" s="67"/>
      <c r="Q23" s="162" t="s">
        <v>81</v>
      </c>
      <c r="R23" s="163"/>
      <c r="S23" s="163"/>
      <c r="T23" s="163"/>
      <c r="U23" s="164"/>
      <c r="AI23" s="36">
        <v>43065</v>
      </c>
      <c r="AJ23" s="21">
        <f>SUMIF($K$18:$K$66,"26-Nov",$H$18:$H$66)</f>
        <v>0</v>
      </c>
      <c r="AK23" s="21">
        <f t="shared" si="3"/>
        <v>0</v>
      </c>
      <c r="AL23" s="21">
        <f t="shared" si="0"/>
        <v>0</v>
      </c>
      <c r="AM23" s="21">
        <f t="shared" si="4"/>
        <v>0.11650485436893203</v>
      </c>
      <c r="AN23" s="21" t="str">
        <f t="shared" ca="1" si="2"/>
        <v/>
      </c>
    </row>
    <row r="24" spans="2:40" ht="18" customHeight="1" x14ac:dyDescent="0.35">
      <c r="B24" s="7">
        <v>7</v>
      </c>
      <c r="C24" s="15" t="s">
        <v>65</v>
      </c>
      <c r="D24" s="16"/>
      <c r="E24" s="16"/>
      <c r="F24" s="16"/>
      <c r="G24" s="20">
        <v>1</v>
      </c>
      <c r="H24" s="21">
        <f t="shared" si="1"/>
        <v>1.9417475728155338E-2</v>
      </c>
      <c r="I24" s="42">
        <v>1</v>
      </c>
      <c r="J24" s="36">
        <v>43059</v>
      </c>
      <c r="K24" s="36">
        <v>43059</v>
      </c>
      <c r="L24" s="36">
        <v>43059</v>
      </c>
      <c r="M24" s="67"/>
      <c r="N24" s="67"/>
      <c r="O24" s="67"/>
      <c r="P24" s="67"/>
      <c r="Q24" s="165"/>
      <c r="R24" s="166"/>
      <c r="S24" s="166"/>
      <c r="T24" s="166"/>
      <c r="U24" s="167"/>
      <c r="AI24" s="36">
        <v>43066</v>
      </c>
      <c r="AJ24" s="21">
        <f>SUMIF($K$18:$K$66,"27-Nov",$H$18:$H$66)</f>
        <v>0</v>
      </c>
      <c r="AK24" s="21">
        <f t="shared" si="3"/>
        <v>0</v>
      </c>
      <c r="AL24" s="21">
        <f t="shared" si="0"/>
        <v>0</v>
      </c>
      <c r="AM24" s="21">
        <f t="shared" si="4"/>
        <v>0.11650485436893203</v>
      </c>
      <c r="AN24" s="21" t="str">
        <f t="shared" ca="1" si="2"/>
        <v/>
      </c>
    </row>
    <row r="25" spans="2:40" ht="14.25" customHeight="1" x14ac:dyDescent="0.35">
      <c r="B25" s="7">
        <v>8</v>
      </c>
      <c r="C25" s="15" t="s">
        <v>33</v>
      </c>
      <c r="D25" s="16"/>
      <c r="E25" s="16"/>
      <c r="F25" s="16"/>
      <c r="G25" s="20">
        <v>1</v>
      </c>
      <c r="H25" s="21">
        <f t="shared" si="1"/>
        <v>1.9417475728155338E-2</v>
      </c>
      <c r="I25" s="76">
        <v>1</v>
      </c>
      <c r="J25" s="36">
        <v>43059</v>
      </c>
      <c r="K25" s="36">
        <v>43162</v>
      </c>
      <c r="L25" s="36"/>
      <c r="M25" s="67"/>
      <c r="N25" s="67"/>
      <c r="O25" s="67"/>
      <c r="P25" s="67"/>
      <c r="Q25" s="168"/>
      <c r="R25" s="169"/>
      <c r="S25" s="169"/>
      <c r="T25" s="169"/>
      <c r="U25" s="170"/>
      <c r="AI25" s="36">
        <v>43067</v>
      </c>
      <c r="AJ25" s="21">
        <f>SUMIF($K$18:$K$66,"28-Nov",$H$18:$H$66)</f>
        <v>0</v>
      </c>
      <c r="AK25" s="21">
        <f t="shared" si="3"/>
        <v>0</v>
      </c>
      <c r="AL25" s="21">
        <f t="shared" si="0"/>
        <v>0</v>
      </c>
      <c r="AM25" s="21">
        <f t="shared" si="4"/>
        <v>0.11650485436893203</v>
      </c>
      <c r="AN25" s="21" t="str">
        <f t="shared" ca="1" si="2"/>
        <v/>
      </c>
    </row>
    <row r="26" spans="2:40" ht="15" customHeight="1" x14ac:dyDescent="0.35">
      <c r="B26" s="7">
        <v>9</v>
      </c>
      <c r="C26" s="15" t="s">
        <v>32</v>
      </c>
      <c r="D26" s="16"/>
      <c r="E26" s="16"/>
      <c r="F26" s="16"/>
      <c r="G26" s="20">
        <v>1</v>
      </c>
      <c r="H26" s="21">
        <f t="shared" si="1"/>
        <v>1.9417475728155338E-2</v>
      </c>
      <c r="I26" s="42">
        <v>0</v>
      </c>
      <c r="J26" s="36">
        <v>43082</v>
      </c>
      <c r="K26" s="36">
        <v>43177</v>
      </c>
      <c r="L26" s="36"/>
      <c r="M26" s="67"/>
      <c r="N26" s="67"/>
      <c r="O26" s="67"/>
      <c r="P26" s="68"/>
      <c r="Q26" s="56"/>
      <c r="R26" s="57"/>
      <c r="S26" s="57"/>
      <c r="T26" s="57"/>
      <c r="U26" s="58"/>
      <c r="AI26" s="36">
        <v>43068</v>
      </c>
      <c r="AJ26" s="21">
        <f>SUMIF($K$18:$K$66,"29-Nov",$H$18:$H$66)</f>
        <v>0</v>
      </c>
      <c r="AK26" s="21">
        <f t="shared" si="3"/>
        <v>0</v>
      </c>
      <c r="AL26" s="21">
        <f t="shared" si="0"/>
        <v>0</v>
      </c>
      <c r="AM26" s="21">
        <f t="shared" si="4"/>
        <v>0.11650485436893203</v>
      </c>
      <c r="AN26" s="21" t="str">
        <f t="shared" ca="1" si="2"/>
        <v/>
      </c>
    </row>
    <row r="27" spans="2:40" ht="17.25" customHeight="1" x14ac:dyDescent="0.35">
      <c r="B27" s="7" t="s">
        <v>27</v>
      </c>
      <c r="C27" s="119" t="s">
        <v>35</v>
      </c>
      <c r="D27" s="120"/>
      <c r="E27" s="120"/>
      <c r="F27" s="120"/>
      <c r="G27" s="35"/>
      <c r="H27" s="33">
        <f>SUM(H28:H39)</f>
        <v>0.27184466019417469</v>
      </c>
      <c r="I27" s="33">
        <f>SUMIF(I28:I37,100%,H28:H37)</f>
        <v>0.17475728155339804</v>
      </c>
      <c r="J27" s="37"/>
      <c r="K27" s="38"/>
      <c r="L27" s="38"/>
      <c r="M27" s="67"/>
      <c r="N27" s="67"/>
      <c r="O27" s="67"/>
      <c r="P27" s="68"/>
      <c r="Q27" s="56"/>
      <c r="R27" s="57"/>
      <c r="S27" s="57"/>
      <c r="T27" s="57"/>
      <c r="U27" s="58"/>
      <c r="AI27" s="36">
        <v>43069</v>
      </c>
      <c r="AJ27" s="21">
        <f>SUMIF($K$18:$K$66,"30-Nov",$H$18:$H$66)</f>
        <v>0</v>
      </c>
      <c r="AK27" s="21">
        <f t="shared" si="3"/>
        <v>0</v>
      </c>
      <c r="AL27" s="21">
        <f t="shared" si="0"/>
        <v>0</v>
      </c>
      <c r="AM27" s="21">
        <f t="shared" si="4"/>
        <v>0.11650485436893203</v>
      </c>
      <c r="AN27" s="21" t="str">
        <f t="shared" ca="1" si="2"/>
        <v/>
      </c>
    </row>
    <row r="28" spans="2:40" ht="16.5" customHeight="1" x14ac:dyDescent="0.35">
      <c r="B28" s="7">
        <v>1</v>
      </c>
      <c r="C28" s="14" t="s">
        <v>67</v>
      </c>
      <c r="D28" s="17"/>
      <c r="E28" s="17"/>
      <c r="F28" s="17"/>
      <c r="G28" s="20">
        <v>1</v>
      </c>
      <c r="H28" s="21">
        <f t="shared" ref="H28:H39" si="5">G28/$G$67</f>
        <v>1.9417475728155338E-2</v>
      </c>
      <c r="I28" s="43">
        <v>1</v>
      </c>
      <c r="J28" s="36">
        <v>43077</v>
      </c>
      <c r="K28" s="36">
        <v>43077</v>
      </c>
      <c r="L28" s="36">
        <v>43077</v>
      </c>
      <c r="M28" s="67"/>
      <c r="N28" s="67"/>
      <c r="O28" s="67"/>
      <c r="P28" s="68"/>
      <c r="Q28" s="56"/>
      <c r="R28" s="57"/>
      <c r="S28" s="57"/>
      <c r="T28" s="57"/>
      <c r="U28" s="58"/>
      <c r="AI28" s="36">
        <v>43070</v>
      </c>
      <c r="AJ28" s="21">
        <f>SUMIF($K$18:$K$66,"1-Dec",$H$18:$H$66)</f>
        <v>0</v>
      </c>
      <c r="AK28" s="21">
        <f t="shared" si="3"/>
        <v>0</v>
      </c>
      <c r="AL28" s="21">
        <f t="shared" si="0"/>
        <v>0</v>
      </c>
      <c r="AM28" s="21">
        <f t="shared" si="4"/>
        <v>0.11650485436893203</v>
      </c>
      <c r="AN28" s="21" t="str">
        <f t="shared" ca="1" si="2"/>
        <v/>
      </c>
    </row>
    <row r="29" spans="2:40" ht="14.25" customHeight="1" x14ac:dyDescent="0.35">
      <c r="B29" s="7">
        <v>2</v>
      </c>
      <c r="C29" s="77" t="s">
        <v>91</v>
      </c>
      <c r="D29" s="78"/>
      <c r="E29" s="78"/>
      <c r="F29" s="78"/>
      <c r="G29" s="20">
        <v>1</v>
      </c>
      <c r="H29" s="79">
        <f t="shared" si="5"/>
        <v>1.9417475728155338E-2</v>
      </c>
      <c r="I29" s="80">
        <v>1</v>
      </c>
      <c r="J29" s="36">
        <v>43166</v>
      </c>
      <c r="K29" s="36">
        <v>43167</v>
      </c>
      <c r="L29" s="36"/>
      <c r="M29" s="67"/>
      <c r="N29" s="67"/>
      <c r="O29" s="67"/>
      <c r="P29" s="68"/>
      <c r="Q29" s="56"/>
      <c r="R29" s="57"/>
      <c r="S29" s="57"/>
      <c r="T29" s="57"/>
      <c r="U29" s="58"/>
      <c r="AI29" s="36"/>
      <c r="AJ29" s="21"/>
      <c r="AK29" s="21"/>
      <c r="AL29" s="21"/>
      <c r="AM29" s="21"/>
      <c r="AN29" s="21"/>
    </row>
    <row r="30" spans="2:40" ht="14.25" customHeight="1" x14ac:dyDescent="0.35">
      <c r="B30" s="7">
        <v>3</v>
      </c>
      <c r="C30" s="14" t="s">
        <v>59</v>
      </c>
      <c r="D30" s="17"/>
      <c r="E30" s="17"/>
      <c r="F30" s="17"/>
      <c r="G30" s="20">
        <v>2</v>
      </c>
      <c r="H30" s="21">
        <f t="shared" si="5"/>
        <v>3.8834951456310676E-2</v>
      </c>
      <c r="I30" s="43">
        <v>1</v>
      </c>
      <c r="J30" s="36">
        <v>43080</v>
      </c>
      <c r="K30" s="36">
        <v>43129</v>
      </c>
      <c r="L30" s="36"/>
      <c r="M30" s="67"/>
      <c r="N30" s="67"/>
      <c r="O30" s="67"/>
      <c r="P30" s="68"/>
      <c r="Q30" s="56"/>
      <c r="R30" s="57"/>
      <c r="S30" s="57"/>
      <c r="T30" s="57"/>
      <c r="U30" s="58"/>
      <c r="AI30" s="36">
        <v>43071</v>
      </c>
      <c r="AJ30" s="21">
        <f>SUMIF($K$18:$K$66,"2-Dec",$H$18:$H$66)</f>
        <v>0</v>
      </c>
      <c r="AK30" s="21">
        <f>AJ30+AK28</f>
        <v>0</v>
      </c>
      <c r="AL30" s="21">
        <f>SUMIFS($H$18:$H$66,$I$18:$I$66,"100%",$L$18:$L$66,AI30)</f>
        <v>0</v>
      </c>
      <c r="AM30" s="21">
        <f>AL30+AM28</f>
        <v>0.11650485436893203</v>
      </c>
      <c r="AN30" s="21" t="str">
        <f t="shared" ca="1" si="2"/>
        <v/>
      </c>
    </row>
    <row r="31" spans="2:40" x14ac:dyDescent="0.35">
      <c r="B31" s="7">
        <v>4</v>
      </c>
      <c r="C31" s="14" t="s">
        <v>34</v>
      </c>
      <c r="D31" s="17"/>
      <c r="E31" s="17"/>
      <c r="F31" s="17"/>
      <c r="G31" s="20">
        <v>1</v>
      </c>
      <c r="H31" s="21">
        <f t="shared" si="5"/>
        <v>1.9417475728155338E-2</v>
      </c>
      <c r="I31" s="75">
        <v>0.65</v>
      </c>
      <c r="J31" s="36">
        <v>43082</v>
      </c>
      <c r="K31" s="36">
        <v>43163</v>
      </c>
      <c r="L31" s="36"/>
      <c r="M31" s="67"/>
      <c r="N31" s="67"/>
      <c r="O31" s="67"/>
      <c r="P31" s="68"/>
      <c r="Q31" s="56"/>
      <c r="R31" s="57"/>
      <c r="S31" s="57"/>
      <c r="T31" s="57"/>
      <c r="U31" s="58"/>
      <c r="AI31" s="36">
        <v>43072</v>
      </c>
      <c r="AJ31" s="21">
        <f>SUMIF($K$18:$K$66,"3-Dec",$H$18:$H$66)</f>
        <v>0</v>
      </c>
      <c r="AK31" s="21">
        <f>AJ31+AK30</f>
        <v>0</v>
      </c>
      <c r="AL31" s="21">
        <f>SUMIFS($H$18:$H$66,$I$18:$I$66,"100%",$L$18:$L$66,AI31)</f>
        <v>0</v>
      </c>
      <c r="AM31" s="21">
        <f>AL31+AM30</f>
        <v>0.11650485436893203</v>
      </c>
      <c r="AN31" s="21" t="str">
        <f t="shared" ca="1" si="2"/>
        <v/>
      </c>
    </row>
    <row r="32" spans="2:40" x14ac:dyDescent="0.35">
      <c r="B32" s="7">
        <v>5</v>
      </c>
      <c r="C32" s="14" t="s">
        <v>90</v>
      </c>
      <c r="D32" s="17"/>
      <c r="E32" s="17"/>
      <c r="F32" s="17"/>
      <c r="G32" s="20">
        <v>1</v>
      </c>
      <c r="H32" s="21">
        <f t="shared" si="5"/>
        <v>1.9417475728155338E-2</v>
      </c>
      <c r="I32" s="43">
        <v>0</v>
      </c>
      <c r="J32" s="36">
        <v>43082</v>
      </c>
      <c r="K32" s="36">
        <v>43165</v>
      </c>
      <c r="L32" s="36"/>
      <c r="M32" s="67"/>
      <c r="N32" s="67"/>
      <c r="O32" s="67"/>
      <c r="P32" s="68"/>
      <c r="Q32" s="56"/>
      <c r="R32" s="57"/>
      <c r="S32" s="57"/>
      <c r="T32" s="57"/>
      <c r="U32" s="58"/>
      <c r="AI32" s="36">
        <v>43073</v>
      </c>
      <c r="AJ32" s="21">
        <f>SUMIF($K$18:$K$66,"4-Dec",$H$18:$H$66)</f>
        <v>0</v>
      </c>
      <c r="AK32" s="21">
        <f t="shared" si="3"/>
        <v>0</v>
      </c>
      <c r="AL32" s="21">
        <f>SUMIFS($H$18:$H$66,$I$18:$I$66,"100%",$L$18:$L$66,AI32)</f>
        <v>0</v>
      </c>
      <c r="AM32" s="21">
        <f t="shared" si="4"/>
        <v>0.11650485436893203</v>
      </c>
      <c r="AN32" s="21" t="str">
        <f t="shared" ca="1" si="2"/>
        <v/>
      </c>
    </row>
    <row r="33" spans="2:40" x14ac:dyDescent="0.35">
      <c r="B33" s="7">
        <v>6</v>
      </c>
      <c r="C33" s="81" t="s">
        <v>92</v>
      </c>
      <c r="D33" s="17"/>
      <c r="E33" s="17"/>
      <c r="F33" s="17"/>
      <c r="G33" s="20">
        <v>2</v>
      </c>
      <c r="H33" s="21">
        <f t="shared" si="5"/>
        <v>3.8834951456310676E-2</v>
      </c>
      <c r="I33" s="75">
        <v>1</v>
      </c>
      <c r="J33" s="36">
        <v>43168</v>
      </c>
      <c r="K33" s="36">
        <v>43170</v>
      </c>
      <c r="L33" s="36"/>
      <c r="M33" s="67"/>
      <c r="N33" s="67"/>
      <c r="O33" s="67"/>
      <c r="P33" s="68"/>
      <c r="Q33" s="56"/>
      <c r="R33" s="57"/>
      <c r="S33" s="57"/>
      <c r="T33" s="57"/>
      <c r="U33" s="58"/>
      <c r="AI33" s="36"/>
      <c r="AJ33" s="21"/>
      <c r="AK33" s="21"/>
      <c r="AL33" s="21"/>
      <c r="AM33" s="21"/>
      <c r="AN33" s="21"/>
    </row>
    <row r="34" spans="2:40" x14ac:dyDescent="0.35">
      <c r="B34" s="7">
        <v>7</v>
      </c>
      <c r="C34" s="14" t="s">
        <v>50</v>
      </c>
      <c r="D34" s="17"/>
      <c r="E34" s="17"/>
      <c r="F34" s="17"/>
      <c r="G34" s="20">
        <v>1</v>
      </c>
      <c r="H34" s="21">
        <f t="shared" si="5"/>
        <v>1.9417475728155338E-2</v>
      </c>
      <c r="I34" s="75">
        <v>0.86</v>
      </c>
      <c r="J34" s="36">
        <v>43082</v>
      </c>
      <c r="K34" s="36">
        <v>43162</v>
      </c>
      <c r="L34" s="36"/>
      <c r="M34" s="67"/>
      <c r="N34" s="67"/>
      <c r="O34" s="67"/>
      <c r="P34" s="68"/>
      <c r="Q34" s="56"/>
      <c r="R34" s="57"/>
      <c r="S34" s="57"/>
      <c r="T34" s="57"/>
      <c r="U34" s="58"/>
      <c r="AI34" s="36">
        <v>43074</v>
      </c>
      <c r="AJ34" s="21">
        <f>SUMIF($K$18:$K$66,"5-Dec",$H$18:$H$66)</f>
        <v>0</v>
      </c>
      <c r="AK34" s="21">
        <f>AJ34+AK32</f>
        <v>0</v>
      </c>
      <c r="AL34" s="21">
        <f>SUMIFS($H$18:$H$66,$I$18:$I$66,"100%",$L$18:$L$66,AI34)</f>
        <v>0</v>
      </c>
      <c r="AM34" s="21">
        <f>AL34+AM32</f>
        <v>0.11650485436893203</v>
      </c>
      <c r="AN34" s="21" t="str">
        <f t="shared" ca="1" si="2"/>
        <v/>
      </c>
    </row>
    <row r="35" spans="2:40" x14ac:dyDescent="0.35">
      <c r="B35" s="7">
        <v>8</v>
      </c>
      <c r="C35" s="14" t="s">
        <v>36</v>
      </c>
      <c r="D35" s="17"/>
      <c r="E35" s="17"/>
      <c r="F35" s="17"/>
      <c r="G35" s="20">
        <v>2</v>
      </c>
      <c r="H35" s="21">
        <f t="shared" si="5"/>
        <v>3.8834951456310676E-2</v>
      </c>
      <c r="I35" s="43">
        <v>1</v>
      </c>
      <c r="J35" s="36">
        <v>43079</v>
      </c>
      <c r="K35" s="36">
        <v>43100</v>
      </c>
      <c r="L35" s="36"/>
      <c r="M35" s="67"/>
      <c r="N35" s="67"/>
      <c r="O35" s="67"/>
      <c r="P35" s="68"/>
      <c r="Q35" s="56"/>
      <c r="R35" s="57"/>
      <c r="S35" s="57"/>
      <c r="T35" s="57"/>
      <c r="U35" s="58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36">
        <v>43075</v>
      </c>
      <c r="AJ35" s="21">
        <f>SUMIF($K$18:$K$66,"6-Dec",$H$18:$H$66)</f>
        <v>0</v>
      </c>
      <c r="AK35" s="21">
        <f t="shared" si="3"/>
        <v>0</v>
      </c>
      <c r="AL35" s="21">
        <f>SUMIFS($H$18:$H$66,$I$18:$I$66,"100%",$L$18:$L$66,AI35)</f>
        <v>0</v>
      </c>
      <c r="AM35" s="21">
        <f t="shared" si="4"/>
        <v>0.11650485436893203</v>
      </c>
      <c r="AN35" s="21" t="str">
        <f t="shared" ca="1" si="2"/>
        <v/>
      </c>
    </row>
    <row r="36" spans="2:40" x14ac:dyDescent="0.35">
      <c r="B36" s="7">
        <v>9</v>
      </c>
      <c r="C36" s="14" t="s">
        <v>48</v>
      </c>
      <c r="D36" s="17"/>
      <c r="E36" s="17"/>
      <c r="F36" s="17"/>
      <c r="G36" s="20">
        <v>1</v>
      </c>
      <c r="H36" s="21">
        <f t="shared" si="5"/>
        <v>1.9417475728155338E-2</v>
      </c>
      <c r="I36" s="43">
        <v>1</v>
      </c>
      <c r="J36" s="36">
        <v>43082</v>
      </c>
      <c r="K36" s="36">
        <v>43134</v>
      </c>
      <c r="L36" s="36"/>
      <c r="M36" s="67"/>
      <c r="N36" s="67"/>
      <c r="O36" s="67"/>
      <c r="P36" s="68"/>
      <c r="Q36" s="56"/>
      <c r="R36" s="57"/>
      <c r="S36" s="57"/>
      <c r="T36" s="57"/>
      <c r="U36" s="58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36">
        <v>43076</v>
      </c>
      <c r="AJ36" s="21">
        <f>SUMIF($K$18:$K$66,"7-Dec",$H$18:$H$66)</f>
        <v>0</v>
      </c>
      <c r="AK36" s="21">
        <f t="shared" si="3"/>
        <v>0</v>
      </c>
      <c r="AL36" s="21">
        <f>SUMIFS($H$18:$H$66,$I$18:$I$66,"100%",$L$18:$L$66,AI36)</f>
        <v>0</v>
      </c>
      <c r="AM36" s="21">
        <f t="shared" si="4"/>
        <v>0.11650485436893203</v>
      </c>
      <c r="AN36" s="21" t="str">
        <f t="shared" ca="1" si="2"/>
        <v/>
      </c>
    </row>
    <row r="37" spans="2:40" ht="16.5" customHeight="1" x14ac:dyDescent="0.35">
      <c r="B37" s="7">
        <v>10</v>
      </c>
      <c r="C37" s="26" t="s">
        <v>39</v>
      </c>
      <c r="D37" s="27"/>
      <c r="E37" s="27"/>
      <c r="F37" s="27"/>
      <c r="G37" s="28">
        <v>0.5</v>
      </c>
      <c r="H37" s="29">
        <f t="shared" si="5"/>
        <v>9.7087378640776691E-3</v>
      </c>
      <c r="I37" s="44">
        <v>0</v>
      </c>
      <c r="J37" s="39">
        <v>43083</v>
      </c>
      <c r="K37" s="36">
        <v>43135</v>
      </c>
      <c r="L37" s="39"/>
      <c r="M37" s="67"/>
      <c r="N37" s="67"/>
      <c r="O37" s="67"/>
      <c r="P37" s="68"/>
      <c r="Q37" s="56"/>
      <c r="R37" s="57"/>
      <c r="S37" s="57"/>
      <c r="T37" s="57"/>
      <c r="U37" s="58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36">
        <v>43077</v>
      </c>
      <c r="AJ37" s="21">
        <f>SUMIF($K$18:$K$66,"8-Dec",$H$18:$H$66)</f>
        <v>0</v>
      </c>
      <c r="AK37" s="21">
        <f t="shared" si="3"/>
        <v>0</v>
      </c>
      <c r="AL37" s="21">
        <f>SUMIFS($H$18:$H$66,$I$18:$I$66,"100%",$L$18:$L$66,AI37)</f>
        <v>1.9417475728155338E-2</v>
      </c>
      <c r="AM37" s="21">
        <f t="shared" si="4"/>
        <v>0.13592233009708737</v>
      </c>
      <c r="AN37" s="21" t="str">
        <f t="shared" ca="1" si="2"/>
        <v/>
      </c>
    </row>
    <row r="38" spans="2:40" ht="16.5" customHeight="1" x14ac:dyDescent="0.35">
      <c r="B38" s="7">
        <v>11</v>
      </c>
      <c r="C38" s="82" t="s">
        <v>93</v>
      </c>
      <c r="D38" s="27"/>
      <c r="E38" s="27"/>
      <c r="F38" s="27"/>
      <c r="G38" s="28">
        <v>0.5</v>
      </c>
      <c r="H38" s="29">
        <f t="shared" si="5"/>
        <v>9.7087378640776691E-3</v>
      </c>
      <c r="I38" s="44">
        <v>1</v>
      </c>
      <c r="J38" s="39">
        <v>43160</v>
      </c>
      <c r="K38" s="36">
        <v>43163</v>
      </c>
      <c r="L38" s="39"/>
      <c r="M38" s="67"/>
      <c r="N38" s="67"/>
      <c r="O38" s="67"/>
      <c r="P38" s="68"/>
      <c r="Q38" s="56"/>
      <c r="R38" s="57"/>
      <c r="S38" s="57"/>
      <c r="T38" s="57"/>
      <c r="U38" s="58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36"/>
      <c r="AJ38" s="21"/>
      <c r="AK38" s="21"/>
      <c r="AL38" s="21"/>
      <c r="AM38" s="21"/>
      <c r="AN38" s="21"/>
    </row>
    <row r="39" spans="2:40" ht="16.5" customHeight="1" x14ac:dyDescent="0.35">
      <c r="B39" s="7">
        <v>12</v>
      </c>
      <c r="C39" s="82" t="s">
        <v>94</v>
      </c>
      <c r="D39" s="27"/>
      <c r="E39" s="27"/>
      <c r="F39" s="27"/>
      <c r="G39" s="28">
        <v>1</v>
      </c>
      <c r="H39" s="29">
        <f t="shared" si="5"/>
        <v>1.9417475728155338E-2</v>
      </c>
      <c r="I39" s="44">
        <v>0.25</v>
      </c>
      <c r="J39" s="39">
        <v>43164</v>
      </c>
      <c r="K39" s="36">
        <v>43169</v>
      </c>
      <c r="L39" s="39"/>
      <c r="M39" s="67"/>
      <c r="N39" s="67"/>
      <c r="O39" s="67"/>
      <c r="P39" s="68"/>
      <c r="Q39" s="56"/>
      <c r="R39" s="57"/>
      <c r="S39" s="57"/>
      <c r="T39" s="57"/>
      <c r="U39" s="58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36"/>
      <c r="AJ39" s="21"/>
      <c r="AK39" s="21"/>
      <c r="AL39" s="21"/>
      <c r="AM39" s="21"/>
      <c r="AN39" s="21"/>
    </row>
    <row r="40" spans="2:40" x14ac:dyDescent="0.35">
      <c r="B40" s="47" t="s">
        <v>54</v>
      </c>
      <c r="C40" s="119" t="s">
        <v>37</v>
      </c>
      <c r="D40" s="120"/>
      <c r="E40" s="120"/>
      <c r="F40" s="120"/>
      <c r="G40" s="32"/>
      <c r="H40" s="34">
        <f>SUM(H41:H53)</f>
        <v>0.27184466019417469</v>
      </c>
      <c r="I40" s="34">
        <f>SUMIF(I41:I48,100%,H41:H48)</f>
        <v>0</v>
      </c>
      <c r="J40" s="40"/>
      <c r="K40" s="40"/>
      <c r="L40" s="40"/>
      <c r="M40" s="67"/>
      <c r="N40" s="67"/>
      <c r="O40" s="67"/>
      <c r="P40" s="68"/>
      <c r="Q40" s="56"/>
      <c r="R40" s="57"/>
      <c r="S40" s="57"/>
      <c r="T40" s="57"/>
      <c r="U40" s="58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36">
        <v>43078</v>
      </c>
      <c r="AJ40" s="21">
        <f>SUMIF($K$18:$K$66,"9-Dec",$H$18:$H$66)</f>
        <v>0</v>
      </c>
      <c r="AK40" s="21">
        <f>AJ40+AK37</f>
        <v>0</v>
      </c>
      <c r="AL40" s="21">
        <f t="shared" ref="AL40:AL48" si="6">SUMIFS($H$18:$H$66,$I$18:$I$66,"100%",$L$18:$L$66,AI40)</f>
        <v>0</v>
      </c>
      <c r="AM40" s="21">
        <f>AL40+AM37</f>
        <v>0.13592233009708737</v>
      </c>
      <c r="AN40" s="21" t="str">
        <f t="shared" ca="1" si="2"/>
        <v/>
      </c>
    </row>
    <row r="41" spans="2:40" x14ac:dyDescent="0.35">
      <c r="B41" s="7">
        <v>1</v>
      </c>
      <c r="C41" s="14" t="s">
        <v>68</v>
      </c>
      <c r="D41" s="17"/>
      <c r="E41" s="17"/>
      <c r="F41" s="17"/>
      <c r="G41" s="20">
        <v>1</v>
      </c>
      <c r="H41" s="21">
        <f t="shared" ref="H41:H53" si="7">G41/$G$67</f>
        <v>1.9417475728155338E-2</v>
      </c>
      <c r="I41" s="43">
        <v>0.5</v>
      </c>
      <c r="J41" s="36">
        <v>43081</v>
      </c>
      <c r="K41" s="36">
        <v>43169</v>
      </c>
      <c r="L41" s="36"/>
      <c r="M41" s="67"/>
      <c r="N41" s="67"/>
      <c r="O41" s="67"/>
      <c r="P41" s="68"/>
      <c r="Q41" s="56"/>
      <c r="R41" s="57"/>
      <c r="S41" s="57"/>
      <c r="T41" s="57"/>
      <c r="U41" s="58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36">
        <v>43079</v>
      </c>
      <c r="AJ41" s="21">
        <f>SUMIF($K$18:$K$66,"10-Dec",$H$18:$H$66)</f>
        <v>0</v>
      </c>
      <c r="AK41" s="21">
        <f t="shared" si="3"/>
        <v>0</v>
      </c>
      <c r="AL41" s="21">
        <f t="shared" si="6"/>
        <v>0</v>
      </c>
      <c r="AM41" s="21">
        <f t="shared" si="4"/>
        <v>0.13592233009708737</v>
      </c>
      <c r="AN41" s="21" t="str">
        <f t="shared" ca="1" si="2"/>
        <v/>
      </c>
    </row>
    <row r="42" spans="2:40" x14ac:dyDescent="0.35">
      <c r="B42" s="7">
        <v>2</v>
      </c>
      <c r="C42" s="14" t="s">
        <v>60</v>
      </c>
      <c r="D42" s="17"/>
      <c r="E42" s="17"/>
      <c r="F42" s="17"/>
      <c r="G42" s="20">
        <v>2</v>
      </c>
      <c r="H42" s="21">
        <f t="shared" si="7"/>
        <v>3.8834951456310676E-2</v>
      </c>
      <c r="I42" s="43">
        <v>0.5</v>
      </c>
      <c r="J42" s="36">
        <v>43069</v>
      </c>
      <c r="K42" s="36">
        <v>43171</v>
      </c>
      <c r="L42" s="36"/>
      <c r="M42" s="67"/>
      <c r="N42" s="67"/>
      <c r="O42" s="67"/>
      <c r="P42" s="68"/>
      <c r="Q42" s="56"/>
      <c r="R42" s="57"/>
      <c r="S42" s="57"/>
      <c r="T42" s="57"/>
      <c r="U42" s="58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36">
        <v>43080</v>
      </c>
      <c r="AJ42" s="21">
        <f>SUMIF($K$18:$K$66,"11-Dec",$H$18:$H$66)</f>
        <v>0</v>
      </c>
      <c r="AK42" s="21">
        <f t="shared" si="3"/>
        <v>0</v>
      </c>
      <c r="AL42" s="21">
        <f t="shared" si="6"/>
        <v>0</v>
      </c>
      <c r="AM42" s="21">
        <f t="shared" si="4"/>
        <v>0.13592233009708737</v>
      </c>
      <c r="AN42" s="21" t="str">
        <f t="shared" ca="1" si="2"/>
        <v/>
      </c>
    </row>
    <row r="43" spans="2:40" x14ac:dyDescent="0.35">
      <c r="B43" s="7">
        <v>3</v>
      </c>
      <c r="C43" s="14" t="s">
        <v>44</v>
      </c>
      <c r="D43" s="17"/>
      <c r="E43" s="17"/>
      <c r="F43" s="17"/>
      <c r="G43" s="20">
        <v>1</v>
      </c>
      <c r="H43" s="21">
        <f t="shared" si="7"/>
        <v>1.9417475728155338E-2</v>
      </c>
      <c r="I43" s="43">
        <v>0.46</v>
      </c>
      <c r="J43" s="36">
        <v>43073</v>
      </c>
      <c r="K43" s="36">
        <v>43172</v>
      </c>
      <c r="L43" s="36"/>
      <c r="M43" s="67"/>
      <c r="N43" s="67"/>
      <c r="O43" s="67"/>
      <c r="P43" s="68"/>
      <c r="Q43" s="56"/>
      <c r="R43" s="57"/>
      <c r="S43" s="57"/>
      <c r="T43" s="57"/>
      <c r="U43" s="58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36">
        <v>43081</v>
      </c>
      <c r="AJ43" s="21">
        <f>SUMIF($K$18:$K$66,"12-Dec",$H$18:$H$66)</f>
        <v>0</v>
      </c>
      <c r="AK43" s="21">
        <f>AJ43+AK42</f>
        <v>0</v>
      </c>
      <c r="AL43" s="21">
        <f t="shared" si="6"/>
        <v>0</v>
      </c>
      <c r="AM43" s="21">
        <f>AL43+AM42</f>
        <v>0.13592233009708737</v>
      </c>
      <c r="AN43" s="21" t="str">
        <f t="shared" ca="1" si="2"/>
        <v/>
      </c>
    </row>
    <row r="44" spans="2:40" x14ac:dyDescent="0.35">
      <c r="B44" s="7">
        <v>4</v>
      </c>
      <c r="C44" s="14" t="s">
        <v>45</v>
      </c>
      <c r="D44" s="17"/>
      <c r="E44" s="17"/>
      <c r="F44" s="17"/>
      <c r="G44" s="20">
        <v>1</v>
      </c>
      <c r="H44" s="21">
        <f t="shared" si="7"/>
        <v>1.9417475728155338E-2</v>
      </c>
      <c r="I44" s="43">
        <v>0</v>
      </c>
      <c r="J44" s="36">
        <v>43088</v>
      </c>
      <c r="K44" s="36">
        <v>43173</v>
      </c>
      <c r="L44" s="36"/>
      <c r="M44" s="67"/>
      <c r="N44" s="67"/>
      <c r="O44" s="67"/>
      <c r="P44" s="68"/>
      <c r="Q44" s="56"/>
      <c r="R44" s="57"/>
      <c r="S44" s="57"/>
      <c r="T44" s="57"/>
      <c r="U44" s="58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36">
        <v>43082</v>
      </c>
      <c r="AJ44" s="21">
        <f>SUMIF($K$18:$K$66,"13-Dec",$H$18:$H$66)</f>
        <v>0</v>
      </c>
      <c r="AK44" s="21">
        <f t="shared" si="3"/>
        <v>0</v>
      </c>
      <c r="AL44" s="21">
        <f t="shared" si="6"/>
        <v>0</v>
      </c>
      <c r="AM44" s="21">
        <f t="shared" si="4"/>
        <v>0.13592233009708737</v>
      </c>
      <c r="AN44" s="21" t="str">
        <f t="shared" ca="1" si="2"/>
        <v/>
      </c>
    </row>
    <row r="45" spans="2:40" x14ac:dyDescent="0.35">
      <c r="B45" s="7">
        <v>5</v>
      </c>
      <c r="C45" s="14" t="s">
        <v>51</v>
      </c>
      <c r="D45" s="17"/>
      <c r="E45" s="17"/>
      <c r="F45" s="17"/>
      <c r="G45" s="20">
        <v>1</v>
      </c>
      <c r="H45" s="21">
        <f t="shared" si="7"/>
        <v>1.9417475728155338E-2</v>
      </c>
      <c r="I45" s="43">
        <v>0.5</v>
      </c>
      <c r="J45" s="36">
        <v>43073</v>
      </c>
      <c r="K45" s="36">
        <v>43175</v>
      </c>
      <c r="L45" s="36"/>
      <c r="M45" s="67"/>
      <c r="N45" s="67"/>
      <c r="O45" s="67"/>
      <c r="P45" s="68"/>
      <c r="Q45" s="56"/>
      <c r="R45" s="57"/>
      <c r="S45" s="57"/>
      <c r="T45" s="57"/>
      <c r="U45" s="58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36">
        <v>43083</v>
      </c>
      <c r="AJ45" s="21">
        <f>SUMIF($K$18:$K$66,"14-Dec",$H$18:$H$66)</f>
        <v>0</v>
      </c>
      <c r="AK45" s="21">
        <f t="shared" si="3"/>
        <v>0</v>
      </c>
      <c r="AL45" s="21">
        <f t="shared" si="6"/>
        <v>1.9417475728155338E-2</v>
      </c>
      <c r="AM45" s="21">
        <f t="shared" si="4"/>
        <v>0.1553398058252427</v>
      </c>
      <c r="AN45" s="21" t="str">
        <f t="shared" ca="1" si="2"/>
        <v/>
      </c>
    </row>
    <row r="46" spans="2:40" x14ac:dyDescent="0.35">
      <c r="B46" s="7">
        <v>6</v>
      </c>
      <c r="C46" s="14" t="s">
        <v>38</v>
      </c>
      <c r="D46" s="17"/>
      <c r="E46" s="17"/>
      <c r="F46" s="17"/>
      <c r="G46" s="20">
        <v>1</v>
      </c>
      <c r="H46" s="21">
        <f t="shared" si="7"/>
        <v>1.9417475728155338E-2</v>
      </c>
      <c r="I46" s="43">
        <v>0.5</v>
      </c>
      <c r="J46" s="36">
        <v>43081</v>
      </c>
      <c r="K46" s="36">
        <v>43145</v>
      </c>
      <c r="L46" s="36"/>
      <c r="M46" s="67"/>
      <c r="N46" s="67"/>
      <c r="O46" s="67"/>
      <c r="P46" s="68"/>
      <c r="Q46" s="56"/>
      <c r="R46" s="57"/>
      <c r="S46" s="57"/>
      <c r="T46" s="57"/>
      <c r="U46" s="58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36">
        <v>43084</v>
      </c>
      <c r="AJ46" s="21">
        <f>SUMIF($K$18:$K$66,"15-Dec",$H$18:$H$66)</f>
        <v>0</v>
      </c>
      <c r="AK46" s="21">
        <f t="shared" si="3"/>
        <v>0</v>
      </c>
      <c r="AL46" s="21">
        <f t="shared" si="6"/>
        <v>1.9417475728155338E-2</v>
      </c>
      <c r="AM46" s="21">
        <f t="shared" si="4"/>
        <v>0.17475728155339804</v>
      </c>
      <c r="AN46" s="21" t="str">
        <f t="shared" ca="1" si="2"/>
        <v/>
      </c>
    </row>
    <row r="47" spans="2:40" x14ac:dyDescent="0.35">
      <c r="B47" s="7">
        <v>7</v>
      </c>
      <c r="C47" s="14" t="s">
        <v>47</v>
      </c>
      <c r="D47" s="17"/>
      <c r="E47" s="17"/>
      <c r="F47" s="17"/>
      <c r="G47" s="20">
        <v>1</v>
      </c>
      <c r="H47" s="21">
        <f t="shared" si="7"/>
        <v>1.9417475728155338E-2</v>
      </c>
      <c r="I47" s="43">
        <v>0.4</v>
      </c>
      <c r="J47" s="36">
        <v>43085</v>
      </c>
      <c r="K47" s="36">
        <v>43169</v>
      </c>
      <c r="L47" s="36"/>
      <c r="M47" s="67"/>
      <c r="N47" s="67"/>
      <c r="O47" s="67"/>
      <c r="P47" s="68"/>
      <c r="Q47" s="56"/>
      <c r="R47" s="57"/>
      <c r="S47" s="57"/>
      <c r="T47" s="57"/>
      <c r="U47" s="58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36">
        <v>43085</v>
      </c>
      <c r="AJ47" s="21">
        <f>SUMIF($K$18:$K$66,"16-Dec",$H$18:$H$66)</f>
        <v>0</v>
      </c>
      <c r="AK47" s="21">
        <f t="shared" si="3"/>
        <v>0</v>
      </c>
      <c r="AL47" s="21">
        <f t="shared" si="6"/>
        <v>0</v>
      </c>
      <c r="AM47" s="21">
        <f t="shared" si="4"/>
        <v>0.17475728155339804</v>
      </c>
      <c r="AN47" s="21" t="str">
        <f t="shared" ca="1" si="2"/>
        <v/>
      </c>
    </row>
    <row r="48" spans="2:40" x14ac:dyDescent="0.35">
      <c r="B48" s="7">
        <v>8</v>
      </c>
      <c r="C48" s="26" t="s">
        <v>39</v>
      </c>
      <c r="D48" s="27"/>
      <c r="E48" s="27"/>
      <c r="F48" s="27"/>
      <c r="G48" s="28">
        <v>0.5</v>
      </c>
      <c r="H48" s="29">
        <f t="shared" si="7"/>
        <v>9.7087378640776691E-3</v>
      </c>
      <c r="I48" s="44">
        <v>0</v>
      </c>
      <c r="J48" s="39">
        <v>43089</v>
      </c>
      <c r="K48" s="36">
        <v>43177</v>
      </c>
      <c r="L48" s="36"/>
      <c r="M48" s="67"/>
      <c r="N48" s="67"/>
      <c r="O48" s="67"/>
      <c r="P48" s="68"/>
      <c r="Q48" s="56"/>
      <c r="R48" s="57"/>
      <c r="S48" s="57"/>
      <c r="T48" s="57"/>
      <c r="U48" s="58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36">
        <v>43086</v>
      </c>
      <c r="AJ48" s="21">
        <f>SUMIF($K$18:$K$66,"17-Dec",$H$18:$H$66)</f>
        <v>0</v>
      </c>
      <c r="AK48" s="21">
        <f t="shared" si="3"/>
        <v>0</v>
      </c>
      <c r="AL48" s="21">
        <f t="shared" si="6"/>
        <v>0</v>
      </c>
      <c r="AM48" s="21">
        <f t="shared" si="4"/>
        <v>0.17475728155339804</v>
      </c>
      <c r="AN48" s="21" t="str">
        <f t="shared" ca="1" si="2"/>
        <v/>
      </c>
    </row>
    <row r="49" spans="2:40" x14ac:dyDescent="0.35">
      <c r="B49" s="7">
        <v>9</v>
      </c>
      <c r="C49" s="82" t="s">
        <v>95</v>
      </c>
      <c r="D49" s="78"/>
      <c r="E49" s="78"/>
      <c r="F49" s="78"/>
      <c r="G49" s="28">
        <v>0.5</v>
      </c>
      <c r="H49" s="79">
        <f t="shared" si="7"/>
        <v>9.7087378640776691E-3</v>
      </c>
      <c r="I49" s="80">
        <v>0</v>
      </c>
      <c r="J49" s="36">
        <v>43143</v>
      </c>
      <c r="K49" s="36">
        <v>43162</v>
      </c>
      <c r="L49" s="36"/>
      <c r="M49" s="67"/>
      <c r="N49" s="67"/>
      <c r="O49" s="67"/>
      <c r="P49" s="68"/>
      <c r="Q49" s="56"/>
      <c r="R49" s="57"/>
      <c r="S49" s="57"/>
      <c r="T49" s="57"/>
      <c r="U49" s="58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36"/>
      <c r="AJ49" s="21"/>
      <c r="AK49" s="21"/>
      <c r="AL49" s="21"/>
      <c r="AM49" s="21"/>
      <c r="AN49" s="21"/>
    </row>
    <row r="50" spans="2:40" x14ac:dyDescent="0.35">
      <c r="B50" s="7">
        <v>10</v>
      </c>
      <c r="C50" s="82" t="s">
        <v>96</v>
      </c>
      <c r="D50" s="78"/>
      <c r="E50" s="78"/>
      <c r="F50" s="78"/>
      <c r="G50" s="28">
        <v>1</v>
      </c>
      <c r="H50" s="79">
        <f t="shared" si="7"/>
        <v>1.9417475728155338E-2</v>
      </c>
      <c r="I50" s="80">
        <v>0</v>
      </c>
      <c r="J50" s="36">
        <v>43172</v>
      </c>
      <c r="K50" s="36">
        <v>43173</v>
      </c>
      <c r="L50" s="36"/>
      <c r="M50" s="67"/>
      <c r="N50" s="67"/>
      <c r="O50" s="67"/>
      <c r="P50" s="68"/>
      <c r="Q50" s="56"/>
      <c r="R50" s="57"/>
      <c r="S50" s="57"/>
      <c r="T50" s="57"/>
      <c r="U50" s="58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36"/>
      <c r="AJ50" s="21"/>
      <c r="AK50" s="21"/>
      <c r="AL50" s="21"/>
      <c r="AM50" s="21"/>
      <c r="AN50" s="21"/>
    </row>
    <row r="51" spans="2:40" x14ac:dyDescent="0.35">
      <c r="B51" s="7">
        <v>11</v>
      </c>
      <c r="C51" s="83" t="s">
        <v>92</v>
      </c>
      <c r="D51" s="78"/>
      <c r="E51" s="78"/>
      <c r="F51" s="78"/>
      <c r="G51" s="28">
        <v>2</v>
      </c>
      <c r="H51" s="79">
        <f t="shared" si="7"/>
        <v>3.8834951456310676E-2</v>
      </c>
      <c r="I51" s="80">
        <v>0</v>
      </c>
      <c r="J51" s="36">
        <v>43173</v>
      </c>
      <c r="K51" s="36">
        <v>43176</v>
      </c>
      <c r="L51" s="36"/>
      <c r="M51" s="67"/>
      <c r="N51" s="67"/>
      <c r="O51" s="67"/>
      <c r="P51" s="68"/>
      <c r="Q51" s="56"/>
      <c r="R51" s="57"/>
      <c r="S51" s="57"/>
      <c r="T51" s="57"/>
      <c r="U51" s="58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36"/>
      <c r="AJ51" s="21"/>
      <c r="AK51" s="21"/>
      <c r="AL51" s="21"/>
      <c r="AM51" s="21"/>
      <c r="AN51" s="21"/>
    </row>
    <row r="52" spans="2:40" x14ac:dyDescent="0.35">
      <c r="B52" s="7">
        <v>12</v>
      </c>
      <c r="C52" s="83" t="s">
        <v>97</v>
      </c>
      <c r="D52" s="78"/>
      <c r="E52" s="78"/>
      <c r="F52" s="78"/>
      <c r="G52" s="28">
        <v>1</v>
      </c>
      <c r="H52" s="79">
        <f t="shared" si="7"/>
        <v>1.9417475728155338E-2</v>
      </c>
      <c r="I52" s="80">
        <v>0</v>
      </c>
      <c r="J52" s="36">
        <v>43173</v>
      </c>
      <c r="K52" s="36">
        <v>43176</v>
      </c>
      <c r="L52" s="36"/>
      <c r="M52" s="67"/>
      <c r="N52" s="67"/>
      <c r="O52" s="67"/>
      <c r="P52" s="68"/>
      <c r="Q52" s="56"/>
      <c r="R52" s="57"/>
      <c r="S52" s="57"/>
      <c r="T52" s="57"/>
      <c r="U52" s="58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36"/>
      <c r="AJ52" s="21"/>
      <c r="AK52" s="21"/>
      <c r="AL52" s="21"/>
      <c r="AM52" s="21"/>
      <c r="AN52" s="21"/>
    </row>
    <row r="53" spans="2:40" x14ac:dyDescent="0.35">
      <c r="B53" s="7">
        <v>13</v>
      </c>
      <c r="C53" s="82" t="s">
        <v>98</v>
      </c>
      <c r="D53" s="78"/>
      <c r="E53" s="78"/>
      <c r="F53" s="78"/>
      <c r="G53" s="28">
        <v>1</v>
      </c>
      <c r="H53" s="79">
        <f t="shared" si="7"/>
        <v>1.9417475728155338E-2</v>
      </c>
      <c r="I53" s="80">
        <v>0</v>
      </c>
      <c r="J53" s="36">
        <v>43176</v>
      </c>
      <c r="K53" s="36">
        <v>43179</v>
      </c>
      <c r="L53" s="36"/>
      <c r="M53" s="67"/>
      <c r="N53" s="67"/>
      <c r="O53" s="67"/>
      <c r="P53" s="68"/>
      <c r="Q53" s="56"/>
      <c r="R53" s="57"/>
      <c r="S53" s="57"/>
      <c r="T53" s="57"/>
      <c r="U53" s="58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36"/>
      <c r="AJ53" s="21"/>
      <c r="AK53" s="21"/>
      <c r="AL53" s="21"/>
      <c r="AM53" s="21"/>
      <c r="AN53" s="21"/>
    </row>
    <row r="54" spans="2:40" x14ac:dyDescent="0.35">
      <c r="B54" s="47" t="s">
        <v>55</v>
      </c>
      <c r="C54" s="119" t="s">
        <v>40</v>
      </c>
      <c r="D54" s="120"/>
      <c r="E54" s="120"/>
      <c r="F54" s="120"/>
      <c r="G54" s="32"/>
      <c r="H54" s="34">
        <f>SUM(H55:H63)</f>
        <v>0.20388349514563101</v>
      </c>
      <c r="I54" s="34">
        <f>SUMIF(I55:I63,100%,H55:H63)</f>
        <v>3.8834951456310676E-2</v>
      </c>
      <c r="J54" s="40"/>
      <c r="K54" s="40"/>
      <c r="L54" s="40"/>
      <c r="M54" s="67"/>
      <c r="N54" s="67"/>
      <c r="O54" s="67"/>
      <c r="P54" s="68"/>
      <c r="Q54" s="56"/>
      <c r="R54" s="57"/>
      <c r="S54" s="57"/>
      <c r="T54" s="57"/>
      <c r="U54" s="58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36">
        <v>43087</v>
      </c>
      <c r="AJ54" s="21">
        <f>SUMIF($K$18:$K$66,"18-Dec",$H$18:$H$66)</f>
        <v>0</v>
      </c>
      <c r="AK54" s="21">
        <f>AJ54+AK48</f>
        <v>0</v>
      </c>
      <c r="AL54" s="21">
        <f t="shared" ref="AL54:AL67" si="8">SUMIFS($H$18:$H$66,$I$18:$I$66,"100%",$L$18:$L$66,AI54)</f>
        <v>0</v>
      </c>
      <c r="AM54" s="21">
        <f>AL54+AM48</f>
        <v>0.17475728155339804</v>
      </c>
      <c r="AN54" s="21" t="str">
        <f t="shared" ca="1" si="2"/>
        <v/>
      </c>
    </row>
    <row r="55" spans="2:40" x14ac:dyDescent="0.35">
      <c r="B55" s="7">
        <v>1</v>
      </c>
      <c r="C55" s="18" t="s">
        <v>99</v>
      </c>
      <c r="D55" s="19"/>
      <c r="E55" s="19"/>
      <c r="F55" s="19"/>
      <c r="G55" s="20">
        <v>2</v>
      </c>
      <c r="H55" s="21">
        <f t="shared" ref="H55:H63" si="9">G55/$G$67</f>
        <v>3.8834951456310676E-2</v>
      </c>
      <c r="I55" s="43">
        <v>0</v>
      </c>
      <c r="J55" s="36">
        <v>43081</v>
      </c>
      <c r="K55" s="36">
        <v>43166</v>
      </c>
      <c r="L55" s="36"/>
      <c r="M55" s="67"/>
      <c r="N55" s="67"/>
      <c r="O55" s="67"/>
      <c r="P55" s="68"/>
      <c r="Q55" s="56"/>
      <c r="R55" s="57"/>
      <c r="S55" s="57"/>
      <c r="T55" s="57"/>
      <c r="U55" s="58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36">
        <v>43088</v>
      </c>
      <c r="AJ55" s="21">
        <f>SUMIF($K$18:$K$66,"19-Dec",$H$18:$H$66)</f>
        <v>0</v>
      </c>
      <c r="AK55" s="21">
        <f t="shared" si="3"/>
        <v>0</v>
      </c>
      <c r="AL55" s="21">
        <f t="shared" si="8"/>
        <v>0</v>
      </c>
      <c r="AM55" s="21">
        <f t="shared" si="4"/>
        <v>0.17475728155339804</v>
      </c>
      <c r="AN55" s="21" t="str">
        <f t="shared" ca="1" si="2"/>
        <v/>
      </c>
    </row>
    <row r="56" spans="2:40" x14ac:dyDescent="0.35">
      <c r="B56" s="7">
        <v>2</v>
      </c>
      <c r="C56" s="18" t="s">
        <v>41</v>
      </c>
      <c r="D56" s="19"/>
      <c r="E56" s="19"/>
      <c r="F56" s="19"/>
      <c r="G56" s="20">
        <v>2</v>
      </c>
      <c r="H56" s="21">
        <f t="shared" si="9"/>
        <v>3.8834951456310676E-2</v>
      </c>
      <c r="I56" s="43">
        <v>0.95</v>
      </c>
      <c r="J56" s="36">
        <v>43082</v>
      </c>
      <c r="K56" s="36">
        <v>43165</v>
      </c>
      <c r="L56" s="36"/>
      <c r="M56" s="67"/>
      <c r="N56" s="67"/>
      <c r="O56" s="67"/>
      <c r="P56" s="68"/>
      <c r="Q56" s="56"/>
      <c r="R56" s="57"/>
      <c r="S56" s="57"/>
      <c r="T56" s="57"/>
      <c r="U56" s="58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36">
        <v>43089</v>
      </c>
      <c r="AJ56" s="21">
        <f>SUMIF($K$18:$K$66,"20-Dec",$H$18:$H$66)</f>
        <v>0</v>
      </c>
      <c r="AK56" s="21">
        <f t="shared" si="3"/>
        <v>0</v>
      </c>
      <c r="AL56" s="21">
        <f t="shared" si="8"/>
        <v>0</v>
      </c>
      <c r="AM56" s="21">
        <f t="shared" si="4"/>
        <v>0.17475728155339804</v>
      </c>
      <c r="AN56" s="21" t="str">
        <f t="shared" ca="1" si="2"/>
        <v/>
      </c>
    </row>
    <row r="57" spans="2:40" x14ac:dyDescent="0.35">
      <c r="B57" s="7">
        <v>3</v>
      </c>
      <c r="C57" s="18" t="s">
        <v>42</v>
      </c>
      <c r="D57" s="19"/>
      <c r="E57" s="19"/>
      <c r="F57" s="19"/>
      <c r="G57" s="20">
        <v>1</v>
      </c>
      <c r="H57" s="21">
        <f t="shared" si="9"/>
        <v>1.9417475728155338E-2</v>
      </c>
      <c r="I57" s="43">
        <v>0.43</v>
      </c>
      <c r="J57" s="36">
        <v>43082</v>
      </c>
      <c r="K57" s="36">
        <v>43169</v>
      </c>
      <c r="L57" s="36"/>
      <c r="M57" s="67"/>
      <c r="N57" s="67"/>
      <c r="O57" s="67"/>
      <c r="P57" s="68"/>
      <c r="Q57" s="56"/>
      <c r="R57" s="57"/>
      <c r="S57" s="57"/>
      <c r="T57" s="57"/>
      <c r="U57" s="58"/>
      <c r="V57" s="10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36">
        <v>43090</v>
      </c>
      <c r="AJ57" s="21">
        <f>SUMIF($K$18:$K$66,"21-Dec",$H$18:$H$66)</f>
        <v>0</v>
      </c>
      <c r="AK57" s="21">
        <f t="shared" si="3"/>
        <v>0</v>
      </c>
      <c r="AL57" s="21">
        <f t="shared" si="8"/>
        <v>0</v>
      </c>
      <c r="AM57" s="21">
        <f ca="1">IF(AI57&gt;TODAY(),#N/A,AL57+AM56)</f>
        <v>0.17475728155339804</v>
      </c>
      <c r="AN57" s="21" t="str">
        <f t="shared" ca="1" si="2"/>
        <v/>
      </c>
    </row>
    <row r="58" spans="2:40" x14ac:dyDescent="0.35">
      <c r="B58" s="7">
        <v>4</v>
      </c>
      <c r="C58" s="18" t="s">
        <v>100</v>
      </c>
      <c r="D58" s="19"/>
      <c r="E58" s="19"/>
      <c r="F58" s="19"/>
      <c r="G58" s="20">
        <v>1</v>
      </c>
      <c r="H58" s="21">
        <f t="shared" si="9"/>
        <v>1.9417475728155338E-2</v>
      </c>
      <c r="I58" s="43">
        <v>1</v>
      </c>
      <c r="J58" s="36">
        <v>43077</v>
      </c>
      <c r="K58" s="36">
        <v>43084</v>
      </c>
      <c r="L58" s="36">
        <v>43084</v>
      </c>
      <c r="M58" s="67"/>
      <c r="N58" s="67"/>
      <c r="O58" s="67"/>
      <c r="P58" s="68"/>
      <c r="Q58" s="56"/>
      <c r="R58" s="57"/>
      <c r="S58" s="57"/>
      <c r="T58" s="57"/>
      <c r="U58" s="58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36">
        <v>43091</v>
      </c>
      <c r="AJ58" s="21">
        <f>SUMIF($K$18:$K$66,"22-Dec",$H$18:$H$66)</f>
        <v>0</v>
      </c>
      <c r="AK58" s="21">
        <f>AJ58+AK57</f>
        <v>0</v>
      </c>
      <c r="AL58" s="21">
        <f t="shared" si="8"/>
        <v>0</v>
      </c>
      <c r="AM58" s="21">
        <f ca="1">IF(AI58&gt;TODAY(),#N/A,AL58+AM57)</f>
        <v>0.17475728155339804</v>
      </c>
      <c r="AN58" s="21" t="str">
        <f t="shared" ca="1" si="2"/>
        <v/>
      </c>
    </row>
    <row r="59" spans="2:40" ht="15" customHeight="1" x14ac:dyDescent="0.35">
      <c r="B59" s="7">
        <v>5</v>
      </c>
      <c r="C59" s="18" t="s">
        <v>61</v>
      </c>
      <c r="D59" s="19"/>
      <c r="E59" s="19"/>
      <c r="F59" s="19"/>
      <c r="G59" s="20">
        <v>1</v>
      </c>
      <c r="H59" s="21">
        <f t="shared" si="9"/>
        <v>1.9417475728155338E-2</v>
      </c>
      <c r="I59" s="43">
        <v>1</v>
      </c>
      <c r="J59" s="36">
        <v>43073</v>
      </c>
      <c r="K59" s="36">
        <v>43145</v>
      </c>
      <c r="L59" s="36"/>
      <c r="M59" s="67"/>
      <c r="N59" s="67"/>
      <c r="O59" s="67"/>
      <c r="P59" s="68"/>
      <c r="Q59" s="56"/>
      <c r="R59" s="57"/>
      <c r="S59" s="57"/>
      <c r="T59" s="57"/>
      <c r="U59" s="58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36">
        <v>43092</v>
      </c>
      <c r="AJ59" s="21">
        <f>SUMIF($K$18:$K$66,"23-Dec",$H$18:$H$66)</f>
        <v>0</v>
      </c>
      <c r="AK59" s="21">
        <f t="shared" si="3"/>
        <v>0</v>
      </c>
      <c r="AL59" s="21">
        <f t="shared" si="8"/>
        <v>0</v>
      </c>
      <c r="AM59" s="21">
        <f t="shared" ref="AM59:AM67" ca="1" si="10">IF(AI59&gt;TODAY(),#N/A,AL59+AM58)</f>
        <v>0.17475728155339804</v>
      </c>
      <c r="AN59" s="21" t="str">
        <f t="shared" ca="1" si="2"/>
        <v/>
      </c>
    </row>
    <row r="60" spans="2:40" x14ac:dyDescent="0.35">
      <c r="B60" s="7">
        <v>6</v>
      </c>
      <c r="C60" s="18" t="s">
        <v>52</v>
      </c>
      <c r="D60" s="19"/>
      <c r="E60" s="19"/>
      <c r="F60" s="19"/>
      <c r="G60" s="20">
        <v>1</v>
      </c>
      <c r="H60" s="21">
        <f t="shared" si="9"/>
        <v>1.9417475728155338E-2</v>
      </c>
      <c r="I60" s="43">
        <v>0.51</v>
      </c>
      <c r="J60" s="36">
        <v>43080</v>
      </c>
      <c r="K60" s="36">
        <v>43172</v>
      </c>
      <c r="L60" s="36"/>
      <c r="M60" s="67"/>
      <c r="N60" s="67"/>
      <c r="O60" s="67"/>
      <c r="P60" s="68"/>
      <c r="Q60" s="56"/>
      <c r="R60" s="57"/>
      <c r="S60" s="57"/>
      <c r="T60" s="57"/>
      <c r="U60" s="58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36">
        <v>43093</v>
      </c>
      <c r="AJ60" s="21">
        <f>SUMIF($K$18:$K$66,"24-Dec",$H$18:$H$66)</f>
        <v>0</v>
      </c>
      <c r="AK60" s="21">
        <f t="shared" si="3"/>
        <v>0</v>
      </c>
      <c r="AL60" s="21">
        <f t="shared" si="8"/>
        <v>0</v>
      </c>
      <c r="AM60" s="21">
        <f t="shared" ca="1" si="10"/>
        <v>0.17475728155339804</v>
      </c>
      <c r="AN60" s="21" t="str">
        <f t="shared" ca="1" si="2"/>
        <v/>
      </c>
    </row>
    <row r="61" spans="2:40" x14ac:dyDescent="0.35">
      <c r="B61" s="7">
        <v>7</v>
      </c>
      <c r="C61" s="18" t="s">
        <v>53</v>
      </c>
      <c r="D61" s="19"/>
      <c r="E61" s="19"/>
      <c r="F61" s="19"/>
      <c r="G61" s="20">
        <v>1</v>
      </c>
      <c r="H61" s="21">
        <f t="shared" si="9"/>
        <v>1.9417475728155338E-2</v>
      </c>
      <c r="I61" s="43">
        <v>0</v>
      </c>
      <c r="J61" s="36">
        <v>43087</v>
      </c>
      <c r="K61" s="36">
        <v>43174</v>
      </c>
      <c r="L61" s="36"/>
      <c r="M61" s="67"/>
      <c r="N61" s="67"/>
      <c r="O61" s="67"/>
      <c r="P61" s="68"/>
      <c r="Q61" s="56"/>
      <c r="R61" s="57"/>
      <c r="S61" s="57"/>
      <c r="T61" s="57"/>
      <c r="U61" s="58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36">
        <v>43094</v>
      </c>
      <c r="AJ61" s="21">
        <f>SUMIF($K$18:$K$66,"25-Dec",$H$18:$H$66)</f>
        <v>0</v>
      </c>
      <c r="AK61" s="21">
        <f>AJ61+AK60</f>
        <v>0</v>
      </c>
      <c r="AL61" s="21">
        <f t="shared" si="8"/>
        <v>0</v>
      </c>
      <c r="AM61" s="21">
        <f t="shared" ca="1" si="10"/>
        <v>0.17475728155339804</v>
      </c>
      <c r="AN61" s="21" t="str">
        <f t="shared" ca="1" si="2"/>
        <v/>
      </c>
    </row>
    <row r="62" spans="2:40" x14ac:dyDescent="0.35">
      <c r="B62" s="7">
        <v>8</v>
      </c>
      <c r="C62" s="18" t="s">
        <v>46</v>
      </c>
      <c r="D62" s="19"/>
      <c r="E62" s="19"/>
      <c r="F62" s="19"/>
      <c r="G62" s="20">
        <v>1</v>
      </c>
      <c r="H62" s="21">
        <f t="shared" si="9"/>
        <v>1.9417475728155338E-2</v>
      </c>
      <c r="I62" s="43">
        <v>0.25</v>
      </c>
      <c r="J62" s="36">
        <v>43085</v>
      </c>
      <c r="K62" s="36">
        <v>43175</v>
      </c>
      <c r="L62" s="36"/>
      <c r="M62" s="67"/>
      <c r="N62" s="67"/>
      <c r="O62" s="67"/>
      <c r="P62" s="68"/>
      <c r="Q62" s="56"/>
      <c r="R62" s="57"/>
      <c r="S62" s="57"/>
      <c r="T62" s="57"/>
      <c r="U62" s="58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36">
        <v>43095</v>
      </c>
      <c r="AJ62" s="21">
        <f>SUMIF($K$18:$K$66,"26-Dec",$H$18:$H$66)</f>
        <v>0</v>
      </c>
      <c r="AK62" s="21">
        <f t="shared" ref="AK62:AK67" si="11">AJ62+AK61</f>
        <v>0</v>
      </c>
      <c r="AL62" s="21">
        <f t="shared" si="8"/>
        <v>0</v>
      </c>
      <c r="AM62" s="21">
        <f t="shared" ca="1" si="10"/>
        <v>0.17475728155339804</v>
      </c>
      <c r="AN62" s="21" t="str">
        <f t="shared" ca="1" si="2"/>
        <v/>
      </c>
    </row>
    <row r="63" spans="2:40" x14ac:dyDescent="0.35">
      <c r="B63" s="7">
        <v>9</v>
      </c>
      <c r="C63" s="30" t="s">
        <v>43</v>
      </c>
      <c r="D63" s="31"/>
      <c r="E63" s="31"/>
      <c r="F63" s="31"/>
      <c r="G63" s="28">
        <v>0.5</v>
      </c>
      <c r="H63" s="29">
        <f t="shared" si="9"/>
        <v>9.7087378640776691E-3</v>
      </c>
      <c r="I63" s="44">
        <v>0</v>
      </c>
      <c r="J63" s="39">
        <v>43089</v>
      </c>
      <c r="K63" s="36">
        <v>43177</v>
      </c>
      <c r="L63" s="39"/>
      <c r="M63" s="67"/>
      <c r="N63" s="67"/>
      <c r="O63" s="67"/>
      <c r="P63" s="68"/>
      <c r="Q63" s="56"/>
      <c r="R63" s="57"/>
      <c r="S63" s="57"/>
      <c r="T63" s="57"/>
      <c r="U63" s="58"/>
      <c r="V63" s="11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36">
        <v>43096</v>
      </c>
      <c r="AJ63" s="21">
        <f>SUMIF($K$18:$K$66,"27-Dec",$H$18:$H$66)</f>
        <v>0</v>
      </c>
      <c r="AK63" s="21">
        <f t="shared" si="11"/>
        <v>0</v>
      </c>
      <c r="AL63" s="21">
        <f t="shared" si="8"/>
        <v>0</v>
      </c>
      <c r="AM63" s="21">
        <f t="shared" ca="1" si="10"/>
        <v>0.17475728155339804</v>
      </c>
      <c r="AN63" s="21" t="str">
        <f t="shared" ca="1" si="2"/>
        <v/>
      </c>
    </row>
    <row r="64" spans="2:40" x14ac:dyDescent="0.35">
      <c r="B64" s="47" t="s">
        <v>58</v>
      </c>
      <c r="C64" s="119" t="s">
        <v>56</v>
      </c>
      <c r="D64" s="120"/>
      <c r="E64" s="120"/>
      <c r="F64" s="120"/>
      <c r="G64" s="32"/>
      <c r="H64" s="34">
        <f>SUM(H65:H66)</f>
        <v>7.7669902912621352E-2</v>
      </c>
      <c r="I64" s="34">
        <f>SUMIF(I65:I66,100%,H65:H66)</f>
        <v>0</v>
      </c>
      <c r="J64" s="40"/>
      <c r="K64" s="40"/>
      <c r="L64" s="40"/>
      <c r="M64" s="67"/>
      <c r="N64" s="67"/>
      <c r="O64" s="67"/>
      <c r="P64" s="68"/>
      <c r="Q64" s="56"/>
      <c r="R64" s="57"/>
      <c r="S64" s="57"/>
      <c r="T64" s="57"/>
      <c r="U64" s="58"/>
      <c r="V64" s="11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36">
        <v>43097</v>
      </c>
      <c r="AJ64" s="21">
        <f>SUMIF($K$18:$K$66,"28-Dec",$H$18:$H$66)</f>
        <v>0</v>
      </c>
      <c r="AK64" s="21">
        <f t="shared" si="11"/>
        <v>0</v>
      </c>
      <c r="AL64" s="21">
        <f t="shared" si="8"/>
        <v>0</v>
      </c>
      <c r="AM64" s="21">
        <f t="shared" ca="1" si="10"/>
        <v>0.17475728155339804</v>
      </c>
      <c r="AN64" s="21" t="str">
        <f t="shared" ca="1" si="2"/>
        <v/>
      </c>
    </row>
    <row r="65" spans="2:40" x14ac:dyDescent="0.35">
      <c r="B65" s="7">
        <v>1</v>
      </c>
      <c r="C65" s="18" t="s">
        <v>57</v>
      </c>
      <c r="D65" s="19"/>
      <c r="E65" s="19"/>
      <c r="F65" s="19"/>
      <c r="G65" s="20">
        <v>2</v>
      </c>
      <c r="H65" s="21">
        <f>G65/$G$67</f>
        <v>3.8834951456310676E-2</v>
      </c>
      <c r="I65" s="43">
        <v>0</v>
      </c>
      <c r="J65" s="36">
        <v>43094</v>
      </c>
      <c r="K65" s="36">
        <v>43182</v>
      </c>
      <c r="L65" s="36"/>
      <c r="M65" s="67"/>
      <c r="N65" s="67"/>
      <c r="O65" s="67"/>
      <c r="P65" s="68"/>
      <c r="Q65" s="56"/>
      <c r="R65" s="57"/>
      <c r="S65" s="57"/>
      <c r="T65" s="57"/>
      <c r="U65" s="58"/>
      <c r="V65" s="11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36">
        <v>43098</v>
      </c>
      <c r="AJ65" s="21">
        <f>SUMIF($K$18:$K$66,"29-Dec",$H$18:$H$66)</f>
        <v>0</v>
      </c>
      <c r="AK65" s="21">
        <f t="shared" si="11"/>
        <v>0</v>
      </c>
      <c r="AL65" s="21">
        <f t="shared" si="8"/>
        <v>0</v>
      </c>
      <c r="AM65" s="21">
        <f t="shared" ca="1" si="10"/>
        <v>0.17475728155339804</v>
      </c>
      <c r="AN65" s="21" t="str">
        <f t="shared" ca="1" si="2"/>
        <v/>
      </c>
    </row>
    <row r="66" spans="2:40" x14ac:dyDescent="0.35">
      <c r="B66" s="7">
        <v>2</v>
      </c>
      <c r="C66" s="30" t="s">
        <v>70</v>
      </c>
      <c r="D66" s="31"/>
      <c r="E66" s="31"/>
      <c r="F66" s="31"/>
      <c r="G66" s="28">
        <v>2</v>
      </c>
      <c r="H66" s="29">
        <f>G66/$G$67</f>
        <v>3.8834951456310676E-2</v>
      </c>
      <c r="I66" s="44">
        <v>0</v>
      </c>
      <c r="J66" s="39">
        <v>43094</v>
      </c>
      <c r="K66" s="36">
        <v>43182</v>
      </c>
      <c r="L66" s="39"/>
      <c r="M66" s="69"/>
      <c r="N66" s="69"/>
      <c r="O66" s="69"/>
      <c r="P66" s="70"/>
      <c r="Q66" s="56"/>
      <c r="R66" s="57"/>
      <c r="S66" s="57"/>
      <c r="T66" s="57"/>
      <c r="U66" s="58"/>
      <c r="V66" s="11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36">
        <v>43099</v>
      </c>
      <c r="AJ66" s="21">
        <f>SUMIF($K$18:$K$66,"30-Dec",$H$18:$H$66)</f>
        <v>0</v>
      </c>
      <c r="AK66" s="21">
        <f t="shared" si="11"/>
        <v>0</v>
      </c>
      <c r="AL66" s="21">
        <f t="shared" si="8"/>
        <v>0</v>
      </c>
      <c r="AM66" s="21">
        <f t="shared" ca="1" si="10"/>
        <v>0.17475728155339804</v>
      </c>
      <c r="AN66" s="21" t="str">
        <f t="shared" ca="1" si="2"/>
        <v/>
      </c>
    </row>
    <row r="67" spans="2:40" ht="15" thickBot="1" x14ac:dyDescent="0.4">
      <c r="B67" s="8"/>
      <c r="C67" s="158" t="s">
        <v>23</v>
      </c>
      <c r="D67" s="158"/>
      <c r="E67" s="158"/>
      <c r="F67" s="158"/>
      <c r="G67" s="48">
        <f>SUM(G18:G66)</f>
        <v>51.5</v>
      </c>
      <c r="H67" s="49">
        <f>SUM(H64,H54,H40,H27,H17)</f>
        <v>0.99999999999999978</v>
      </c>
      <c r="I67" s="49">
        <f>SUM(I64,I54,I40,I27,I17)</f>
        <v>0.3689320388349514</v>
      </c>
      <c r="J67" s="159"/>
      <c r="K67" s="159"/>
      <c r="L67" s="160"/>
      <c r="M67" s="161"/>
      <c r="N67" s="161"/>
      <c r="O67" s="161"/>
      <c r="P67" s="161"/>
      <c r="Q67" s="59"/>
      <c r="R67" s="60"/>
      <c r="S67" s="60"/>
      <c r="T67" s="60"/>
      <c r="U67" s="61"/>
      <c r="V67" s="11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36">
        <v>43100</v>
      </c>
      <c r="AJ67" s="21">
        <f>SUMIF($K$18:$K$66,"31-Dec",$H$18:$H$66)</f>
        <v>0</v>
      </c>
      <c r="AK67" s="21">
        <f t="shared" si="11"/>
        <v>0</v>
      </c>
      <c r="AL67" s="21">
        <f t="shared" si="8"/>
        <v>0</v>
      </c>
      <c r="AM67" s="21">
        <f t="shared" ca="1" si="10"/>
        <v>0.17475728155339804</v>
      </c>
      <c r="AN67" s="21" t="str">
        <f t="shared" ca="1" si="2"/>
        <v/>
      </c>
    </row>
    <row r="68" spans="2:40" x14ac:dyDescent="0.35">
      <c r="C68" s="4"/>
      <c r="D68" s="4"/>
      <c r="E68" s="4"/>
      <c r="F68" s="4"/>
      <c r="G68" s="4"/>
      <c r="H68" s="4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</row>
    <row r="71" spans="2:40" x14ac:dyDescent="0.35">
      <c r="S71" s="64"/>
    </row>
  </sheetData>
  <sheetProtection algorithmName="SHA-512" hashValue="otXoUolZLeywAess/T8hMHJFezXjjh1Xm0hgTOR8jV35BKh6jEvjVJxGr1TAu62vUnHY+JRffM9BUUNqHDGg6w==" saltValue="puAn5rB4yFl2iZpuAQQ7vQ==" spinCount="100000" sheet="1" objects="1" scenarios="1"/>
  <sortState ref="AI17:AI61">
    <sortCondition ref="AI17:AI61"/>
  </sortState>
  <mergeCells count="60">
    <mergeCell ref="C67:F67"/>
    <mergeCell ref="J67:K67"/>
    <mergeCell ref="L67:P67"/>
    <mergeCell ref="Q23:U25"/>
    <mergeCell ref="C16:F16"/>
    <mergeCell ref="J16:K16"/>
    <mergeCell ref="R16:U16"/>
    <mergeCell ref="C54:F54"/>
    <mergeCell ref="C17:F17"/>
    <mergeCell ref="C40:F40"/>
    <mergeCell ref="R20:U20"/>
    <mergeCell ref="R21:U21"/>
    <mergeCell ref="R18:U18"/>
    <mergeCell ref="R17:U17"/>
    <mergeCell ref="R22:U22"/>
    <mergeCell ref="C64:F64"/>
    <mergeCell ref="I14:J14"/>
    <mergeCell ref="K14:M14"/>
    <mergeCell ref="C15:O15"/>
    <mergeCell ref="P15:U15"/>
    <mergeCell ref="N14:U14"/>
    <mergeCell ref="C14:H14"/>
    <mergeCell ref="I10:J10"/>
    <mergeCell ref="D2:J2"/>
    <mergeCell ref="C27:F27"/>
    <mergeCell ref="K2:M2"/>
    <mergeCell ref="N2:T2"/>
    <mergeCell ref="C4:H4"/>
    <mergeCell ref="I4:M4"/>
    <mergeCell ref="N4:U4"/>
    <mergeCell ref="D3:E3"/>
    <mergeCell ref="G3:H3"/>
    <mergeCell ref="I3:J3"/>
    <mergeCell ref="K3:O3"/>
    <mergeCell ref="P3:Q3"/>
    <mergeCell ref="R3:U3"/>
    <mergeCell ref="I13:J13"/>
    <mergeCell ref="K13:M13"/>
    <mergeCell ref="K11:M11"/>
    <mergeCell ref="N13:U13"/>
    <mergeCell ref="N6:U10"/>
    <mergeCell ref="K8:M8"/>
    <mergeCell ref="K9:M9"/>
    <mergeCell ref="K10:M10"/>
    <mergeCell ref="R19:U19"/>
    <mergeCell ref="I5:J5"/>
    <mergeCell ref="N5:U5"/>
    <mergeCell ref="C5:H8"/>
    <mergeCell ref="I8:J8"/>
    <mergeCell ref="I9:J9"/>
    <mergeCell ref="I6:J6"/>
    <mergeCell ref="I7:J7"/>
    <mergeCell ref="G13:H13"/>
    <mergeCell ref="C13:E13"/>
    <mergeCell ref="C9:H12"/>
    <mergeCell ref="N11:U11"/>
    <mergeCell ref="N12:U12"/>
    <mergeCell ref="I12:J12"/>
    <mergeCell ref="K12:M12"/>
    <mergeCell ref="I11:J11"/>
  </mergeCells>
  <conditionalFormatting sqref="R22:U22">
    <cfRule type="expression" dxfId="2" priority="1">
      <formula>$R$22=$R$21</formula>
    </cfRule>
    <cfRule type="expression" dxfId="1" priority="2">
      <formula>$R$22&lt;$R$21</formula>
    </cfRule>
    <cfRule type="expression" dxfId="0" priority="3">
      <formula>$R$22&gt;$R$21</formula>
    </cfRule>
  </conditionalFormatting>
  <hyperlinks>
    <hyperlink ref="Q23:U25" location="'S-Curve'!A1" display="View S Curve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2:W3"/>
  <sheetViews>
    <sheetView showGridLines="0" topLeftCell="A23" workbookViewId="0">
      <selection activeCell="Q2" sqref="Q2"/>
    </sheetView>
  </sheetViews>
  <sheetFormatPr defaultColWidth="8.7265625" defaultRowHeight="14.5" x14ac:dyDescent="0.35"/>
  <cols>
    <col min="1" max="16384" width="8.7265625" style="50"/>
  </cols>
  <sheetData>
    <row r="2" spans="20:23" x14ac:dyDescent="0.35">
      <c r="T2" s="181" t="s">
        <v>83</v>
      </c>
      <c r="U2" s="181"/>
      <c r="V2" s="181"/>
      <c r="W2" s="181"/>
    </row>
    <row r="3" spans="20:23" x14ac:dyDescent="0.35">
      <c r="T3" s="181"/>
      <c r="U3" s="181"/>
      <c r="V3" s="181"/>
      <c r="W3" s="181"/>
    </row>
  </sheetData>
  <mergeCells count="1">
    <mergeCell ref="T2:W3"/>
  </mergeCells>
  <hyperlinks>
    <hyperlink ref="T2:W3" location="Project!A1" display="View Report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</vt:lpstr>
      <vt:lpstr>S-Curve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Egunatum, Uche SPDC-PTP/O/NA</dc:creator>
  <cp:lastModifiedBy>Salisu, Hassan S SPDC-UPO/G/PLI</cp:lastModifiedBy>
  <cp:lastPrinted>2017-12-20T09:58:24Z</cp:lastPrinted>
  <dcterms:created xsi:type="dcterms:W3CDTF">2017-09-08T07:21:28Z</dcterms:created>
  <dcterms:modified xsi:type="dcterms:W3CDTF">2018-03-08T13:03:46Z</dcterms:modified>
</cp:coreProperties>
</file>