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wart.Dunbar\Desktop\"/>
    </mc:Choice>
  </mc:AlternateContent>
  <xr:revisionPtr revIDLastSave="0" documentId="10_ncr:100000_{9809AA6E-696B-492C-BBCD-E136F80C0E5D}" xr6:coauthVersionLast="31" xr6:coauthVersionMax="31" xr10:uidLastSave="{00000000-0000-0000-0000-000000000000}"/>
  <bookViews>
    <workbookView xWindow="0" yWindow="0" windowWidth="20880" windowHeight="11175" activeTab="2" xr2:uid="{DDA0BAB4-73F3-441E-82D9-D208431612A0}"/>
  </bookViews>
  <sheets>
    <sheet name="Re-Use" sheetId="3" r:id="rId1"/>
    <sheet name="Sales" sheetId="2" r:id="rId2"/>
    <sheet name="Summary" sheetId="1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E27" i="3"/>
  <c r="E26" i="3"/>
  <c r="J19" i="2" l="1"/>
  <c r="J22" i="2"/>
  <c r="J21" i="2"/>
  <c r="K19" i="2"/>
  <c r="J16" i="2"/>
  <c r="J17" i="2" s="1"/>
  <c r="J20" i="2" s="1"/>
  <c r="E24" i="2"/>
  <c r="E22" i="2"/>
  <c r="E21" i="2"/>
  <c r="K4" i="2"/>
  <c r="F19" i="2"/>
  <c r="F20" i="2"/>
  <c r="E20" i="2"/>
  <c r="E17" i="2"/>
  <c r="E16" i="2"/>
  <c r="D22" i="1"/>
  <c r="C22" i="1"/>
  <c r="G5" i="1"/>
  <c r="F5" i="1"/>
  <c r="E19" i="3"/>
  <c r="E21" i="3" s="1"/>
  <c r="D19" i="3"/>
  <c r="B19" i="3"/>
  <c r="E11" i="3"/>
  <c r="D11" i="3"/>
  <c r="E13" i="3" s="1"/>
  <c r="B11" i="3"/>
  <c r="H2" i="2"/>
  <c r="I2" i="2" s="1"/>
  <c r="J2" i="2" s="1"/>
  <c r="H3" i="2"/>
  <c r="I3" i="2" s="1"/>
  <c r="J3" i="2" s="1"/>
  <c r="H4" i="2"/>
  <c r="I4" i="2" s="1"/>
  <c r="J4" i="2" s="1"/>
  <c r="H5" i="2"/>
  <c r="I5" i="2"/>
  <c r="J5" i="2"/>
  <c r="J6" i="2"/>
  <c r="J7" i="2"/>
  <c r="H8" i="2"/>
  <c r="I8" i="2"/>
  <c r="J8" i="2" s="1"/>
  <c r="H9" i="2"/>
  <c r="J9" i="2"/>
  <c r="H10" i="2"/>
  <c r="J10" i="2"/>
  <c r="C12" i="2"/>
  <c r="E12" i="2"/>
  <c r="E14" i="2" s="1"/>
  <c r="J24" i="2" l="1"/>
  <c r="K20" i="2"/>
  <c r="C9" i="3"/>
  <c r="F9" i="3" s="1"/>
  <c r="C8" i="3"/>
  <c r="F8" i="3" s="1"/>
  <c r="C17" i="3"/>
  <c r="F17" i="3" s="1"/>
  <c r="C16" i="3"/>
  <c r="F16" i="3" s="1"/>
  <c r="J12" i="2"/>
  <c r="J14" i="2" s="1"/>
  <c r="X16" i="3" l="1"/>
  <c r="T16" i="3"/>
  <c r="P16" i="3"/>
  <c r="H16" i="3"/>
  <c r="V16" i="3"/>
  <c r="R16" i="3"/>
  <c r="N16" i="3"/>
  <c r="Y16" i="3"/>
  <c r="U16" i="3"/>
  <c r="Q16" i="3"/>
  <c r="G16" i="3"/>
  <c r="W16" i="3"/>
  <c r="O16" i="3"/>
  <c r="S16" i="3"/>
  <c r="V8" i="3"/>
  <c r="R8" i="3"/>
  <c r="N8" i="3"/>
  <c r="Y8" i="3"/>
  <c r="U8" i="3"/>
  <c r="Q8" i="3"/>
  <c r="T8" i="3"/>
  <c r="H8" i="3"/>
  <c r="P8" i="3"/>
  <c r="S8" i="3"/>
  <c r="G8" i="3"/>
  <c r="X8" i="3"/>
  <c r="W8" i="3"/>
  <c r="O8" i="3"/>
  <c r="W17" i="3"/>
  <c r="S17" i="3"/>
  <c r="O17" i="3"/>
  <c r="G17" i="3"/>
  <c r="Y17" i="3"/>
  <c r="U17" i="3"/>
  <c r="Q17" i="3"/>
  <c r="X17" i="3"/>
  <c r="T17" i="3"/>
  <c r="P17" i="3"/>
  <c r="H17" i="3"/>
  <c r="I17" i="3" s="1"/>
  <c r="V17" i="3"/>
  <c r="R17" i="3"/>
  <c r="N17" i="3"/>
  <c r="Y9" i="3"/>
  <c r="U9" i="3"/>
  <c r="Q9" i="3"/>
  <c r="X9" i="3"/>
  <c r="T9" i="3"/>
  <c r="P9" i="3"/>
  <c r="H9" i="3"/>
  <c r="I9" i="3" s="1"/>
  <c r="W9" i="3"/>
  <c r="S9" i="3"/>
  <c r="O9" i="3"/>
  <c r="G9" i="3"/>
  <c r="N9" i="3"/>
  <c r="V9" i="3"/>
  <c r="R9" i="3"/>
  <c r="H19" i="3" l="1"/>
  <c r="I16" i="3"/>
  <c r="V20" i="3"/>
  <c r="R20" i="3"/>
  <c r="N20" i="3"/>
  <c r="X20" i="3"/>
  <c r="T20" i="3"/>
  <c r="P20" i="3"/>
  <c r="W20" i="3"/>
  <c r="S20" i="3"/>
  <c r="O20" i="3"/>
  <c r="U20" i="3"/>
  <c r="Q20" i="3"/>
  <c r="Y20" i="3"/>
  <c r="H11" i="3"/>
  <c r="I8" i="3"/>
  <c r="X12" i="3"/>
  <c r="T12" i="3"/>
  <c r="P12" i="3"/>
  <c r="W12" i="3"/>
  <c r="S12" i="3"/>
  <c r="O12" i="3"/>
  <c r="V12" i="3"/>
  <c r="R12" i="3"/>
  <c r="N12" i="3"/>
  <c r="Y12" i="3"/>
  <c r="U12" i="3"/>
  <c r="Q12" i="3"/>
  <c r="V19" i="3" l="1"/>
  <c r="V21" i="3" s="1"/>
  <c r="R19" i="3"/>
  <c r="R21" i="3" s="1"/>
  <c r="N19" i="3"/>
  <c r="N21" i="3" s="1"/>
  <c r="X19" i="3"/>
  <c r="X21" i="3" s="1"/>
  <c r="T19" i="3"/>
  <c r="T21" i="3" s="1"/>
  <c r="P19" i="3"/>
  <c r="P21" i="3" s="1"/>
  <c r="W19" i="3"/>
  <c r="W21" i="3" s="1"/>
  <c r="S19" i="3"/>
  <c r="S21" i="3" s="1"/>
  <c r="O19" i="3"/>
  <c r="O21" i="3" s="1"/>
  <c r="Q19" i="3"/>
  <c r="Q21" i="3" s="1"/>
  <c r="Y19" i="3"/>
  <c r="Y21" i="3" s="1"/>
  <c r="I19" i="3"/>
  <c r="U19" i="3"/>
  <c r="U21" i="3" s="1"/>
  <c r="X11" i="3"/>
  <c r="X13" i="3" s="1"/>
  <c r="T11" i="3"/>
  <c r="T13" i="3" s="1"/>
  <c r="P11" i="3"/>
  <c r="P13" i="3" s="1"/>
  <c r="W11" i="3"/>
  <c r="W13" i="3" s="1"/>
  <c r="S11" i="3"/>
  <c r="S13" i="3" s="1"/>
  <c r="O11" i="3"/>
  <c r="O13" i="3" s="1"/>
  <c r="V11" i="3"/>
  <c r="V13" i="3" s="1"/>
  <c r="R11" i="3"/>
  <c r="R13" i="3" s="1"/>
  <c r="N11" i="3"/>
  <c r="N13" i="3" s="1"/>
  <c r="U11" i="3"/>
  <c r="U13" i="3" s="1"/>
  <c r="Q11" i="3"/>
  <c r="Q13" i="3" s="1"/>
  <c r="I11" i="3"/>
  <c r="Y11" i="3"/>
  <c r="Y13" i="3" s="1"/>
  <c r="E6" i="1" l="1"/>
  <c r="G6" i="1" s="1"/>
  <c r="E5" i="1"/>
  <c r="E4" i="1"/>
  <c r="G4" i="1" s="1"/>
  <c r="D7" i="1"/>
  <c r="F7" i="1" s="1"/>
  <c r="D6" i="1"/>
  <c r="D5" i="1"/>
  <c r="D4" i="1"/>
  <c r="F4" i="1" s="1"/>
  <c r="C8" i="1"/>
  <c r="E8" i="1" s="1"/>
  <c r="G8" i="1" s="1"/>
  <c r="B8" i="1"/>
  <c r="B10" i="1" s="1"/>
  <c r="C7" i="1"/>
  <c r="E7" i="1" s="1"/>
  <c r="G7" i="1" s="1"/>
  <c r="F6" i="1" l="1"/>
  <c r="E10" i="1"/>
  <c r="C10" i="1"/>
  <c r="C11" i="1" s="1"/>
  <c r="D8" i="1"/>
  <c r="F8" i="1" s="1"/>
  <c r="G10" i="1"/>
  <c r="D10" i="1" l="1"/>
  <c r="F10" i="1"/>
  <c r="E11" i="1"/>
  <c r="E12" i="1" s="1"/>
  <c r="G11" i="1"/>
  <c r="G12" i="1" s="1"/>
</calcChain>
</file>

<file path=xl/sharedStrings.xml><?xml version="1.0" encoding="utf-8"?>
<sst xmlns="http://schemas.openxmlformats.org/spreadsheetml/2006/main" count="174" uniqueCount="100">
  <si>
    <t>SPDC</t>
  </si>
  <si>
    <t>SNEPCO</t>
  </si>
  <si>
    <t>Shell Share</t>
  </si>
  <si>
    <t>FCF</t>
  </si>
  <si>
    <t>Surplus sales</t>
  </si>
  <si>
    <t>Re-use</t>
  </si>
  <si>
    <t>Repair and return</t>
  </si>
  <si>
    <t>Witholding Tax</t>
  </si>
  <si>
    <t>Onne footprint</t>
  </si>
  <si>
    <t>Assumes achievemt of 13k sqm reduction full year (average of 10k across the year) - all OPEX</t>
  </si>
  <si>
    <t>Total</t>
  </si>
  <si>
    <t>Assumes FCF = Shell Share</t>
  </si>
  <si>
    <t>SCiN</t>
  </si>
  <si>
    <t>Assumes 2018 percentages between OPEX and CAPEX</t>
  </si>
  <si>
    <t xml:space="preserve">Sale of various materials </t>
  </si>
  <si>
    <t>Other-SNEPCO</t>
  </si>
  <si>
    <t>Other-SPDC</t>
  </si>
  <si>
    <t>Sale already concluded, documentation for payment in progress</t>
  </si>
  <si>
    <t>Done</t>
  </si>
  <si>
    <t>sale of oil spill materials</t>
  </si>
  <si>
    <t>Discussions ongoing and sales planned for February 2019</t>
  </si>
  <si>
    <t>Neconde</t>
  </si>
  <si>
    <t>Eroton</t>
  </si>
  <si>
    <t>Aveon</t>
  </si>
  <si>
    <t>Mid-western</t>
  </si>
  <si>
    <t>Sale to be finalized in January 2019</t>
  </si>
  <si>
    <t>Sale of wells materials</t>
  </si>
  <si>
    <t>Baker</t>
  </si>
  <si>
    <t>ENI</t>
  </si>
  <si>
    <t>Proceed</t>
  </si>
  <si>
    <t>New return</t>
  </si>
  <si>
    <t>Return</t>
  </si>
  <si>
    <t>Status</t>
  </si>
  <si>
    <t>Due date</t>
  </si>
  <si>
    <t>Expected proceed ($'000)</t>
  </si>
  <si>
    <t>Activity</t>
  </si>
  <si>
    <t>Value ($'000)</t>
  </si>
  <si>
    <t>IOCs/NOCs/Others</t>
  </si>
  <si>
    <t>S/N</t>
  </si>
  <si>
    <r>
      <t>Items on NIPEX is about US$1m</t>
    </r>
    <r>
      <rPr>
        <b/>
        <sz val="12"/>
        <color rgb="FF000000"/>
        <rFont val="Calibri"/>
        <family val="2"/>
      </rPr>
      <t>.</t>
    </r>
    <r>
      <rPr>
        <sz val="12"/>
        <color rgb="FF000000"/>
        <rFont val="Calibri"/>
        <family val="2"/>
      </rPr>
      <t xml:space="preserve"> Will engage NAPIMS on sales of the items whci is expected in February since Tunji is away in January</t>
    </r>
  </si>
  <si>
    <t>Conversion factors for FCF</t>
  </si>
  <si>
    <t>SNEPCO (Shell Share 55%)</t>
  </si>
  <si>
    <t>CAPEX</t>
  </si>
  <si>
    <t>Opex</t>
  </si>
  <si>
    <t>OPEX</t>
  </si>
  <si>
    <t>SPDC (Shell Share 30%)</t>
  </si>
  <si>
    <t>Plan for Re-Use - 2019</t>
  </si>
  <si>
    <t>2018 Actual Re-Use</t>
  </si>
  <si>
    <t>Target 2019</t>
  </si>
  <si>
    <t>Wave Plan</t>
  </si>
  <si>
    <t>Ratio</t>
  </si>
  <si>
    <t>Assumptions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</si>
  <si>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</si>
  <si>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</si>
  <si>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</si>
  <si>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</si>
  <si>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</si>
  <si>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</si>
  <si>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</si>
  <si>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</si>
  <si>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</si>
  <si>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</si>
  <si>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</si>
  <si>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</si>
  <si>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based on 0.15</t>
  </si>
  <si>
    <t>Capex</t>
  </si>
  <si>
    <t>Based on 0.83</t>
  </si>
  <si>
    <t>Diff</t>
  </si>
  <si>
    <t>based on 0.33</t>
  </si>
  <si>
    <t>Based on 0.61</t>
  </si>
  <si>
    <t>ENI Sales</t>
  </si>
  <si>
    <t>Name</t>
  </si>
  <si>
    <t>Number</t>
  </si>
  <si>
    <t>In Wave</t>
  </si>
  <si>
    <t>Value (m)</t>
  </si>
  <si>
    <t>L gate</t>
  </si>
  <si>
    <t>L2</t>
  </si>
  <si>
    <t>Onne</t>
  </si>
  <si>
    <t>FCF (m)</t>
  </si>
  <si>
    <t>L1</t>
  </si>
  <si>
    <t>ReUse SPDC</t>
  </si>
  <si>
    <t>Excluding ENI</t>
  </si>
  <si>
    <t>Excluding Mid-Western</t>
  </si>
  <si>
    <t>SNEPCO Re-use</t>
  </si>
  <si>
    <t>Repair and Return</t>
  </si>
  <si>
    <t>L0</t>
  </si>
  <si>
    <t>Sales SPDC</t>
  </si>
  <si>
    <t>Sales SNEPCO</t>
  </si>
  <si>
    <t>Sales to Mid Western</t>
  </si>
  <si>
    <t>SPDC General</t>
  </si>
  <si>
    <t>SPDC ENI</t>
  </si>
  <si>
    <t>SPDC Mid Western</t>
  </si>
  <si>
    <t>SPDC Procurement Tax</t>
  </si>
  <si>
    <t>SNEPCO Procurement Tax</t>
  </si>
  <si>
    <t>Assumed all to be OPEX</t>
  </si>
  <si>
    <t>Total (ex R&amp;R)</t>
  </si>
  <si>
    <t>Target</t>
  </si>
  <si>
    <t>Assumes 50:50 split between CAPEX and OPEX (assumed to move to PS)</t>
  </si>
  <si>
    <t>MM FCF Target 2019 DRAFT v2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</si>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</sst>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0.0000%"/>
    <numFmt numFmtId="167" formatCode="_-* #,##0.0_-;\-* #,##0.0_-;_-* &quot;-&quot;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3333FF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u/>
      <sz val="7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9" fontId="0" fillId="0" borderId="0" xfId="0" applyNumberFormat="1"/>
    <xf numFmtId="164" fontId="0" fillId="0" borderId="0" xfId="0" applyNumberFormat="1"/>
    <xf numFmtId="9" fontId="0" fillId="0" borderId="0" xfId="2" applyFont="1"/>
    <xf numFmtId="165" fontId="0" fillId="0" borderId="0" xfId="0" applyNumberFormat="1"/>
    <xf numFmtId="165" fontId="0" fillId="0" borderId="0" xfId="1" applyNumberFormat="1" applyFont="1"/>
    <xf numFmtId="0" fontId="4" fillId="0" borderId="2" xfId="0" applyFont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165" fontId="4" fillId="0" borderId="2" xfId="1" applyNumberFormat="1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165" fontId="4" fillId="2" borderId="2" xfId="1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17" fontId="4" fillId="0" borderId="2" xfId="0" applyNumberFormat="1" applyFont="1" applyBorder="1" applyAlignment="1">
      <alignment vertical="center" wrapText="1"/>
    </xf>
    <xf numFmtId="0" fontId="2" fillId="0" borderId="10" xfId="0" applyFont="1" applyBorder="1"/>
    <xf numFmtId="9" fontId="2" fillId="0" borderId="11" xfId="0" applyNumberFormat="1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9" fontId="2" fillId="0" borderId="13" xfId="0" applyNumberFormat="1" applyFont="1" applyBorder="1" applyAlignment="1">
      <alignment horizontal="right"/>
    </xf>
    <xf numFmtId="0" fontId="2" fillId="0" borderId="10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2" fillId="0" borderId="17" xfId="0" applyFont="1" applyBorder="1"/>
    <xf numFmtId="43" fontId="0" fillId="0" borderId="0" xfId="1" applyFont="1" applyBorder="1"/>
    <xf numFmtId="9" fontId="0" fillId="0" borderId="0" xfId="2" applyNumberFormat="1" applyFont="1" applyBorder="1"/>
    <xf numFmtId="43" fontId="0" fillId="0" borderId="18" xfId="1" applyFont="1" applyBorder="1"/>
    <xf numFmtId="165" fontId="0" fillId="3" borderId="19" xfId="1" applyNumberFormat="1" applyFont="1" applyFill="1" applyBorder="1"/>
    <xf numFmtId="9" fontId="0" fillId="0" borderId="0" xfId="2" applyFont="1" applyBorder="1"/>
    <xf numFmtId="165" fontId="0" fillId="0" borderId="0" xfId="1" applyNumberFormat="1" applyFont="1" applyBorder="1"/>
    <xf numFmtId="165" fontId="0" fillId="0" borderId="18" xfId="1" applyNumberFormat="1" applyFont="1" applyBorder="1"/>
    <xf numFmtId="0" fontId="0" fillId="0" borderId="17" xfId="0" applyBorder="1"/>
    <xf numFmtId="0" fontId="0" fillId="0" borderId="19" xfId="0" applyFont="1" applyFill="1" applyBorder="1" applyAlignment="1">
      <alignment horizontal="right"/>
    </xf>
    <xf numFmtId="9" fontId="0" fillId="0" borderId="0" xfId="0" applyNumberFormat="1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8" xfId="0" applyNumberFormat="1" applyBorder="1" applyAlignment="1">
      <alignment horizontal="right"/>
    </xf>
    <xf numFmtId="0" fontId="0" fillId="0" borderId="19" xfId="0" applyFont="1" applyBorder="1" applyAlignment="1">
      <alignment horizontal="right"/>
    </xf>
    <xf numFmtId="43" fontId="0" fillId="0" borderId="19" xfId="1" applyFont="1" applyBorder="1"/>
    <xf numFmtId="0" fontId="0" fillId="0" borderId="0" xfId="0" applyBorder="1"/>
    <xf numFmtId="0" fontId="0" fillId="0" borderId="18" xfId="0" applyBorder="1"/>
    <xf numFmtId="0" fontId="0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8" xfId="0" applyBorder="1" applyAlignment="1">
      <alignment horizontal="right"/>
    </xf>
    <xf numFmtId="165" fontId="0" fillId="0" borderId="19" xfId="1" applyNumberFormat="1" applyFont="1" applyBorder="1"/>
    <xf numFmtId="165" fontId="0" fillId="3" borderId="18" xfId="1" applyNumberFormat="1" applyFont="1" applyFill="1" applyBorder="1"/>
    <xf numFmtId="0" fontId="0" fillId="0" borderId="20" xfId="0" applyFont="1" applyBorder="1" applyAlignment="1">
      <alignment horizontal="right"/>
    </xf>
    <xf numFmtId="9" fontId="0" fillId="0" borderId="21" xfId="0" applyNumberFormat="1" applyFont="1" applyBorder="1" applyAlignment="1">
      <alignment horizontal="right"/>
    </xf>
    <xf numFmtId="165" fontId="0" fillId="0" borderId="21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0" fontId="2" fillId="0" borderId="22" xfId="0" applyFont="1" applyBorder="1"/>
    <xf numFmtId="43" fontId="0" fillId="0" borderId="21" xfId="1" applyFont="1" applyBorder="1"/>
    <xf numFmtId="43" fontId="0" fillId="0" borderId="2" xfId="1" applyFont="1" applyBorder="1"/>
    <xf numFmtId="43" fontId="0" fillId="0" borderId="20" xfId="1" applyFont="1" applyBorder="1"/>
    <xf numFmtId="0" fontId="0" fillId="0" borderId="21" xfId="0" applyBorder="1"/>
    <xf numFmtId="0" fontId="0" fillId="0" borderId="2" xfId="0" applyBorder="1"/>
    <xf numFmtId="0" fontId="0" fillId="0" borderId="22" xfId="0" applyBorder="1"/>
    <xf numFmtId="0" fontId="0" fillId="0" borderId="13" xfId="0" applyFont="1" applyFill="1" applyBorder="1" applyAlignment="1">
      <alignment horizontal="right"/>
    </xf>
    <xf numFmtId="0" fontId="0" fillId="0" borderId="11" xfId="0" applyBorder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2" xfId="0" applyNumberFormat="1" applyBorder="1" applyAlignment="1">
      <alignment horizontal="right"/>
    </xf>
    <xf numFmtId="43" fontId="0" fillId="0" borderId="0" xfId="1" applyFont="1"/>
    <xf numFmtId="43" fontId="0" fillId="0" borderId="21" xfId="0" applyNumberFormat="1" applyBorder="1" applyAlignment="1">
      <alignment horizontal="right"/>
    </xf>
    <xf numFmtId="0" fontId="9" fillId="0" borderId="0" xfId="0" applyFon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4" fillId="4" borderId="6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165" fontId="4" fillId="4" borderId="2" xfId="1" applyNumberFormat="1" applyFont="1" applyFill="1" applyBorder="1" applyAlignment="1">
      <alignment vertical="center" wrapText="1"/>
    </xf>
    <xf numFmtId="17" fontId="4" fillId="4" borderId="2" xfId="0" applyNumberFormat="1" applyFont="1" applyFill="1" applyBorder="1" applyAlignment="1">
      <alignment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vertical="center" wrapText="1"/>
    </xf>
    <xf numFmtId="165" fontId="4" fillId="4" borderId="3" xfId="1" applyNumberFormat="1" applyFont="1" applyFill="1" applyBorder="1" applyAlignment="1">
      <alignment vertical="center" wrapText="1"/>
    </xf>
    <xf numFmtId="0" fontId="0" fillId="0" borderId="23" xfId="0" applyBorder="1" applyAlignment="1">
      <alignment horizontal="center"/>
    </xf>
    <xf numFmtId="43" fontId="0" fillId="0" borderId="23" xfId="1" applyNumberFormat="1" applyFont="1" applyBorder="1"/>
    <xf numFmtId="43" fontId="0" fillId="0" borderId="23" xfId="0" applyNumberFormat="1" applyBorder="1"/>
    <xf numFmtId="0" fontId="0" fillId="0" borderId="23" xfId="0" applyBorder="1" applyAlignment="1">
      <alignment horizontal="right"/>
    </xf>
    <xf numFmtId="9" fontId="0" fillId="0" borderId="23" xfId="0" applyNumberFormat="1" applyBorder="1"/>
    <xf numFmtId="0" fontId="0" fillId="0" borderId="23" xfId="0" applyBorder="1"/>
    <xf numFmtId="0" fontId="0" fillId="0" borderId="23" xfId="0" applyFill="1" applyBorder="1" applyAlignment="1">
      <alignment horizontal="left" wrapText="1"/>
    </xf>
    <xf numFmtId="0" fontId="0" fillId="0" borderId="23" xfId="0" applyBorder="1" applyAlignment="1">
      <alignment wrapText="1"/>
    </xf>
    <xf numFmtId="0" fontId="8" fillId="0" borderId="0" xfId="0" applyFont="1" applyAlignment="1">
      <alignment horizontal="center"/>
    </xf>
    <xf numFmtId="0" fontId="3" fillId="4" borderId="5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9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22570</xdr:colOff>
      <xdr:row>8</xdr:row>
      <xdr:rowOff>35719</xdr:rowOff>
    </xdr:from>
    <xdr:to>
      <xdr:col>8</xdr:col>
      <xdr:colOff>446473</xdr:colOff>
      <xdr:row>17</xdr:row>
      <xdr:rowOff>17859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FF2B04-1378-466B-9AF5-733A6223F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6976" y="1940719"/>
          <a:ext cx="3721935" cy="1696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8A68-5FE9-4E40-B1DC-FD492EC39D8F}">
  <dimension ref="A1:Y27"/>
  <sheetViews>
    <sheetView workbookViewId="0">
      <selection activeCell="A11" sqref="A11"/>
    </sheetView>
  </sheetViews>
  <sheetFormatPr defaultRowHeight="15" x14ac:dyDescent="0.25"/>
  <cols>
    <col min="2" max="2" width="18" bestFit="1" customWidth="1"/>
    <col min="3" max="3" width="5.5703125" bestFit="1" customWidth="1"/>
    <col min="4" max="5" width="13.28515625" bestFit="1" customWidth="1"/>
    <col min="6" max="6" width="14.28515625" bestFit="1" customWidth="1"/>
    <col min="8" max="9" width="13.28515625" bestFit="1" customWidth="1"/>
    <col min="10" max="10" width="38.42578125" customWidth="1"/>
    <col min="11" max="11" width="2.5703125" customWidth="1"/>
    <col min="14" max="14" width="11.5703125" bestFit="1" customWidth="1"/>
  </cols>
  <sheetData>
    <row r="1" spans="1:25" ht="92.25" x14ac:dyDescent="1.35">
      <c r="A1" s="83" t="s">
        <v>46</v>
      </c>
      <c r="B1" s="83"/>
      <c r="C1" s="83"/>
      <c r="D1" s="83"/>
      <c r="E1" s="83"/>
      <c r="F1" s="83"/>
      <c r="G1" s="83"/>
      <c r="H1" s="83"/>
      <c r="I1" s="83"/>
      <c r="J1" s="83"/>
    </row>
    <row r="5" spans="1:25" x14ac:dyDescent="0.25">
      <c r="B5" t="s">
        <v>47</v>
      </c>
      <c r="F5" t="s">
        <v>48</v>
      </c>
      <c r="L5" t="s">
        <v>49</v>
      </c>
    </row>
    <row r="6" spans="1:25" ht="15.75" thickBot="1" x14ac:dyDescent="0.3"/>
    <row r="7" spans="1:25" ht="15.75" thickBot="1" x14ac:dyDescent="0.3">
      <c r="A7" s="16" t="s">
        <v>0</v>
      </c>
      <c r="B7" s="17">
        <v>1</v>
      </c>
      <c r="C7" s="18" t="s">
        <v>50</v>
      </c>
      <c r="D7" s="18" t="s">
        <v>2</v>
      </c>
      <c r="E7" s="19" t="s">
        <v>3</v>
      </c>
      <c r="F7" s="20">
        <v>1</v>
      </c>
      <c r="G7" s="18" t="s">
        <v>50</v>
      </c>
      <c r="H7" s="18" t="s">
        <v>2</v>
      </c>
      <c r="I7" s="19" t="s">
        <v>3</v>
      </c>
      <c r="J7" s="21" t="s">
        <v>51</v>
      </c>
      <c r="L7" s="22" t="s">
        <v>0</v>
      </c>
      <c r="M7" s="23"/>
      <c r="N7" s="23" t="s">
        <v>52</v>
      </c>
      <c r="O7" s="23" t="s">
        <v>53</v>
      </c>
      <c r="P7" s="23" t="s">
        <v>54</v>
      </c>
      <c r="Q7" s="23" t="s">
        <v>55</v>
      </c>
      <c r="R7" s="23" t="s">
        <v>56</v>
      </c>
      <c r="S7" s="23" t="s">
        <v>57</v>
      </c>
      <c r="T7" s="23" t="s">
        <v>58</v>
      </c>
      <c r="U7" s="23" t="s">
        <v>59</v>
      </c>
      <c r="V7" s="23" t="s">
        <v>60</v>
      </c>
      <c r="W7" s="23" t="s">
        <v>61</v>
      </c>
      <c r="X7" s="23" t="s">
        <v>62</v>
      </c>
      <c r="Y7" s="24" t="s">
        <v>63</v>
      </c>
    </row>
    <row r="8" spans="1:25" x14ac:dyDescent="0.25">
      <c r="A8" s="25" t="s">
        <v>43</v>
      </c>
      <c r="B8" s="26">
        <v>3126964.16</v>
      </c>
      <c r="C8" s="27">
        <f>B8/$B$11</f>
        <v>0.33412343193378957</v>
      </c>
      <c r="D8" s="26">
        <v>938089.25</v>
      </c>
      <c r="E8" s="28">
        <v>140713.39000000001</v>
      </c>
      <c r="F8" s="29">
        <f>F11*C8</f>
        <v>3675357.7512716851</v>
      </c>
      <c r="G8" s="30">
        <f>F8/$F$11</f>
        <v>0.33412343193378957</v>
      </c>
      <c r="H8" s="31">
        <f>F8*0.3</f>
        <v>1102607.3253815055</v>
      </c>
      <c r="I8" s="32">
        <f>H8*D27</f>
        <v>959268.37308190984</v>
      </c>
      <c r="J8" s="33" t="s">
        <v>64</v>
      </c>
      <c r="L8" s="34" t="s">
        <v>43</v>
      </c>
      <c r="M8" s="35">
        <v>1</v>
      </c>
      <c r="N8" s="36">
        <f t="shared" ref="N8:Y9" si="0">$F8/12</f>
        <v>306279.81260597374</v>
      </c>
      <c r="O8" s="36">
        <f t="shared" si="0"/>
        <v>306279.81260597374</v>
      </c>
      <c r="P8" s="36">
        <f t="shared" si="0"/>
        <v>306279.81260597374</v>
      </c>
      <c r="Q8" s="36">
        <f t="shared" si="0"/>
        <v>306279.81260597374</v>
      </c>
      <c r="R8" s="36">
        <f t="shared" si="0"/>
        <v>306279.81260597374</v>
      </c>
      <c r="S8" s="36">
        <f t="shared" si="0"/>
        <v>306279.81260597374</v>
      </c>
      <c r="T8" s="36">
        <f t="shared" si="0"/>
        <v>306279.81260597374</v>
      </c>
      <c r="U8" s="36">
        <f t="shared" si="0"/>
        <v>306279.81260597374</v>
      </c>
      <c r="V8" s="36">
        <f t="shared" si="0"/>
        <v>306279.81260597374</v>
      </c>
      <c r="W8" s="36">
        <f t="shared" si="0"/>
        <v>306279.81260597374</v>
      </c>
      <c r="X8" s="36">
        <f t="shared" si="0"/>
        <v>306279.81260597374</v>
      </c>
      <c r="Y8" s="37">
        <f t="shared" si="0"/>
        <v>306279.81260597374</v>
      </c>
    </row>
    <row r="9" spans="1:25" x14ac:dyDescent="0.25">
      <c r="A9" s="25" t="s">
        <v>65</v>
      </c>
      <c r="B9" s="26">
        <v>6231745.4100000001</v>
      </c>
      <c r="C9" s="27">
        <f>B9/$B$11</f>
        <v>0.66587656806621043</v>
      </c>
      <c r="D9" s="26">
        <v>1869523.62</v>
      </c>
      <c r="E9" s="28">
        <v>1551704.61</v>
      </c>
      <c r="F9" s="29">
        <f>F11*C9</f>
        <v>7324642.2487283144</v>
      </c>
      <c r="G9" s="30">
        <f>F9/F11</f>
        <v>0.66587656806621043</v>
      </c>
      <c r="H9" s="31">
        <f>F9*0.3</f>
        <v>2197392.6746184942</v>
      </c>
      <c r="I9" s="32">
        <f>H9*C27</f>
        <v>2131470.8943799394</v>
      </c>
      <c r="J9" s="33" t="s">
        <v>66</v>
      </c>
      <c r="L9" s="38" t="s">
        <v>65</v>
      </c>
      <c r="M9" s="35">
        <v>1</v>
      </c>
      <c r="N9" s="36">
        <f t="shared" si="0"/>
        <v>610386.85406069283</v>
      </c>
      <c r="O9" s="36">
        <f t="shared" si="0"/>
        <v>610386.85406069283</v>
      </c>
      <c r="P9" s="36">
        <f t="shared" si="0"/>
        <v>610386.85406069283</v>
      </c>
      <c r="Q9" s="36">
        <f t="shared" si="0"/>
        <v>610386.85406069283</v>
      </c>
      <c r="R9" s="36">
        <f t="shared" si="0"/>
        <v>610386.85406069283</v>
      </c>
      <c r="S9" s="36">
        <f t="shared" si="0"/>
        <v>610386.85406069283</v>
      </c>
      <c r="T9" s="36">
        <f t="shared" si="0"/>
        <v>610386.85406069283</v>
      </c>
      <c r="U9" s="36">
        <f t="shared" si="0"/>
        <v>610386.85406069283</v>
      </c>
      <c r="V9" s="36">
        <f t="shared" si="0"/>
        <v>610386.85406069283</v>
      </c>
      <c r="W9" s="36">
        <f t="shared" si="0"/>
        <v>610386.85406069283</v>
      </c>
      <c r="X9" s="36">
        <f t="shared" si="0"/>
        <v>610386.85406069283</v>
      </c>
      <c r="Y9" s="37">
        <f t="shared" si="0"/>
        <v>610386.85406069283</v>
      </c>
    </row>
    <row r="10" spans="1:25" x14ac:dyDescent="0.25">
      <c r="A10" s="25"/>
      <c r="B10" s="26"/>
      <c r="C10" s="26"/>
      <c r="D10" s="26"/>
      <c r="E10" s="28"/>
      <c r="F10" s="39"/>
      <c r="G10" s="40"/>
      <c r="H10" s="40"/>
      <c r="I10" s="41"/>
      <c r="J10" s="33"/>
      <c r="L10" s="38"/>
      <c r="M10" s="42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4"/>
    </row>
    <row r="11" spans="1:25" x14ac:dyDescent="0.25">
      <c r="A11" s="25" t="s">
        <v>10</v>
      </c>
      <c r="B11" s="26">
        <f>SUM(B8:B9)</f>
        <v>9358709.5700000003</v>
      </c>
      <c r="C11" s="26"/>
      <c r="D11" s="26">
        <f>SUM(D8:D9)</f>
        <v>2807612.87</v>
      </c>
      <c r="E11" s="28">
        <f>SUM(E8:E9)</f>
        <v>1692418</v>
      </c>
      <c r="F11" s="45">
        <v>11000000</v>
      </c>
      <c r="G11" s="40"/>
      <c r="H11" s="31">
        <f>SUM(H8:H9)</f>
        <v>3300000</v>
      </c>
      <c r="I11" s="46">
        <f>SUM(I8:I9)</f>
        <v>3090739.2674618494</v>
      </c>
      <c r="J11" s="33"/>
      <c r="L11" s="34" t="s">
        <v>43</v>
      </c>
      <c r="M11" s="35" t="s">
        <v>3</v>
      </c>
      <c r="N11" s="36">
        <f t="shared" ref="N11:Y12" si="1">$I8/12</f>
        <v>79939.031090159158</v>
      </c>
      <c r="O11" s="36">
        <f t="shared" si="1"/>
        <v>79939.031090159158</v>
      </c>
      <c r="P11" s="36">
        <f t="shared" si="1"/>
        <v>79939.031090159158</v>
      </c>
      <c r="Q11" s="36">
        <f t="shared" si="1"/>
        <v>79939.031090159158</v>
      </c>
      <c r="R11" s="36">
        <f t="shared" si="1"/>
        <v>79939.031090159158</v>
      </c>
      <c r="S11" s="36">
        <f t="shared" si="1"/>
        <v>79939.031090159158</v>
      </c>
      <c r="T11" s="36">
        <f t="shared" si="1"/>
        <v>79939.031090159158</v>
      </c>
      <c r="U11" s="36">
        <f t="shared" si="1"/>
        <v>79939.031090159158</v>
      </c>
      <c r="V11" s="36">
        <f t="shared" si="1"/>
        <v>79939.031090159158</v>
      </c>
      <c r="W11" s="36">
        <f t="shared" si="1"/>
        <v>79939.031090159158</v>
      </c>
      <c r="X11" s="36">
        <f t="shared" si="1"/>
        <v>79939.031090159158</v>
      </c>
      <c r="Y11" s="37">
        <f t="shared" si="1"/>
        <v>79939.031090159158</v>
      </c>
    </row>
    <row r="12" spans="1:25" ht="15.75" thickBot="1" x14ac:dyDescent="0.3">
      <c r="A12" s="25"/>
      <c r="B12" s="26"/>
      <c r="C12" s="26"/>
      <c r="D12" s="26"/>
      <c r="E12" s="28"/>
      <c r="F12" s="39"/>
      <c r="G12" s="40"/>
      <c r="H12" s="40"/>
      <c r="I12" s="41"/>
      <c r="J12" s="33"/>
      <c r="L12" s="47" t="s">
        <v>65</v>
      </c>
      <c r="M12" s="48" t="s">
        <v>3</v>
      </c>
      <c r="N12" s="49">
        <f t="shared" si="1"/>
        <v>177622.57453166161</v>
      </c>
      <c r="O12" s="49">
        <f t="shared" si="1"/>
        <v>177622.57453166161</v>
      </c>
      <c r="P12" s="49">
        <f t="shared" si="1"/>
        <v>177622.57453166161</v>
      </c>
      <c r="Q12" s="49">
        <f t="shared" si="1"/>
        <v>177622.57453166161</v>
      </c>
      <c r="R12" s="49">
        <f t="shared" si="1"/>
        <v>177622.57453166161</v>
      </c>
      <c r="S12" s="49">
        <f t="shared" si="1"/>
        <v>177622.57453166161</v>
      </c>
      <c r="T12" s="49">
        <f t="shared" si="1"/>
        <v>177622.57453166161</v>
      </c>
      <c r="U12" s="49">
        <f t="shared" si="1"/>
        <v>177622.57453166161</v>
      </c>
      <c r="V12" s="49">
        <f t="shared" si="1"/>
        <v>177622.57453166161</v>
      </c>
      <c r="W12" s="49">
        <f t="shared" si="1"/>
        <v>177622.57453166161</v>
      </c>
      <c r="X12" s="49">
        <f t="shared" si="1"/>
        <v>177622.57453166161</v>
      </c>
      <c r="Y12" s="50">
        <f t="shared" si="1"/>
        <v>177622.57453166161</v>
      </c>
    </row>
    <row r="13" spans="1:25" ht="15.75" thickBot="1" x14ac:dyDescent="0.3">
      <c r="A13" s="51" t="s">
        <v>67</v>
      </c>
      <c r="B13" s="52"/>
      <c r="C13" s="52"/>
      <c r="D13" s="52"/>
      <c r="E13" s="53">
        <f>E11-D11</f>
        <v>-1115194.8700000001</v>
      </c>
      <c r="F13" s="54"/>
      <c r="G13" s="55"/>
      <c r="H13" s="55"/>
      <c r="I13" s="56"/>
      <c r="J13" s="57"/>
      <c r="L13" s="58" t="s">
        <v>10</v>
      </c>
      <c r="M13" s="59" t="s">
        <v>3</v>
      </c>
      <c r="N13" s="60">
        <f>SUM(N11:N12)</f>
        <v>257561.60562182078</v>
      </c>
      <c r="O13" s="60">
        <f t="shared" ref="O13:Y13" si="2">SUM(O11:O12)</f>
        <v>257561.60562182078</v>
      </c>
      <c r="P13" s="60">
        <f t="shared" si="2"/>
        <v>257561.60562182078</v>
      </c>
      <c r="Q13" s="60">
        <f t="shared" si="2"/>
        <v>257561.60562182078</v>
      </c>
      <c r="R13" s="60">
        <f t="shared" si="2"/>
        <v>257561.60562182078</v>
      </c>
      <c r="S13" s="60">
        <f t="shared" si="2"/>
        <v>257561.60562182078</v>
      </c>
      <c r="T13" s="60">
        <f t="shared" si="2"/>
        <v>257561.60562182078</v>
      </c>
      <c r="U13" s="60">
        <f t="shared" si="2"/>
        <v>257561.60562182078</v>
      </c>
      <c r="V13" s="60">
        <f t="shared" si="2"/>
        <v>257561.60562182078</v>
      </c>
      <c r="W13" s="60">
        <f t="shared" si="2"/>
        <v>257561.60562182078</v>
      </c>
      <c r="X13" s="60">
        <f t="shared" si="2"/>
        <v>257561.60562182078</v>
      </c>
      <c r="Y13" s="61">
        <f t="shared" si="2"/>
        <v>257561.60562182078</v>
      </c>
    </row>
    <row r="14" spans="1:25" ht="15.75" thickBot="1" x14ac:dyDescent="0.3">
      <c r="B14" s="62"/>
      <c r="C14" s="62"/>
      <c r="D14" s="62"/>
      <c r="E14" s="62"/>
      <c r="F14" s="62"/>
    </row>
    <row r="15" spans="1:25" ht="15.75" thickBot="1" x14ac:dyDescent="0.3">
      <c r="A15" s="16" t="s">
        <v>1</v>
      </c>
      <c r="B15" s="17">
        <v>1</v>
      </c>
      <c r="C15" s="18" t="s">
        <v>50</v>
      </c>
      <c r="D15" s="18" t="s">
        <v>2</v>
      </c>
      <c r="E15" s="19" t="s">
        <v>3</v>
      </c>
      <c r="F15" s="20">
        <v>1</v>
      </c>
      <c r="G15" s="18" t="s">
        <v>50</v>
      </c>
      <c r="H15" s="18" t="s">
        <v>2</v>
      </c>
      <c r="I15" s="19" t="s">
        <v>3</v>
      </c>
      <c r="J15" s="21" t="s">
        <v>51</v>
      </c>
      <c r="L15" s="22" t="s">
        <v>1</v>
      </c>
      <c r="M15" s="23"/>
      <c r="N15" s="23" t="s">
        <v>52</v>
      </c>
      <c r="O15" s="23" t="s">
        <v>53</v>
      </c>
      <c r="P15" s="23" t="s">
        <v>54</v>
      </c>
      <c r="Q15" s="23" t="s">
        <v>55</v>
      </c>
      <c r="R15" s="23" t="s">
        <v>56</v>
      </c>
      <c r="S15" s="23" t="s">
        <v>57</v>
      </c>
      <c r="T15" s="23" t="s">
        <v>58</v>
      </c>
      <c r="U15" s="23" t="s">
        <v>59</v>
      </c>
      <c r="V15" s="23" t="s">
        <v>60</v>
      </c>
      <c r="W15" s="23" t="s">
        <v>61</v>
      </c>
      <c r="X15" s="23" t="s">
        <v>62</v>
      </c>
      <c r="Y15" s="24" t="s">
        <v>63</v>
      </c>
    </row>
    <row r="16" spans="1:25" x14ac:dyDescent="0.25">
      <c r="A16" s="25" t="s">
        <v>43</v>
      </c>
      <c r="B16" s="26">
        <v>1063106.6399999999</v>
      </c>
      <c r="C16" s="27">
        <f>B16/$B$19</f>
        <v>0.92747763445842224</v>
      </c>
      <c r="D16" s="26">
        <v>584708.65</v>
      </c>
      <c r="E16" s="28">
        <v>192953.86</v>
      </c>
      <c r="F16" s="29">
        <f>F19*C16</f>
        <v>927477.6344584222</v>
      </c>
      <c r="G16" s="30">
        <f>F16/F19</f>
        <v>0.92747763445842224</v>
      </c>
      <c r="H16" s="31">
        <f>F16*0.55</f>
        <v>510112.69895213225</v>
      </c>
      <c r="I16" s="32">
        <f>H16*D26</f>
        <v>142831.55570659705</v>
      </c>
      <c r="J16" s="33" t="s">
        <v>68</v>
      </c>
      <c r="L16" s="34" t="s">
        <v>43</v>
      </c>
      <c r="M16" s="35">
        <v>1</v>
      </c>
      <c r="N16" s="36">
        <f t="shared" ref="N16:Y17" si="3">$F16/12</f>
        <v>77289.802871535183</v>
      </c>
      <c r="O16" s="36">
        <f t="shared" si="3"/>
        <v>77289.802871535183</v>
      </c>
      <c r="P16" s="36">
        <f t="shared" si="3"/>
        <v>77289.802871535183</v>
      </c>
      <c r="Q16" s="36">
        <f t="shared" si="3"/>
        <v>77289.802871535183</v>
      </c>
      <c r="R16" s="36">
        <f t="shared" si="3"/>
        <v>77289.802871535183</v>
      </c>
      <c r="S16" s="36">
        <f t="shared" si="3"/>
        <v>77289.802871535183</v>
      </c>
      <c r="T16" s="36">
        <f t="shared" si="3"/>
        <v>77289.802871535183</v>
      </c>
      <c r="U16" s="36">
        <f t="shared" si="3"/>
        <v>77289.802871535183</v>
      </c>
      <c r="V16" s="36">
        <f t="shared" si="3"/>
        <v>77289.802871535183</v>
      </c>
      <c r="W16" s="36">
        <f t="shared" si="3"/>
        <v>77289.802871535183</v>
      </c>
      <c r="X16" s="36">
        <f t="shared" si="3"/>
        <v>77289.802871535183</v>
      </c>
      <c r="Y16" s="37">
        <f t="shared" si="3"/>
        <v>77289.802871535183</v>
      </c>
    </row>
    <row r="17" spans="1:25" x14ac:dyDescent="0.25">
      <c r="A17" s="25" t="s">
        <v>65</v>
      </c>
      <c r="B17" s="26">
        <v>83127.62</v>
      </c>
      <c r="C17" s="27">
        <f>B17/$B$19</f>
        <v>7.2522365541577871E-2</v>
      </c>
      <c r="D17" s="26">
        <v>45720.19</v>
      </c>
      <c r="E17" s="28">
        <v>27889.32</v>
      </c>
      <c r="F17" s="29">
        <f>F19*C17</f>
        <v>72522.365541577878</v>
      </c>
      <c r="G17" s="30">
        <f>F17/F19</f>
        <v>7.2522365541577871E-2</v>
      </c>
      <c r="H17" s="31">
        <f>F17*0.55</f>
        <v>39887.301047867833</v>
      </c>
      <c r="I17" s="32">
        <f>H17*C26</f>
        <v>26724.491702071449</v>
      </c>
      <c r="J17" s="33" t="s">
        <v>69</v>
      </c>
      <c r="L17" s="38" t="s">
        <v>65</v>
      </c>
      <c r="M17" s="35">
        <v>1</v>
      </c>
      <c r="N17" s="36">
        <f t="shared" si="3"/>
        <v>6043.5304617981565</v>
      </c>
      <c r="O17" s="36">
        <f t="shared" si="3"/>
        <v>6043.5304617981565</v>
      </c>
      <c r="P17" s="36">
        <f t="shared" si="3"/>
        <v>6043.5304617981565</v>
      </c>
      <c r="Q17" s="36">
        <f t="shared" si="3"/>
        <v>6043.5304617981565</v>
      </c>
      <c r="R17" s="36">
        <f t="shared" si="3"/>
        <v>6043.5304617981565</v>
      </c>
      <c r="S17" s="36">
        <f t="shared" si="3"/>
        <v>6043.5304617981565</v>
      </c>
      <c r="T17" s="36">
        <f t="shared" si="3"/>
        <v>6043.5304617981565</v>
      </c>
      <c r="U17" s="36">
        <f t="shared" si="3"/>
        <v>6043.5304617981565</v>
      </c>
      <c r="V17" s="36">
        <f t="shared" si="3"/>
        <v>6043.5304617981565</v>
      </c>
      <c r="W17" s="36">
        <f t="shared" si="3"/>
        <v>6043.5304617981565</v>
      </c>
      <c r="X17" s="36">
        <f t="shared" si="3"/>
        <v>6043.5304617981565</v>
      </c>
      <c r="Y17" s="37">
        <f t="shared" si="3"/>
        <v>6043.5304617981565</v>
      </c>
    </row>
    <row r="18" spans="1:25" x14ac:dyDescent="0.25">
      <c r="A18" s="25"/>
      <c r="B18" s="26"/>
      <c r="C18" s="26"/>
      <c r="D18" s="26"/>
      <c r="E18" s="28"/>
      <c r="F18" s="39"/>
      <c r="G18" s="40"/>
      <c r="H18" s="40"/>
      <c r="I18" s="41"/>
      <c r="J18" s="33"/>
      <c r="L18" s="38"/>
      <c r="M18" s="42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4"/>
    </row>
    <row r="19" spans="1:25" x14ac:dyDescent="0.25">
      <c r="A19" s="25" t="s">
        <v>10</v>
      </c>
      <c r="B19" s="26">
        <f>SUM(B16:B17)</f>
        <v>1146234.2599999998</v>
      </c>
      <c r="C19" s="26"/>
      <c r="D19" s="26">
        <f>SUM(D16:D17)</f>
        <v>630428.84000000008</v>
      </c>
      <c r="E19" s="28">
        <f>SUM(E16:E17)</f>
        <v>220843.18</v>
      </c>
      <c r="F19" s="45">
        <v>1000000</v>
      </c>
      <c r="G19" s="40"/>
      <c r="H19" s="31">
        <f>SUM(H16:H17)</f>
        <v>550000.00000000012</v>
      </c>
      <c r="I19" s="46">
        <f>SUM(I16:I17)</f>
        <v>169556.0474086685</v>
      </c>
      <c r="J19" s="33"/>
      <c r="L19" s="34" t="s">
        <v>43</v>
      </c>
      <c r="M19" s="35" t="s">
        <v>3</v>
      </c>
      <c r="N19" s="36">
        <f t="shared" ref="N19:Y20" si="4">$I16/12</f>
        <v>11902.629642216421</v>
      </c>
      <c r="O19" s="36">
        <f t="shared" si="4"/>
        <v>11902.629642216421</v>
      </c>
      <c r="P19" s="36">
        <f t="shared" si="4"/>
        <v>11902.629642216421</v>
      </c>
      <c r="Q19" s="36">
        <f t="shared" si="4"/>
        <v>11902.629642216421</v>
      </c>
      <c r="R19" s="36">
        <f t="shared" si="4"/>
        <v>11902.629642216421</v>
      </c>
      <c r="S19" s="36">
        <f t="shared" si="4"/>
        <v>11902.629642216421</v>
      </c>
      <c r="T19" s="36">
        <f t="shared" si="4"/>
        <v>11902.629642216421</v>
      </c>
      <c r="U19" s="36">
        <f t="shared" si="4"/>
        <v>11902.629642216421</v>
      </c>
      <c r="V19" s="36">
        <f t="shared" si="4"/>
        <v>11902.629642216421</v>
      </c>
      <c r="W19" s="36">
        <f t="shared" si="4"/>
        <v>11902.629642216421</v>
      </c>
      <c r="X19" s="36">
        <f t="shared" si="4"/>
        <v>11902.629642216421</v>
      </c>
      <c r="Y19" s="37">
        <f t="shared" si="4"/>
        <v>11902.629642216421</v>
      </c>
    </row>
    <row r="20" spans="1:25" ht="15.75" thickBot="1" x14ac:dyDescent="0.3">
      <c r="A20" s="25"/>
      <c r="B20" s="40"/>
      <c r="C20" s="40"/>
      <c r="D20" s="40"/>
      <c r="E20" s="41"/>
      <c r="F20" s="39"/>
      <c r="G20" s="40"/>
      <c r="H20" s="40"/>
      <c r="I20" s="41"/>
      <c r="J20" s="33"/>
      <c r="L20" s="47" t="s">
        <v>65</v>
      </c>
      <c r="M20" s="48" t="s">
        <v>3</v>
      </c>
      <c r="N20" s="63">
        <f t="shared" si="4"/>
        <v>2227.0409751726206</v>
      </c>
      <c r="O20" s="49">
        <f t="shared" si="4"/>
        <v>2227.0409751726206</v>
      </c>
      <c r="P20" s="49">
        <f t="shared" si="4"/>
        <v>2227.0409751726206</v>
      </c>
      <c r="Q20" s="49">
        <f t="shared" si="4"/>
        <v>2227.0409751726206</v>
      </c>
      <c r="R20" s="49">
        <f t="shared" si="4"/>
        <v>2227.0409751726206</v>
      </c>
      <c r="S20" s="49">
        <f t="shared" si="4"/>
        <v>2227.0409751726206</v>
      </c>
      <c r="T20" s="49">
        <f t="shared" si="4"/>
        <v>2227.0409751726206</v>
      </c>
      <c r="U20" s="49">
        <f t="shared" si="4"/>
        <v>2227.0409751726206</v>
      </c>
      <c r="V20" s="49">
        <f t="shared" si="4"/>
        <v>2227.0409751726206</v>
      </c>
      <c r="W20" s="49">
        <f t="shared" si="4"/>
        <v>2227.0409751726206</v>
      </c>
      <c r="X20" s="49">
        <f t="shared" si="4"/>
        <v>2227.0409751726206</v>
      </c>
      <c r="Y20" s="50">
        <f t="shared" si="4"/>
        <v>2227.0409751726206</v>
      </c>
    </row>
    <row r="21" spans="1:25" ht="15.75" thickBot="1" x14ac:dyDescent="0.3">
      <c r="A21" s="51" t="s">
        <v>67</v>
      </c>
      <c r="B21" s="55"/>
      <c r="C21" s="55"/>
      <c r="D21" s="55"/>
      <c r="E21" s="53">
        <f>E19-D19</f>
        <v>-409585.66000000009</v>
      </c>
      <c r="F21" s="54"/>
      <c r="G21" s="55"/>
      <c r="H21" s="55"/>
      <c r="I21" s="56"/>
      <c r="J21" s="57"/>
      <c r="L21" s="58" t="s">
        <v>10</v>
      </c>
      <c r="M21" s="59" t="s">
        <v>3</v>
      </c>
      <c r="N21" s="60">
        <f>SUM(N19:N20)</f>
        <v>14129.670617389042</v>
      </c>
      <c r="O21" s="60">
        <f t="shared" ref="O21:Y21" si="5">SUM(O19:O20)</f>
        <v>14129.670617389042</v>
      </c>
      <c r="P21" s="60">
        <f t="shared" si="5"/>
        <v>14129.670617389042</v>
      </c>
      <c r="Q21" s="60">
        <f t="shared" si="5"/>
        <v>14129.670617389042</v>
      </c>
      <c r="R21" s="60">
        <f t="shared" si="5"/>
        <v>14129.670617389042</v>
      </c>
      <c r="S21" s="60">
        <f t="shared" si="5"/>
        <v>14129.670617389042</v>
      </c>
      <c r="T21" s="60">
        <f t="shared" si="5"/>
        <v>14129.670617389042</v>
      </c>
      <c r="U21" s="60">
        <f t="shared" si="5"/>
        <v>14129.670617389042</v>
      </c>
      <c r="V21" s="60">
        <f t="shared" si="5"/>
        <v>14129.670617389042</v>
      </c>
      <c r="W21" s="60">
        <f t="shared" si="5"/>
        <v>14129.670617389042</v>
      </c>
      <c r="X21" s="60">
        <f t="shared" si="5"/>
        <v>14129.670617389042</v>
      </c>
      <c r="Y21" s="61">
        <f t="shared" si="5"/>
        <v>14129.670617389042</v>
      </c>
    </row>
    <row r="24" spans="1:25" x14ac:dyDescent="0.25">
      <c r="A24" t="s">
        <v>40</v>
      </c>
    </row>
    <row r="25" spans="1:25" x14ac:dyDescent="0.25">
      <c r="C25" t="s">
        <v>42</v>
      </c>
      <c r="D25" t="s">
        <v>44</v>
      </c>
    </row>
    <row r="26" spans="1:25" x14ac:dyDescent="0.25">
      <c r="A26" t="s">
        <v>41</v>
      </c>
      <c r="C26" s="1">
        <v>0.67</v>
      </c>
      <c r="D26" s="1">
        <v>0.28000000000000003</v>
      </c>
      <c r="E26" s="66">
        <f>67%*C26+33%*D26</f>
        <v>0.54130000000000011</v>
      </c>
    </row>
    <row r="27" spans="1:25" x14ac:dyDescent="0.25">
      <c r="A27" t="s">
        <v>45</v>
      </c>
      <c r="C27" s="1">
        <v>0.97</v>
      </c>
      <c r="D27" s="1">
        <v>0.87</v>
      </c>
      <c r="E27" s="66">
        <f>67%*C27+33%*D27</f>
        <v>0.93700000000000006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A1F85-8D6A-4E61-80E0-D2BA49E99A24}">
  <dimension ref="A1:K24"/>
  <sheetViews>
    <sheetView workbookViewId="0">
      <selection activeCell="G9" sqref="A1:G10"/>
    </sheetView>
  </sheetViews>
  <sheetFormatPr defaultRowHeight="15" x14ac:dyDescent="0.25"/>
  <cols>
    <col min="1" max="1" width="5.28515625" bestFit="1" customWidth="1"/>
    <col min="2" max="2" width="20.140625" customWidth="1"/>
    <col min="3" max="3" width="11.5703125" bestFit="1" customWidth="1"/>
    <col min="4" max="4" width="42.42578125" customWidth="1"/>
    <col min="5" max="5" width="17.28515625" customWidth="1"/>
    <col min="6" max="6" width="9.5703125" bestFit="1" customWidth="1"/>
    <col min="7" max="7" width="35.85546875" customWidth="1"/>
    <col min="10" max="10" width="12.28515625" customWidth="1"/>
  </cols>
  <sheetData>
    <row r="1" spans="1:11" ht="57.75" thickTop="1" thickBot="1" x14ac:dyDescent="0.3">
      <c r="A1" s="14" t="s">
        <v>38</v>
      </c>
      <c r="B1" s="12" t="s">
        <v>37</v>
      </c>
      <c r="C1" s="12" t="s">
        <v>36</v>
      </c>
      <c r="D1" s="12" t="s">
        <v>35</v>
      </c>
      <c r="E1" s="12" t="s">
        <v>34</v>
      </c>
      <c r="F1" s="13" t="s">
        <v>33</v>
      </c>
      <c r="G1" s="12" t="s">
        <v>32</v>
      </c>
      <c r="H1" s="11" t="s">
        <v>31</v>
      </c>
      <c r="I1" s="11" t="s">
        <v>30</v>
      </c>
      <c r="J1" s="11" t="s">
        <v>29</v>
      </c>
    </row>
    <row r="2" spans="1:11" ht="17.25" thickTop="1" thickBot="1" x14ac:dyDescent="0.3">
      <c r="A2" s="68">
        <v>1</v>
      </c>
      <c r="B2" s="69" t="s">
        <v>28</v>
      </c>
      <c r="C2" s="70">
        <v>8000</v>
      </c>
      <c r="D2" s="69" t="s">
        <v>26</v>
      </c>
      <c r="E2" s="70">
        <v>8000</v>
      </c>
      <c r="F2" s="71">
        <v>43497</v>
      </c>
      <c r="G2" s="69" t="s">
        <v>25</v>
      </c>
      <c r="H2" s="3">
        <f>E2/C2</f>
        <v>1</v>
      </c>
      <c r="I2" s="3">
        <f>H2</f>
        <v>1</v>
      </c>
      <c r="J2" s="4">
        <f t="shared" ref="J2:J10" si="0">I2*C2</f>
        <v>8000</v>
      </c>
      <c r="K2" s="67">
        <f>J2*0.3</f>
        <v>2400</v>
      </c>
    </row>
    <row r="3" spans="1:11" ht="16.5" thickBot="1" x14ac:dyDescent="0.3">
      <c r="A3" s="9">
        <v>2</v>
      </c>
      <c r="B3" s="6" t="s">
        <v>27</v>
      </c>
      <c r="C3" s="8">
        <v>11</v>
      </c>
      <c r="D3" s="6" t="s">
        <v>26</v>
      </c>
      <c r="E3" s="8">
        <v>11</v>
      </c>
      <c r="F3" s="15">
        <v>43497</v>
      </c>
      <c r="G3" s="7" t="s">
        <v>25</v>
      </c>
      <c r="H3" s="3">
        <f>E3/C3</f>
        <v>1</v>
      </c>
      <c r="I3" s="3">
        <f>H3</f>
        <v>1</v>
      </c>
      <c r="J3" s="4">
        <f t="shared" si="0"/>
        <v>11</v>
      </c>
    </row>
    <row r="4" spans="1:11" ht="32.25" thickBot="1" x14ac:dyDescent="0.3">
      <c r="A4" s="68">
        <v>3</v>
      </c>
      <c r="B4" s="69" t="s">
        <v>24</v>
      </c>
      <c r="C4" s="70">
        <v>1600</v>
      </c>
      <c r="D4" s="69"/>
      <c r="E4" s="70">
        <v>1600</v>
      </c>
      <c r="F4" s="71">
        <v>43497</v>
      </c>
      <c r="G4" s="69" t="s">
        <v>20</v>
      </c>
      <c r="H4" s="3">
        <f>E4/C4</f>
        <v>1</v>
      </c>
      <c r="I4" s="3">
        <f>H4</f>
        <v>1</v>
      </c>
      <c r="J4" s="4">
        <f t="shared" si="0"/>
        <v>1600</v>
      </c>
      <c r="K4" s="4">
        <f>J4*30%</f>
        <v>480</v>
      </c>
    </row>
    <row r="5" spans="1:11" ht="32.25" thickBot="1" x14ac:dyDescent="0.3">
      <c r="A5" s="9">
        <v>4</v>
      </c>
      <c r="B5" s="6" t="s">
        <v>23</v>
      </c>
      <c r="C5" s="8">
        <v>11</v>
      </c>
      <c r="D5" s="7"/>
      <c r="E5" s="8">
        <v>11</v>
      </c>
      <c r="F5" s="15">
        <v>43497</v>
      </c>
      <c r="G5" s="7" t="s">
        <v>20</v>
      </c>
      <c r="H5" s="3">
        <f>E5/C5</f>
        <v>1</v>
      </c>
      <c r="I5" s="3">
        <f>H5</f>
        <v>1</v>
      </c>
      <c r="J5" s="4">
        <f t="shared" si="0"/>
        <v>11</v>
      </c>
    </row>
    <row r="6" spans="1:11" ht="32.25" thickBot="1" x14ac:dyDescent="0.3">
      <c r="A6" s="9">
        <v>5</v>
      </c>
      <c r="B6" s="6" t="s">
        <v>22</v>
      </c>
      <c r="C6" s="10"/>
      <c r="D6" s="7"/>
      <c r="E6" s="8"/>
      <c r="F6" s="15">
        <v>43497</v>
      </c>
      <c r="G6" s="7" t="s">
        <v>20</v>
      </c>
      <c r="H6" s="3"/>
      <c r="I6" s="3"/>
      <c r="J6" s="4">
        <f t="shared" si="0"/>
        <v>0</v>
      </c>
    </row>
    <row r="7" spans="1:11" ht="32.25" thickBot="1" x14ac:dyDescent="0.3">
      <c r="A7" s="9">
        <v>6</v>
      </c>
      <c r="B7" s="6" t="s">
        <v>21</v>
      </c>
      <c r="C7" s="10"/>
      <c r="D7" s="7"/>
      <c r="E7" s="8"/>
      <c r="F7" s="15">
        <v>43497</v>
      </c>
      <c r="G7" s="7" t="s">
        <v>20</v>
      </c>
      <c r="H7" s="3"/>
      <c r="I7" s="3"/>
      <c r="J7" s="4">
        <f t="shared" si="0"/>
        <v>0</v>
      </c>
    </row>
    <row r="8" spans="1:11" ht="48" thickBot="1" x14ac:dyDescent="0.3">
      <c r="A8" s="9">
        <v>7</v>
      </c>
      <c r="B8" s="6" t="s">
        <v>10</v>
      </c>
      <c r="C8" s="8">
        <v>40</v>
      </c>
      <c r="D8" s="6" t="s">
        <v>19</v>
      </c>
      <c r="E8" s="8">
        <v>40</v>
      </c>
      <c r="F8" s="6" t="s">
        <v>18</v>
      </c>
      <c r="G8" s="7" t="s">
        <v>17</v>
      </c>
      <c r="H8" s="3">
        <f>E8/C8</f>
        <v>1</v>
      </c>
      <c r="I8" s="3">
        <f>H8</f>
        <v>1</v>
      </c>
      <c r="J8" s="4">
        <f t="shared" si="0"/>
        <v>40</v>
      </c>
    </row>
    <row r="9" spans="1:11" ht="35.25" customHeight="1" thickBot="1" x14ac:dyDescent="0.3">
      <c r="A9" s="68">
        <v>8</v>
      </c>
      <c r="B9" s="69" t="s">
        <v>16</v>
      </c>
      <c r="C9" s="70">
        <v>90000</v>
      </c>
      <c r="D9" s="69" t="s">
        <v>14</v>
      </c>
      <c r="E9" s="70">
        <v>4500</v>
      </c>
      <c r="F9" s="71">
        <v>43497</v>
      </c>
      <c r="G9" s="84" t="s">
        <v>39</v>
      </c>
      <c r="H9" s="3">
        <f>E9/C9</f>
        <v>0.05</v>
      </c>
      <c r="I9" s="3">
        <v>7.0000000000000007E-2</v>
      </c>
      <c r="J9" s="4">
        <f t="shared" si="0"/>
        <v>6300.0000000000009</v>
      </c>
    </row>
    <row r="10" spans="1:11" ht="35.25" customHeight="1" thickBot="1" x14ac:dyDescent="0.3">
      <c r="A10" s="72">
        <v>9</v>
      </c>
      <c r="B10" s="73" t="s">
        <v>15</v>
      </c>
      <c r="C10" s="74">
        <v>13500</v>
      </c>
      <c r="D10" s="69" t="s">
        <v>14</v>
      </c>
      <c r="E10" s="74">
        <v>675</v>
      </c>
      <c r="F10" s="71">
        <v>43497</v>
      </c>
      <c r="G10" s="85"/>
      <c r="H10" s="3">
        <f>E10/C10</f>
        <v>0.05</v>
      </c>
      <c r="I10" s="3">
        <v>7.0000000000000007E-2</v>
      </c>
      <c r="J10" s="4">
        <f t="shared" si="0"/>
        <v>945.00000000000011</v>
      </c>
    </row>
    <row r="11" spans="1:11" ht="15.75" thickTop="1" x14ac:dyDescent="0.25">
      <c r="C11" s="5"/>
      <c r="E11" s="5"/>
    </row>
    <row r="12" spans="1:11" x14ac:dyDescent="0.25">
      <c r="C12" s="5">
        <f>SUM(C2:C10)</f>
        <v>113162</v>
      </c>
      <c r="E12" s="5">
        <f>SUM(E2:E10)</f>
        <v>14837</v>
      </c>
      <c r="J12" s="4">
        <f>SUM(J2:J10)</f>
        <v>16907</v>
      </c>
    </row>
    <row r="14" spans="1:11" x14ac:dyDescent="0.25">
      <c r="E14" s="3">
        <f>E12/C12</f>
        <v>0.13111291776391368</v>
      </c>
      <c r="J14" s="3">
        <f>J12/C12</f>
        <v>0.14940527738993656</v>
      </c>
    </row>
    <row r="16" spans="1:11" x14ac:dyDescent="0.25">
      <c r="D16" t="s">
        <v>81</v>
      </c>
      <c r="E16" s="4">
        <f>E12-E2</f>
        <v>6837</v>
      </c>
      <c r="J16" s="4">
        <f>J12-J2</f>
        <v>8907</v>
      </c>
    </row>
    <row r="17" spans="4:11" x14ac:dyDescent="0.25">
      <c r="D17" t="s">
        <v>82</v>
      </c>
      <c r="E17" s="4">
        <f>E16-E4</f>
        <v>5237</v>
      </c>
      <c r="J17" s="4">
        <f>J16-J4</f>
        <v>7307</v>
      </c>
    </row>
    <row r="18" spans="4:11" x14ac:dyDescent="0.25">
      <c r="F18" t="s">
        <v>3</v>
      </c>
      <c r="K18" t="s">
        <v>3</v>
      </c>
    </row>
    <row r="19" spans="4:11" x14ac:dyDescent="0.25">
      <c r="D19" t="s">
        <v>1</v>
      </c>
      <c r="E19">
        <v>675</v>
      </c>
      <c r="F19" s="65">
        <f>E19*55%</f>
        <v>371.25000000000006</v>
      </c>
      <c r="J19" s="4">
        <f>J10</f>
        <v>945.00000000000011</v>
      </c>
      <c r="K19" s="65">
        <f>J19*55%</f>
        <v>519.75000000000011</v>
      </c>
    </row>
    <row r="20" spans="4:11" x14ac:dyDescent="0.25">
      <c r="D20" t="s">
        <v>89</v>
      </c>
      <c r="E20" s="4">
        <f>E17-E19</f>
        <v>4562</v>
      </c>
      <c r="F20" s="65">
        <f>E20*30%</f>
        <v>1368.6</v>
      </c>
      <c r="J20" s="4">
        <f>J17-J19</f>
        <v>6362</v>
      </c>
      <c r="K20" s="65">
        <f>J20*30%</f>
        <v>1908.6</v>
      </c>
    </row>
    <row r="21" spans="4:11" x14ac:dyDescent="0.25">
      <c r="D21" t="s">
        <v>90</v>
      </c>
      <c r="E21" s="4">
        <f>E2</f>
        <v>8000</v>
      </c>
      <c r="J21" s="4">
        <f>J2</f>
        <v>8000</v>
      </c>
    </row>
    <row r="22" spans="4:11" x14ac:dyDescent="0.25">
      <c r="D22" t="s">
        <v>91</v>
      </c>
      <c r="E22" s="4">
        <f>E4</f>
        <v>1600</v>
      </c>
      <c r="J22" s="4">
        <f>J4</f>
        <v>1600</v>
      </c>
    </row>
    <row r="24" spans="4:11" x14ac:dyDescent="0.25">
      <c r="E24">
        <f>SUM(E19:E22)</f>
        <v>14837</v>
      </c>
      <c r="J24">
        <f>SUM(J19:J22)</f>
        <v>16907</v>
      </c>
    </row>
  </sheetData>
  <mergeCells count="1">
    <mergeCell ref="G9:G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EAC9-AF42-4BC9-9892-25CB7C0C3E31}">
  <sheetPr>
    <pageSetUpPr fitToPage="1"/>
  </sheetPr>
  <dimension ref="A1:H34"/>
  <sheetViews>
    <sheetView showGridLines="0" tabSelected="1" zoomScale="160" zoomScaleNormal="160" workbookViewId="0"/>
  </sheetViews>
  <sheetFormatPr defaultRowHeight="15" x14ac:dyDescent="0.25"/>
  <cols>
    <col min="1" max="1" width="15.85546875" bestFit="1" customWidth="1"/>
    <col min="2" max="7" width="9.28515625" customWidth="1"/>
    <col min="8" max="8" width="49.42578125" customWidth="1"/>
  </cols>
  <sheetData>
    <row r="1" spans="1:8" x14ac:dyDescent="0.25">
      <c r="A1" s="64" t="s">
        <v>98</v>
      </c>
    </row>
    <row r="2" spans="1:8" x14ac:dyDescent="0.25">
      <c r="B2" s="86">
        <v>1</v>
      </c>
      <c r="C2" s="86"/>
      <c r="D2" s="87" t="s">
        <v>2</v>
      </c>
      <c r="E2" s="87"/>
      <c r="F2" s="87" t="s">
        <v>3</v>
      </c>
      <c r="G2" s="87"/>
    </row>
    <row r="3" spans="1:8" x14ac:dyDescent="0.25">
      <c r="B3" s="75" t="s">
        <v>0</v>
      </c>
      <c r="C3" s="75" t="s">
        <v>1</v>
      </c>
      <c r="D3" s="75" t="s">
        <v>0</v>
      </c>
      <c r="E3" s="75" t="s">
        <v>1</v>
      </c>
      <c r="F3" s="75" t="s">
        <v>0</v>
      </c>
      <c r="G3" s="75" t="s">
        <v>1</v>
      </c>
      <c r="H3" s="81" t="s">
        <v>99</v>
      </c>
    </row>
    <row r="4" spans="1:8" x14ac:dyDescent="0.25">
      <c r="A4" s="80" t="s">
        <v>4</v>
      </c>
      <c r="B4" s="76">
        <v>15.9</v>
      </c>
      <c r="C4" s="76">
        <v>0.95599999999999996</v>
      </c>
      <c r="D4" s="76">
        <f>B4*0.3</f>
        <v>4.7699999999999996</v>
      </c>
      <c r="E4" s="76">
        <f>C4*0.55</f>
        <v>0.52580000000000005</v>
      </c>
      <c r="F4" s="76">
        <f>D4</f>
        <v>4.7699999999999996</v>
      </c>
      <c r="G4" s="76">
        <f>E4</f>
        <v>0.52580000000000005</v>
      </c>
      <c r="H4" s="82" t="s">
        <v>11</v>
      </c>
    </row>
    <row r="5" spans="1:8" x14ac:dyDescent="0.25">
      <c r="A5" s="80" t="s">
        <v>5</v>
      </c>
      <c r="B5" s="76">
        <v>11</v>
      </c>
      <c r="C5" s="76">
        <v>1</v>
      </c>
      <c r="D5" s="76">
        <f>B5*0.3</f>
        <v>3.3</v>
      </c>
      <c r="E5" s="76">
        <f>C5*0.55</f>
        <v>0.55000000000000004</v>
      </c>
      <c r="F5" s="76">
        <f>SUM('Re-Use'!I11)/1000000</f>
        <v>3.0907392674618492</v>
      </c>
      <c r="G5" s="76">
        <f>'Re-Use'!I19/1000000</f>
        <v>0.1695560474086685</v>
      </c>
      <c r="H5" s="82" t="s">
        <v>13</v>
      </c>
    </row>
    <row r="6" spans="1:8" ht="30" x14ac:dyDescent="0.25">
      <c r="A6" s="80" t="s">
        <v>6</v>
      </c>
      <c r="B6" s="76">
        <v>4</v>
      </c>
      <c r="C6" s="76">
        <v>0</v>
      </c>
      <c r="D6" s="76">
        <f>B6*0.3</f>
        <v>1.2</v>
      </c>
      <c r="E6" s="76">
        <f>C6*0.55</f>
        <v>0</v>
      </c>
      <c r="F6" s="76">
        <f>D6*SUM(C17:D17)/2</f>
        <v>1.1039999999999999</v>
      </c>
      <c r="G6" s="76">
        <f>E6*0.6</f>
        <v>0</v>
      </c>
      <c r="H6" s="82" t="s">
        <v>97</v>
      </c>
    </row>
    <row r="7" spans="1:8" x14ac:dyDescent="0.25">
      <c r="A7" s="80" t="s">
        <v>7</v>
      </c>
      <c r="B7" s="76">
        <v>3.6</v>
      </c>
      <c r="C7" s="76">
        <f>2.6/7.4*5</f>
        <v>1.7567567567567568</v>
      </c>
      <c r="D7" s="76">
        <f>B7*0.3</f>
        <v>1.08</v>
      </c>
      <c r="E7" s="76">
        <f>C7*0.55</f>
        <v>0.96621621621621634</v>
      </c>
      <c r="F7" s="76">
        <f>D7*D17</f>
        <v>0.9396000000000001</v>
      </c>
      <c r="G7" s="76">
        <f>E7*D16</f>
        <v>0.27054054054054061</v>
      </c>
      <c r="H7" s="82" t="s">
        <v>94</v>
      </c>
    </row>
    <row r="8" spans="1:8" ht="30" x14ac:dyDescent="0.25">
      <c r="A8" s="80" t="s">
        <v>8</v>
      </c>
      <c r="B8" s="76">
        <f>10000*110*0.2/1000000</f>
        <v>0.22</v>
      </c>
      <c r="C8" s="76">
        <f>10000*110*0.8/1000000</f>
        <v>0.88</v>
      </c>
      <c r="D8" s="76">
        <f>B8*0.3</f>
        <v>6.6000000000000003E-2</v>
      </c>
      <c r="E8" s="76">
        <f>C8*0.55</f>
        <v>0.48400000000000004</v>
      </c>
      <c r="F8" s="76">
        <f>D8*D17</f>
        <v>5.7420000000000006E-2</v>
      </c>
      <c r="G8" s="76">
        <f>E8*D16</f>
        <v>0.13552000000000003</v>
      </c>
      <c r="H8" s="82" t="s">
        <v>9</v>
      </c>
    </row>
    <row r="9" spans="1:8" x14ac:dyDescent="0.25">
      <c r="A9" s="80"/>
      <c r="B9" s="76"/>
      <c r="C9" s="76"/>
      <c r="D9" s="76"/>
      <c r="E9" s="76"/>
      <c r="F9" s="76"/>
      <c r="G9" s="76"/>
    </row>
    <row r="10" spans="1:8" x14ac:dyDescent="0.25">
      <c r="A10" s="80" t="s">
        <v>95</v>
      </c>
      <c r="B10" s="76">
        <f>SUM(B4:B8)-B6</f>
        <v>30.72</v>
      </c>
      <c r="C10" s="76">
        <f t="shared" ref="C10:G10" si="0">SUM(C4:C8)</f>
        <v>4.5927567567567564</v>
      </c>
      <c r="D10" s="76">
        <f>SUM(D4:D8)-D6</f>
        <v>9.2160000000000011</v>
      </c>
      <c r="E10" s="76">
        <f t="shared" si="0"/>
        <v>2.5260162162162163</v>
      </c>
      <c r="F10" s="76">
        <f>SUM(F4:F8)-F6</f>
        <v>8.8577592674618497</v>
      </c>
      <c r="G10" s="76">
        <f t="shared" si="0"/>
        <v>1.1014165879492093</v>
      </c>
    </row>
    <row r="11" spans="1:8" x14ac:dyDescent="0.25">
      <c r="A11" s="80" t="s">
        <v>12</v>
      </c>
      <c r="B11" s="77"/>
      <c r="C11" s="77">
        <f>SUM(B10:C10)</f>
        <v>35.312756756756755</v>
      </c>
      <c r="D11" s="77"/>
      <c r="E11" s="77">
        <f>SUM(D10:E10)</f>
        <v>11.742016216216218</v>
      </c>
      <c r="F11" s="77"/>
      <c r="G11" s="77">
        <f>SUM(F10:G10)</f>
        <v>9.9591758554110594</v>
      </c>
    </row>
    <row r="12" spans="1:8" x14ac:dyDescent="0.25">
      <c r="A12" s="80" t="s">
        <v>96</v>
      </c>
      <c r="B12" s="77"/>
      <c r="C12" s="77">
        <v>30</v>
      </c>
      <c r="D12" s="77"/>
      <c r="E12" s="77">
        <f>C12*E11/C11</f>
        <v>9.9754456700434435</v>
      </c>
      <c r="F12" s="77"/>
      <c r="G12" s="77">
        <f>C12*G11/C11</f>
        <v>8.4608312435183652</v>
      </c>
    </row>
    <row r="13" spans="1:8" x14ac:dyDescent="0.25">
      <c r="B13" s="2"/>
    </row>
    <row r="15" spans="1:8" x14ac:dyDescent="0.25">
      <c r="A15" s="64" t="s">
        <v>40</v>
      </c>
      <c r="C15" s="78" t="s">
        <v>42</v>
      </c>
      <c r="D15" s="78" t="s">
        <v>44</v>
      </c>
    </row>
    <row r="16" spans="1:8" x14ac:dyDescent="0.25">
      <c r="A16" s="88" t="s">
        <v>41</v>
      </c>
      <c r="B16" s="88"/>
      <c r="C16" s="79">
        <v>0.67</v>
      </c>
      <c r="D16" s="79">
        <v>0.28000000000000003</v>
      </c>
    </row>
    <row r="17" spans="1:5" x14ac:dyDescent="0.25">
      <c r="A17" s="88" t="s">
        <v>45</v>
      </c>
      <c r="B17" s="88"/>
      <c r="C17" s="79">
        <v>0.97</v>
      </c>
      <c r="D17" s="79">
        <v>0.87</v>
      </c>
    </row>
    <row r="21" spans="1:5" ht="63.75" customHeight="1" x14ac:dyDescent="0.25"/>
    <row r="22" spans="1:5" x14ac:dyDescent="0.25">
      <c r="A22" s="64" t="s">
        <v>73</v>
      </c>
      <c r="C22">
        <f>SUM(C25:C34)</f>
        <v>39.4</v>
      </c>
      <c r="D22">
        <f>SUM(D25:D34)</f>
        <v>11.959999999999999</v>
      </c>
    </row>
    <row r="24" spans="1:5" x14ac:dyDescent="0.25">
      <c r="A24" t="s">
        <v>72</v>
      </c>
      <c r="B24" t="s">
        <v>71</v>
      </c>
      <c r="C24" t="s">
        <v>74</v>
      </c>
      <c r="D24" t="s">
        <v>78</v>
      </c>
      <c r="E24" t="s">
        <v>75</v>
      </c>
    </row>
    <row r="25" spans="1:5" x14ac:dyDescent="0.25">
      <c r="A25">
        <v>6238</v>
      </c>
      <c r="B25" t="s">
        <v>70</v>
      </c>
      <c r="C25">
        <v>8</v>
      </c>
      <c r="D25">
        <v>2.4</v>
      </c>
      <c r="E25" t="s">
        <v>76</v>
      </c>
    </row>
    <row r="26" spans="1:5" x14ac:dyDescent="0.25">
      <c r="A26">
        <v>15084</v>
      </c>
      <c r="B26" t="s">
        <v>77</v>
      </c>
      <c r="C26">
        <v>1.1000000000000001</v>
      </c>
      <c r="D26">
        <v>0.2</v>
      </c>
      <c r="E26" t="s">
        <v>79</v>
      </c>
    </row>
    <row r="27" spans="1:5" x14ac:dyDescent="0.25">
      <c r="A27">
        <v>15524</v>
      </c>
      <c r="B27" t="s">
        <v>80</v>
      </c>
      <c r="C27">
        <v>11</v>
      </c>
      <c r="D27">
        <v>3.1</v>
      </c>
      <c r="E27" t="s">
        <v>79</v>
      </c>
    </row>
    <row r="28" spans="1:5" x14ac:dyDescent="0.25">
      <c r="A28">
        <v>15542</v>
      </c>
      <c r="B28" t="s">
        <v>86</v>
      </c>
      <c r="C28">
        <v>6.4</v>
      </c>
      <c r="D28">
        <v>1.9</v>
      </c>
      <c r="E28" t="s">
        <v>79</v>
      </c>
    </row>
    <row r="29" spans="1:5" x14ac:dyDescent="0.25">
      <c r="A29">
        <v>15959</v>
      </c>
      <c r="B29" t="s">
        <v>83</v>
      </c>
      <c r="C29">
        <v>1</v>
      </c>
      <c r="D29">
        <v>0.17</v>
      </c>
      <c r="E29" t="s">
        <v>79</v>
      </c>
    </row>
    <row r="30" spans="1:5" x14ac:dyDescent="0.25">
      <c r="A30">
        <v>15974</v>
      </c>
      <c r="B30" t="s">
        <v>84</v>
      </c>
      <c r="C30">
        <v>4</v>
      </c>
      <c r="D30">
        <v>1.1000000000000001</v>
      </c>
      <c r="E30" t="s">
        <v>85</v>
      </c>
    </row>
    <row r="31" spans="1:5" x14ac:dyDescent="0.25">
      <c r="A31">
        <v>15988</v>
      </c>
      <c r="B31" t="s">
        <v>87</v>
      </c>
      <c r="C31">
        <v>0.94</v>
      </c>
      <c r="D31">
        <v>0.52</v>
      </c>
      <c r="E31" t="s">
        <v>85</v>
      </c>
    </row>
    <row r="32" spans="1:5" x14ac:dyDescent="0.25">
      <c r="A32">
        <v>15997</v>
      </c>
      <c r="B32" t="s">
        <v>88</v>
      </c>
      <c r="C32">
        <v>1.6</v>
      </c>
      <c r="D32">
        <v>0.5</v>
      </c>
      <c r="E32" t="s">
        <v>79</v>
      </c>
    </row>
    <row r="33" spans="1:5" x14ac:dyDescent="0.25">
      <c r="A33">
        <v>11697</v>
      </c>
      <c r="B33" t="s">
        <v>92</v>
      </c>
      <c r="C33">
        <v>3.6</v>
      </c>
      <c r="D33">
        <v>1.1000000000000001</v>
      </c>
      <c r="E33" t="s">
        <v>76</v>
      </c>
    </row>
    <row r="34" spans="1:5" x14ac:dyDescent="0.25">
      <c r="A34">
        <v>16120</v>
      </c>
      <c r="B34" t="s">
        <v>93</v>
      </c>
      <c r="C34">
        <v>1.76</v>
      </c>
      <c r="D34">
        <v>0.97</v>
      </c>
      <c r="E34" t="s">
        <v>79</v>
      </c>
    </row>
  </sheetData>
  <mergeCells count="5">
    <mergeCell ref="B2:C2"/>
    <mergeCell ref="D2:E2"/>
    <mergeCell ref="F2:G2"/>
    <mergeCell ref="A16:B16"/>
    <mergeCell ref="A17:B17"/>
  </mergeCells>
  <pageMargins left="0.7" right="0.7" top="0.75" bottom="0.75" header="0.3" footer="0.3"/>
  <pageSetup scale="8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Re-Use</vt:lpstr>
      <vt:lpstr>Sales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Dunbar, Stewart W SPDC-PTC/UA</dc:creator>
  <cp:lastModifiedBy>Dunbar, Stewart W SPDC-PTC/UA</cp:lastModifiedBy>
  <cp:lastPrinted>2019-02-08T04:30:04Z</cp:lastPrinted>
  <dcterms:created xsi:type="dcterms:W3CDTF">2019-01-17T07:24:31Z</dcterms:created>
  <dcterms:modified xsi:type="dcterms:W3CDTF">2019-02-12T12:04:10Z</dcterms:modified>
</cp:coreProperties>
</file>