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neka.Iloanusi\Desktop\2017\HOTDESK\"/>
    </mc:Choice>
  </mc:AlternateContent>
  <bookViews>
    <workbookView xWindow="0" yWindow="0" windowWidth="19560" windowHeight="7815" activeTab="3"/>
  </bookViews>
  <sheets>
    <sheet name="2017 plan 150" sheetId="4" r:id="rId1"/>
    <sheet name="2017 plan 160" sheetId="6" r:id="rId2"/>
    <sheet name="Surplus 2017" sheetId="8" r:id="rId3"/>
    <sheet name="Re-use 2017" sheetId="7" r:id="rId4"/>
    <sheet name="Investment recovery" sheetId="9" r:id="rId5"/>
    <sheet name="Space" sheetId="11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7" l="1"/>
  <c r="I17" i="7"/>
  <c r="H17" i="7"/>
  <c r="G17" i="7"/>
  <c r="F17" i="7"/>
  <c r="E17" i="7"/>
  <c r="D17" i="7"/>
  <c r="V19" i="9" l="1"/>
  <c r="Q19" i="9"/>
  <c r="AA19" i="9"/>
  <c r="Z19" i="9"/>
  <c r="Y19" i="9"/>
  <c r="X19" i="9"/>
  <c r="W19" i="9"/>
  <c r="U19" i="9"/>
  <c r="T19" i="9"/>
  <c r="S19" i="9"/>
  <c r="R19" i="9"/>
  <c r="N19" i="9"/>
  <c r="M19" i="9"/>
  <c r="L19" i="9"/>
  <c r="K19" i="9"/>
  <c r="J19" i="9"/>
  <c r="H15" i="8" l="1"/>
  <c r="O19" i="9" l="1"/>
  <c r="O18" i="9"/>
  <c r="I19" i="9"/>
  <c r="I18" i="9"/>
  <c r="V18" i="9"/>
  <c r="U18" i="9"/>
  <c r="T18" i="9"/>
  <c r="S18" i="9"/>
  <c r="R18" i="9"/>
  <c r="Q18" i="9"/>
  <c r="F3" i="11" l="1"/>
  <c r="C3" i="11"/>
  <c r="B3" i="11"/>
  <c r="F6" i="11" l="1"/>
  <c r="F5" i="11"/>
  <c r="F4" i="11"/>
  <c r="C6" i="11" l="1"/>
  <c r="B6" i="11"/>
  <c r="B5" i="11"/>
  <c r="C5" i="11"/>
  <c r="C4" i="11"/>
  <c r="B4" i="11"/>
  <c r="AD19" i="11"/>
  <c r="AD18" i="11"/>
  <c r="AD17" i="11"/>
  <c r="AD16" i="11"/>
  <c r="AD15" i="11"/>
  <c r="AC20" i="11"/>
  <c r="AB20" i="11"/>
  <c r="AA20" i="11"/>
  <c r="Z20" i="11"/>
  <c r="AD11" i="11"/>
  <c r="AD10" i="11"/>
  <c r="AD9" i="11"/>
  <c r="AD8" i="11"/>
  <c r="AD7" i="11"/>
  <c r="AD6" i="11"/>
  <c r="AD5" i="11"/>
  <c r="AC12" i="11"/>
  <c r="AB12" i="11"/>
  <c r="AA12" i="11"/>
  <c r="Z12" i="11"/>
  <c r="D4" i="11" l="1"/>
  <c r="AD20" i="11"/>
  <c r="D5" i="11"/>
  <c r="D6" i="11"/>
  <c r="AD12" i="11"/>
  <c r="D3" i="11"/>
  <c r="P7" i="9" l="1"/>
  <c r="P12" i="9"/>
  <c r="O14" i="9" l="1"/>
  <c r="O12" i="9"/>
  <c r="I12" i="9"/>
  <c r="O7" i="9"/>
  <c r="I7" i="9"/>
  <c r="H13" i="6"/>
  <c r="D9" i="8"/>
  <c r="E9" i="8"/>
  <c r="F9" i="8"/>
  <c r="G9" i="8"/>
  <c r="I14" i="9" l="1"/>
  <c r="T1" i="9"/>
  <c r="U1" i="9" s="1"/>
  <c r="G6" i="9"/>
  <c r="N6" i="9" s="1"/>
  <c r="F6" i="9"/>
  <c r="L6" i="9" s="1"/>
  <c r="E6" i="9"/>
  <c r="K6" i="9" s="1"/>
  <c r="D6" i="9"/>
  <c r="J6" i="9" s="1"/>
  <c r="M6" i="9" s="1"/>
  <c r="G5" i="9"/>
  <c r="N5" i="9" s="1"/>
  <c r="F5" i="9"/>
  <c r="L5" i="9" s="1"/>
  <c r="E5" i="9"/>
  <c r="K5" i="9" s="1"/>
  <c r="D5" i="9"/>
  <c r="J5" i="9" s="1"/>
  <c r="G4" i="9"/>
  <c r="F4" i="9"/>
  <c r="E4" i="9"/>
  <c r="D4" i="9"/>
  <c r="J4" i="9" s="1"/>
  <c r="C11" i="9"/>
  <c r="E11" i="9" s="1"/>
  <c r="K11" i="9" s="1"/>
  <c r="C10" i="9"/>
  <c r="C9" i="9"/>
  <c r="E9" i="9" s="1"/>
  <c r="K9" i="9" s="1"/>
  <c r="C11" i="7"/>
  <c r="C9" i="7"/>
  <c r="C6" i="7"/>
  <c r="C5" i="7"/>
  <c r="C4" i="7"/>
  <c r="H1" i="7"/>
  <c r="C10" i="8"/>
  <c r="D10" i="8" s="1"/>
  <c r="C8" i="8"/>
  <c r="G8" i="8" s="1"/>
  <c r="C5" i="8"/>
  <c r="F5" i="8" s="1"/>
  <c r="C4" i="8"/>
  <c r="F4" i="8" s="1"/>
  <c r="C3" i="8"/>
  <c r="F3" i="8" s="1"/>
  <c r="C10" i="6"/>
  <c r="C9" i="6"/>
  <c r="C8" i="6"/>
  <c r="C5" i="6"/>
  <c r="C4" i="6"/>
  <c r="C3" i="6"/>
  <c r="H10" i="6"/>
  <c r="F7" i="9" l="1"/>
  <c r="L4" i="9"/>
  <c r="L7" i="9"/>
  <c r="G7" i="9"/>
  <c r="N4" i="9"/>
  <c r="N7" i="9" s="1"/>
  <c r="J7" i="9"/>
  <c r="M4" i="9"/>
  <c r="M5" i="9"/>
  <c r="E7" i="9"/>
  <c r="K4" i="9"/>
  <c r="K7" i="9"/>
  <c r="L9" i="7"/>
  <c r="I9" i="7"/>
  <c r="K9" i="7"/>
  <c r="J9" i="7"/>
  <c r="E6" i="7"/>
  <c r="L6" i="7"/>
  <c r="K6" i="7"/>
  <c r="J6" i="7"/>
  <c r="I6" i="7"/>
  <c r="L4" i="7"/>
  <c r="K4" i="7"/>
  <c r="I4" i="7"/>
  <c r="M4" i="7" s="1"/>
  <c r="J4" i="7"/>
  <c r="E11" i="7"/>
  <c r="L11" i="7"/>
  <c r="K11" i="7"/>
  <c r="I11" i="7"/>
  <c r="J11" i="7"/>
  <c r="L5" i="7"/>
  <c r="I5" i="7"/>
  <c r="M5" i="7" s="1"/>
  <c r="K5" i="7"/>
  <c r="J5" i="7"/>
  <c r="G5" i="7"/>
  <c r="C7" i="7"/>
  <c r="G10" i="9"/>
  <c r="N10" i="9" s="1"/>
  <c r="F10" i="9"/>
  <c r="L10" i="9" s="1"/>
  <c r="D10" i="9"/>
  <c r="J10" i="9" s="1"/>
  <c r="E10" i="9"/>
  <c r="K10" i="9" s="1"/>
  <c r="K12" i="9" s="1"/>
  <c r="F11" i="9"/>
  <c r="L11" i="9" s="1"/>
  <c r="F9" i="9"/>
  <c r="L9" i="9" s="1"/>
  <c r="G9" i="9"/>
  <c r="N9" i="9" s="1"/>
  <c r="Q5" i="9"/>
  <c r="V5" i="9" s="1"/>
  <c r="T5" i="9"/>
  <c r="Y5" i="9" s="1"/>
  <c r="D9" i="9"/>
  <c r="J9" i="9" s="1"/>
  <c r="D11" i="9"/>
  <c r="J11" i="9" s="1"/>
  <c r="R5" i="9"/>
  <c r="W5" i="9" s="1"/>
  <c r="G11" i="9"/>
  <c r="N11" i="9" s="1"/>
  <c r="H6" i="9"/>
  <c r="H5" i="9"/>
  <c r="D7" i="9"/>
  <c r="H4" i="9"/>
  <c r="F4" i="7"/>
  <c r="D5" i="7"/>
  <c r="F6" i="7"/>
  <c r="F9" i="7"/>
  <c r="F11" i="7"/>
  <c r="G4" i="7"/>
  <c r="E5" i="7"/>
  <c r="G6" i="7"/>
  <c r="G11" i="7"/>
  <c r="G9" i="7"/>
  <c r="D4" i="7"/>
  <c r="F5" i="7"/>
  <c r="D6" i="7"/>
  <c r="D9" i="7"/>
  <c r="D11" i="7"/>
  <c r="E4" i="7"/>
  <c r="E9" i="7"/>
  <c r="E10" i="8"/>
  <c r="D8" i="8"/>
  <c r="E8" i="8"/>
  <c r="D3" i="8"/>
  <c r="G3" i="8"/>
  <c r="F8" i="8"/>
  <c r="F10" i="8"/>
  <c r="G5" i="8"/>
  <c r="G10" i="8"/>
  <c r="E3" i="8"/>
  <c r="E6" i="8" s="1"/>
  <c r="E4" i="8"/>
  <c r="E5" i="8"/>
  <c r="G4" i="8"/>
  <c r="D4" i="8"/>
  <c r="D5" i="8"/>
  <c r="F6" i="8"/>
  <c r="C6" i="8"/>
  <c r="G15" i="6"/>
  <c r="F15" i="6"/>
  <c r="E15" i="6"/>
  <c r="D15" i="6"/>
  <c r="L10" i="6"/>
  <c r="K10" i="6"/>
  <c r="J10" i="6"/>
  <c r="I10" i="6"/>
  <c r="K9" i="6"/>
  <c r="K11" i="6" s="1"/>
  <c r="I9" i="6"/>
  <c r="G9" i="6"/>
  <c r="F9" i="6"/>
  <c r="E9" i="6"/>
  <c r="D9" i="6"/>
  <c r="L9" i="6"/>
  <c r="C6" i="6"/>
  <c r="M7" i="9" l="1"/>
  <c r="N12" i="9"/>
  <c r="M10" i="9"/>
  <c r="J18" i="9"/>
  <c r="K18" i="9"/>
  <c r="K14" i="9"/>
  <c r="L18" i="9"/>
  <c r="M11" i="9"/>
  <c r="J12" i="9"/>
  <c r="M9" i="9"/>
  <c r="M12" i="9" s="1"/>
  <c r="L12" i="9"/>
  <c r="N14" i="9"/>
  <c r="N18" i="9"/>
  <c r="AA18" i="9" s="1"/>
  <c r="L7" i="7"/>
  <c r="K7" i="7"/>
  <c r="I7" i="7"/>
  <c r="I16" i="7" s="1"/>
  <c r="J7" i="7"/>
  <c r="J16" i="7" s="1"/>
  <c r="M9" i="7"/>
  <c r="E7" i="7"/>
  <c r="E16" i="7" s="1"/>
  <c r="M11" i="7"/>
  <c r="M6" i="7"/>
  <c r="H5" i="7"/>
  <c r="G7" i="7"/>
  <c r="G16" i="7" s="1"/>
  <c r="H10" i="9"/>
  <c r="H11" i="9"/>
  <c r="J9" i="6"/>
  <c r="C9" i="8" s="1"/>
  <c r="C10" i="7"/>
  <c r="S6" i="9"/>
  <c r="X6" i="9" s="1"/>
  <c r="Q6" i="9"/>
  <c r="V6" i="9" s="1"/>
  <c r="T6" i="9"/>
  <c r="Y6" i="9" s="1"/>
  <c r="R6" i="9"/>
  <c r="W6" i="9" s="1"/>
  <c r="S4" i="9"/>
  <c r="X4" i="9" s="1"/>
  <c r="Q4" i="9"/>
  <c r="V4" i="9" s="1"/>
  <c r="T4" i="9"/>
  <c r="Y4" i="9" s="1"/>
  <c r="R4" i="9"/>
  <c r="W4" i="9" s="1"/>
  <c r="H7" i="9"/>
  <c r="C7" i="9" s="1"/>
  <c r="U5" i="9"/>
  <c r="H9" i="9"/>
  <c r="H9" i="7"/>
  <c r="H6" i="7"/>
  <c r="H11" i="7"/>
  <c r="F7" i="7"/>
  <c r="F16" i="7" s="1"/>
  <c r="H4" i="7"/>
  <c r="G5" i="11" s="1"/>
  <c r="H5" i="11" s="1"/>
  <c r="D7" i="7"/>
  <c r="D16" i="7" s="1"/>
  <c r="H10" i="8"/>
  <c r="D6" i="8"/>
  <c r="H8" i="8"/>
  <c r="H5" i="8"/>
  <c r="H4" i="8"/>
  <c r="G6" i="8"/>
  <c r="H3" i="8"/>
  <c r="C11" i="6"/>
  <c r="C13" i="6" s="1"/>
  <c r="C9" i="4"/>
  <c r="L14" i="9" l="1"/>
  <c r="J14" i="9"/>
  <c r="M18" i="9"/>
  <c r="M14" i="9"/>
  <c r="M16" i="7"/>
  <c r="M7" i="7"/>
  <c r="L10" i="7"/>
  <c r="K10" i="7"/>
  <c r="J10" i="7"/>
  <c r="I10" i="7"/>
  <c r="K5" i="11"/>
  <c r="L5" i="11"/>
  <c r="G6" i="11"/>
  <c r="H6" i="11" s="1"/>
  <c r="G4" i="11"/>
  <c r="H4" i="11" s="1"/>
  <c r="H7" i="7"/>
  <c r="H16" i="7" s="1"/>
  <c r="Q7" i="9"/>
  <c r="S7" i="9"/>
  <c r="R7" i="9"/>
  <c r="Z4" i="9"/>
  <c r="G10" i="7"/>
  <c r="G12" i="7" s="1"/>
  <c r="E10" i="7"/>
  <c r="E12" i="7" s="1"/>
  <c r="D10" i="7"/>
  <c r="C12" i="7"/>
  <c r="F10" i="7"/>
  <c r="F12" i="7" s="1"/>
  <c r="C11" i="8"/>
  <c r="Z6" i="9"/>
  <c r="Y7" i="9"/>
  <c r="Y18" i="9" s="1"/>
  <c r="V7" i="9"/>
  <c r="U6" i="9"/>
  <c r="W7" i="9"/>
  <c r="W18" i="9" s="1"/>
  <c r="U4" i="9"/>
  <c r="T7" i="9"/>
  <c r="H6" i="8"/>
  <c r="I9" i="4"/>
  <c r="J9" i="4" s="1"/>
  <c r="E14" i="7" l="1"/>
  <c r="M10" i="7"/>
  <c r="F14" i="7"/>
  <c r="G14" i="7"/>
  <c r="C14" i="7"/>
  <c r="L12" i="7"/>
  <c r="L14" i="7" s="1"/>
  <c r="I12" i="7"/>
  <c r="K12" i="7"/>
  <c r="K14" i="7" s="1"/>
  <c r="J12" i="7"/>
  <c r="K4" i="11"/>
  <c r="L4" i="11"/>
  <c r="K6" i="11"/>
  <c r="L6" i="11"/>
  <c r="M5" i="11"/>
  <c r="N5" i="11" s="1"/>
  <c r="U7" i="9"/>
  <c r="C13" i="8"/>
  <c r="G11" i="8"/>
  <c r="G13" i="8" s="1"/>
  <c r="E11" i="8"/>
  <c r="E13" i="8" s="1"/>
  <c r="F11" i="8"/>
  <c r="F13" i="8" s="1"/>
  <c r="H9" i="8"/>
  <c r="D11" i="8"/>
  <c r="H10" i="7"/>
  <c r="D12" i="7"/>
  <c r="I10" i="4"/>
  <c r="J10" i="4" s="1"/>
  <c r="I8" i="4"/>
  <c r="I4" i="4"/>
  <c r="J4" i="4" s="1"/>
  <c r="I5" i="4"/>
  <c r="J5" i="4" s="1"/>
  <c r="I3" i="4"/>
  <c r="J14" i="7" l="1"/>
  <c r="M17" i="7"/>
  <c r="M19" i="7" s="1"/>
  <c r="M12" i="7"/>
  <c r="M14" i="7" s="1"/>
  <c r="I14" i="7"/>
  <c r="S5" i="11"/>
  <c r="Q5" i="11"/>
  <c r="R5" i="11"/>
  <c r="P5" i="11"/>
  <c r="M6" i="11"/>
  <c r="N6" i="11" s="1"/>
  <c r="M4" i="11"/>
  <c r="N4" i="11" s="1"/>
  <c r="T10" i="9"/>
  <c r="Y10" i="9" s="1"/>
  <c r="R10" i="9"/>
  <c r="W10" i="9" s="1"/>
  <c r="S10" i="9"/>
  <c r="X10" i="9" s="1"/>
  <c r="Q10" i="9"/>
  <c r="V10" i="9" s="1"/>
  <c r="G12" i="9"/>
  <c r="G14" i="9" s="1"/>
  <c r="D14" i="7"/>
  <c r="H12" i="7"/>
  <c r="H19" i="7" s="1"/>
  <c r="D13" i="8"/>
  <c r="H11" i="8"/>
  <c r="H13" i="8" s="1"/>
  <c r="F12" i="9"/>
  <c r="F14" i="9" s="1"/>
  <c r="H12" i="9"/>
  <c r="D12" i="9"/>
  <c r="D14" i="9" s="1"/>
  <c r="S9" i="9"/>
  <c r="X9" i="9" s="1"/>
  <c r="T9" i="9"/>
  <c r="Y9" i="9" s="1"/>
  <c r="Q9" i="9"/>
  <c r="V9" i="9" s="1"/>
  <c r="R9" i="9"/>
  <c r="W9" i="9" s="1"/>
  <c r="E12" i="9"/>
  <c r="E14" i="9" s="1"/>
  <c r="T11" i="9"/>
  <c r="Y11" i="9" s="1"/>
  <c r="R11" i="9"/>
  <c r="W11" i="9" s="1"/>
  <c r="S11" i="9"/>
  <c r="X11" i="9" s="1"/>
  <c r="Q11" i="9"/>
  <c r="V11" i="9" s="1"/>
  <c r="I6" i="4"/>
  <c r="J3" i="4"/>
  <c r="J6" i="4" s="1"/>
  <c r="I11" i="4"/>
  <c r="J8" i="4"/>
  <c r="J11" i="4" s="1"/>
  <c r="G15" i="4"/>
  <c r="F15" i="4"/>
  <c r="E15" i="4"/>
  <c r="D15" i="4"/>
  <c r="H11" i="4"/>
  <c r="C11" i="4"/>
  <c r="L10" i="4"/>
  <c r="K10" i="4"/>
  <c r="G10" i="4"/>
  <c r="G10" i="6" s="1"/>
  <c r="F10" i="4"/>
  <c r="F10" i="6" s="1"/>
  <c r="E10" i="4"/>
  <c r="E10" i="6" s="1"/>
  <c r="D10" i="4"/>
  <c r="D10" i="6" s="1"/>
  <c r="L9" i="4"/>
  <c r="K9" i="4"/>
  <c r="G9" i="4"/>
  <c r="F9" i="4"/>
  <c r="E9" i="4"/>
  <c r="D9" i="4"/>
  <c r="G8" i="4"/>
  <c r="G8" i="6" s="1"/>
  <c r="F8" i="4"/>
  <c r="F8" i="6" s="1"/>
  <c r="E8" i="4"/>
  <c r="E8" i="6" s="1"/>
  <c r="D8" i="4"/>
  <c r="D8" i="6" s="1"/>
  <c r="H6" i="4"/>
  <c r="C6" i="4"/>
  <c r="L5" i="4"/>
  <c r="K5" i="4"/>
  <c r="G5" i="4"/>
  <c r="G5" i="6" s="1"/>
  <c r="F5" i="4"/>
  <c r="F5" i="6" s="1"/>
  <c r="E5" i="4"/>
  <c r="E5" i="6" s="1"/>
  <c r="D5" i="4"/>
  <c r="D5" i="6" s="1"/>
  <c r="L4" i="4"/>
  <c r="K4" i="4"/>
  <c r="G4" i="4"/>
  <c r="G4" i="6" s="1"/>
  <c r="F4" i="4"/>
  <c r="F4" i="6" s="1"/>
  <c r="E4" i="4"/>
  <c r="E4" i="6" s="1"/>
  <c r="D4" i="4"/>
  <c r="D4" i="6" s="1"/>
  <c r="G3" i="4"/>
  <c r="G3" i="6" s="1"/>
  <c r="F3" i="4"/>
  <c r="F3" i="6" s="1"/>
  <c r="E3" i="4"/>
  <c r="E3" i="6" s="1"/>
  <c r="D3" i="4"/>
  <c r="D3" i="6" s="1"/>
  <c r="S4" i="11" l="1"/>
  <c r="P4" i="11"/>
  <c r="R4" i="11"/>
  <c r="Q4" i="11"/>
  <c r="S6" i="11"/>
  <c r="Q6" i="11"/>
  <c r="P6" i="11"/>
  <c r="R6" i="11"/>
  <c r="H14" i="7"/>
  <c r="G3" i="11"/>
  <c r="H3" i="11" s="1"/>
  <c r="X12" i="9"/>
  <c r="Z10" i="9"/>
  <c r="U10" i="9"/>
  <c r="W12" i="9"/>
  <c r="R12" i="9"/>
  <c r="R14" i="9" s="1"/>
  <c r="S12" i="9"/>
  <c r="S14" i="9" s="1"/>
  <c r="Q12" i="9"/>
  <c r="Q14" i="9" s="1"/>
  <c r="U9" i="9"/>
  <c r="H14" i="9"/>
  <c r="Z11" i="9"/>
  <c r="U11" i="9"/>
  <c r="T12" i="9"/>
  <c r="T14" i="9" s="1"/>
  <c r="Y12" i="9"/>
  <c r="H4" i="6"/>
  <c r="E6" i="6"/>
  <c r="H3" i="6"/>
  <c r="D6" i="6"/>
  <c r="F6" i="6"/>
  <c r="H5" i="6"/>
  <c r="G6" i="6"/>
  <c r="I13" i="4"/>
  <c r="J13" i="4"/>
  <c r="F11" i="4"/>
  <c r="L6" i="4"/>
  <c r="G11" i="4"/>
  <c r="F6" i="4"/>
  <c r="E6" i="4"/>
  <c r="D6" i="4"/>
  <c r="G6" i="4"/>
  <c r="C13" i="4"/>
  <c r="K6" i="4"/>
  <c r="D11" i="4"/>
  <c r="E11" i="4"/>
  <c r="K11" i="4"/>
  <c r="H13" i="4"/>
  <c r="L11" i="4"/>
  <c r="Y14" i="9" l="1"/>
  <c r="W14" i="9"/>
  <c r="Q9" i="11"/>
  <c r="P9" i="11"/>
  <c r="R9" i="11"/>
  <c r="S9" i="11"/>
  <c r="L3" i="11"/>
  <c r="K3" i="11"/>
  <c r="H16" i="9"/>
  <c r="Z9" i="9"/>
  <c r="Z12" i="9" s="1"/>
  <c r="V12" i="9"/>
  <c r="V14" i="9" s="1"/>
  <c r="U12" i="9"/>
  <c r="U14" i="9" s="1"/>
  <c r="L5" i="6"/>
  <c r="K5" i="6"/>
  <c r="I5" i="6"/>
  <c r="J5" i="6" s="1"/>
  <c r="H6" i="6"/>
  <c r="L6" i="6" s="1"/>
  <c r="I3" i="6"/>
  <c r="I4" i="6"/>
  <c r="J4" i="6" s="1"/>
  <c r="L4" i="6"/>
  <c r="K4" i="6"/>
  <c r="K6" i="6" s="1"/>
  <c r="K13" i="6" s="1"/>
  <c r="E13" i="4"/>
  <c r="F13" i="4"/>
  <c r="D13" i="4"/>
  <c r="G13" i="4"/>
  <c r="K13" i="4"/>
  <c r="G11" i="6"/>
  <c r="G13" i="6" s="1"/>
  <c r="E11" i="6"/>
  <c r="E13" i="6"/>
  <c r="F11" i="6"/>
  <c r="F13" i="6" s="1"/>
  <c r="H8" i="6"/>
  <c r="D11" i="6"/>
  <c r="D13" i="6" s="1"/>
  <c r="M3" i="11" l="1"/>
  <c r="N3" i="11" s="1"/>
  <c r="J3" i="6"/>
  <c r="J6" i="6" s="1"/>
  <c r="I6" i="6"/>
  <c r="J8" i="6"/>
  <c r="J11" i="6" s="1"/>
  <c r="I8" i="6"/>
  <c r="I11" i="6" s="1"/>
  <c r="I13" i="6" s="1"/>
  <c r="H11" i="6"/>
  <c r="L11" i="6" s="1"/>
  <c r="S3" i="11" l="1"/>
  <c r="S8" i="11" s="1"/>
  <c r="Q3" i="11"/>
  <c r="Q8" i="11" s="1"/>
  <c r="R3" i="11"/>
  <c r="R8" i="11" s="1"/>
  <c r="P3" i="11"/>
  <c r="P8" i="11" s="1"/>
  <c r="J13" i="6"/>
  <c r="C14" i="9" s="1"/>
  <c r="C12" i="9"/>
  <c r="S5" i="9"/>
  <c r="X5" i="9"/>
  <c r="P14" i="9"/>
  <c r="U16" i="9" s="1"/>
  <c r="Z5" i="9" l="1"/>
  <c r="Z7" i="9" s="1"/>
  <c r="X7" i="9"/>
  <c r="X18" i="9" l="1"/>
  <c r="X14" i="9"/>
  <c r="Z18" i="9"/>
  <c r="Z14" i="9"/>
</calcChain>
</file>

<file path=xl/sharedStrings.xml><?xml version="1.0" encoding="utf-8"?>
<sst xmlns="http://schemas.openxmlformats.org/spreadsheetml/2006/main" count="203" uniqueCount="79">
  <si>
    <t>Q1</t>
  </si>
  <si>
    <t>Q2</t>
  </si>
  <si>
    <t>Q3</t>
  </si>
  <si>
    <t>Q4</t>
  </si>
  <si>
    <t>Total</t>
  </si>
  <si>
    <t>SPDC</t>
  </si>
  <si>
    <t>Projects</t>
  </si>
  <si>
    <t>Wells</t>
  </si>
  <si>
    <t>Production</t>
  </si>
  <si>
    <t>Total SPDC</t>
  </si>
  <si>
    <t>SNEPCO</t>
  </si>
  <si>
    <t>Total SNEPCO</t>
  </si>
  <si>
    <t>Target</t>
  </si>
  <si>
    <t>Reduction</t>
  </si>
  <si>
    <t>Opening Inv</t>
  </si>
  <si>
    <t>Closing Inv</t>
  </si>
  <si>
    <t>SCiN Investment Recovery</t>
  </si>
  <si>
    <t>Re-use</t>
  </si>
  <si>
    <t>Disposal</t>
  </si>
  <si>
    <t>% recovery of disposal</t>
  </si>
  <si>
    <t>KI</t>
  </si>
  <si>
    <t>Onne</t>
  </si>
  <si>
    <t>IA</t>
  </si>
  <si>
    <t>Warri</t>
  </si>
  <si>
    <t>SCiN Inventory Reduction (150m)</t>
  </si>
  <si>
    <t>SCiN Inventory Reduction (160m)</t>
  </si>
  <si>
    <t>Surplus</t>
  </si>
  <si>
    <t>SCiN Surplus Reduction (160m)</t>
  </si>
  <si>
    <t>Phasing</t>
  </si>
  <si>
    <t>Check</t>
  </si>
  <si>
    <t>Surplus Book Value</t>
  </si>
  <si>
    <t>2016 recovery</t>
  </si>
  <si>
    <t>Disposal percentage</t>
  </si>
  <si>
    <t>Total Recovery</t>
  </si>
  <si>
    <t>2017 Phasing</t>
  </si>
  <si>
    <t>2017 recovery</t>
  </si>
  <si>
    <t>NG01</t>
  </si>
  <si>
    <t>NG11</t>
  </si>
  <si>
    <t>NG12</t>
  </si>
  <si>
    <t>NG14</t>
  </si>
  <si>
    <t>NG15</t>
  </si>
  <si>
    <t>NG16</t>
  </si>
  <si>
    <t>NG17</t>
  </si>
  <si>
    <t>Spares</t>
  </si>
  <si>
    <t>General</t>
  </si>
  <si>
    <t>Gen other</t>
  </si>
  <si>
    <t>NG02</t>
  </si>
  <si>
    <t>NG25</t>
  </si>
  <si>
    <t>NG26</t>
  </si>
  <si>
    <t>NG27</t>
  </si>
  <si>
    <t>NG28</t>
  </si>
  <si>
    <t>Work MGT plant</t>
  </si>
  <si>
    <t>Onne Subsea</t>
  </si>
  <si>
    <t>Onne Subsea (FOT)</t>
  </si>
  <si>
    <t>Bonga FPSO</t>
  </si>
  <si>
    <t>Onne Supply Base</t>
  </si>
  <si>
    <t>Work MGT Plant</t>
  </si>
  <si>
    <t>IA Warehouse</t>
  </si>
  <si>
    <t>Warri Main</t>
  </si>
  <si>
    <t>Offshore EA</t>
  </si>
  <si>
    <t>Offshone Onne</t>
  </si>
  <si>
    <t>Warri supply base</t>
  </si>
  <si>
    <t>Size</t>
  </si>
  <si>
    <t>Inv reduction $</t>
  </si>
  <si>
    <t>Stock $ per sq M</t>
  </si>
  <si>
    <t>Space reduction sq m</t>
  </si>
  <si>
    <t>Stock Certificates</t>
  </si>
  <si>
    <t>Warehouse</t>
  </si>
  <si>
    <t>Stacking</t>
  </si>
  <si>
    <t>NGN Cost per sqm</t>
  </si>
  <si>
    <t>Saving</t>
  </si>
  <si>
    <t>Total NGN</t>
  </si>
  <si>
    <t>Total F$</t>
  </si>
  <si>
    <t>Shell Share SNEPCO @ 55%</t>
  </si>
  <si>
    <t>Shell Share SPDC @ 30%</t>
  </si>
  <si>
    <t>000s</t>
  </si>
  <si>
    <t>$ '000s</t>
  </si>
  <si>
    <t>SCiN Re-use</t>
  </si>
  <si>
    <t>Phased Target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</si>
</sst>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-* #,##0.00_-;\-* #,##0.00_-;_-* &quot;-&quot;??_-;_-@_-"/>
    <numFmt numFmtId="165" formatCode="_-* #,##0.0_-;\-* #,##0.0_-;_-* &quot;-&quot;??_-;_-@_-"/>
    <numFmt numFmtId="166" formatCode="_-* #,##0_-;\-* #,##0_-;_-* &quot;-&quot;??_-;_-@_-"/>
    <numFmt numFmtId="167" formatCode="0.0%"/>
    <numFmt numFmtId="168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wrapText="1"/>
    </xf>
    <xf numFmtId="165" fontId="0" fillId="0" borderId="0" xfId="1" applyNumberFormat="1" applyFont="1"/>
    <xf numFmtId="166" fontId="0" fillId="0" borderId="0" xfId="1" applyNumberFormat="1" applyFont="1"/>
    <xf numFmtId="9" fontId="0" fillId="0" borderId="0" xfId="2" applyFont="1"/>
    <xf numFmtId="0" fontId="2" fillId="0" borderId="0" xfId="0" applyFont="1" applyBorder="1"/>
    <xf numFmtId="165" fontId="2" fillId="0" borderId="0" xfId="1" applyNumberFormat="1" applyFont="1" applyBorder="1"/>
    <xf numFmtId="0" fontId="0" fillId="0" borderId="5" xfId="0" applyBorder="1" applyAlignment="1">
      <alignment horizontal="right" wrapText="1"/>
    </xf>
    <xf numFmtId="0" fontId="0" fillId="0" borderId="6" xfId="0" applyBorder="1" applyAlignment="1">
      <alignment horizontal="right" wrapText="1"/>
    </xf>
    <xf numFmtId="0" fontId="0" fillId="0" borderId="7" xfId="0" applyBorder="1" applyAlignment="1">
      <alignment horizontal="right" wrapText="1"/>
    </xf>
    <xf numFmtId="0" fontId="0" fillId="0" borderId="2" xfId="0" applyBorder="1"/>
    <xf numFmtId="0" fontId="0" fillId="0" borderId="4" xfId="0" applyBorder="1"/>
    <xf numFmtId="0" fontId="0" fillId="0" borderId="8" xfId="0" applyBorder="1"/>
    <xf numFmtId="165" fontId="0" fillId="0" borderId="0" xfId="1" applyNumberFormat="1" applyFont="1" applyBorder="1"/>
    <xf numFmtId="166" fontId="0" fillId="0" borderId="0" xfId="1" applyNumberFormat="1" applyFont="1" applyBorder="1"/>
    <xf numFmtId="9" fontId="0" fillId="0" borderId="1" xfId="2" applyFont="1" applyBorder="1"/>
    <xf numFmtId="0" fontId="0" fillId="0" borderId="1" xfId="0" applyBorder="1"/>
    <xf numFmtId="0" fontId="2" fillId="0" borderId="1" xfId="0" applyFont="1" applyBorder="1"/>
    <xf numFmtId="0" fontId="2" fillId="0" borderId="8" xfId="0" applyFont="1" applyBorder="1"/>
    <xf numFmtId="166" fontId="2" fillId="0" borderId="0" xfId="1" applyNumberFormat="1" applyFont="1" applyBorder="1"/>
    <xf numFmtId="9" fontId="2" fillId="0" borderId="1" xfId="2" applyFont="1" applyBorder="1"/>
    <xf numFmtId="0" fontId="0" fillId="0" borderId="5" xfId="0" applyBorder="1"/>
    <xf numFmtId="0" fontId="2" fillId="0" borderId="7" xfId="0" applyFont="1" applyBorder="1"/>
    <xf numFmtId="0" fontId="2" fillId="0" borderId="5" xfId="0" applyFont="1" applyBorder="1"/>
    <xf numFmtId="165" fontId="2" fillId="0" borderId="6" xfId="1" applyNumberFormat="1" applyFont="1" applyBorder="1"/>
    <xf numFmtId="166" fontId="2" fillId="0" borderId="6" xfId="1" applyNumberFormat="1" applyFont="1" applyBorder="1"/>
    <xf numFmtId="9" fontId="2" fillId="0" borderId="7" xfId="2" applyFont="1" applyBorder="1"/>
    <xf numFmtId="0" fontId="0" fillId="0" borderId="7" xfId="0" applyBorder="1"/>
    <xf numFmtId="165" fontId="0" fillId="0" borderId="6" xfId="1" applyNumberFormat="1" applyFont="1" applyBorder="1"/>
    <xf numFmtId="166" fontId="0" fillId="0" borderId="6" xfId="1" applyNumberFormat="1" applyFont="1" applyBorder="1"/>
    <xf numFmtId="166" fontId="0" fillId="2" borderId="0" xfId="1" applyNumberFormat="1" applyFont="1" applyFill="1" applyBorder="1"/>
    <xf numFmtId="166" fontId="2" fillId="2" borderId="0" xfId="1" applyNumberFormat="1" applyFont="1" applyFill="1" applyBorder="1"/>
    <xf numFmtId="0" fontId="0" fillId="2" borderId="0" xfId="0" applyFill="1" applyBorder="1" applyAlignment="1"/>
    <xf numFmtId="9" fontId="0" fillId="2" borderId="0" xfId="2" applyFont="1" applyFill="1" applyBorder="1"/>
    <xf numFmtId="9" fontId="2" fillId="2" borderId="0" xfId="2" applyFont="1" applyFill="1" applyBorder="1"/>
    <xf numFmtId="0" fontId="0" fillId="2" borderId="0" xfId="0" applyFill="1" applyBorder="1"/>
    <xf numFmtId="165" fontId="2" fillId="2" borderId="0" xfId="1" applyNumberFormat="1" applyFont="1" applyFill="1" applyBorder="1"/>
    <xf numFmtId="0" fontId="2" fillId="2" borderId="0" xfId="0" applyFont="1" applyFill="1" applyBorder="1"/>
    <xf numFmtId="165" fontId="0" fillId="0" borderId="1" xfId="1" applyNumberFormat="1" applyFont="1" applyBorder="1"/>
    <xf numFmtId="165" fontId="2" fillId="0" borderId="1" xfId="1" applyNumberFormat="1" applyFont="1" applyBorder="1"/>
    <xf numFmtId="166" fontId="2" fillId="0" borderId="7" xfId="1" applyNumberFormat="1" applyFont="1" applyBorder="1"/>
    <xf numFmtId="166" fontId="0" fillId="0" borderId="7" xfId="1" applyNumberFormat="1" applyFont="1" applyBorder="1"/>
    <xf numFmtId="165" fontId="2" fillId="0" borderId="7" xfId="1" applyNumberFormat="1" applyFont="1" applyBorder="1"/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165" fontId="2" fillId="0" borderId="8" xfId="1" applyNumberFormat="1" applyFont="1" applyBorder="1"/>
    <xf numFmtId="165" fontId="2" fillId="0" borderId="5" xfId="1" applyNumberFormat="1" applyFont="1" applyBorder="1"/>
    <xf numFmtId="0" fontId="4" fillId="0" borderId="10" xfId="0" applyFont="1" applyBorder="1" applyAlignment="1">
      <alignment horizontal="right" wrapText="1"/>
    </xf>
    <xf numFmtId="0" fontId="4" fillId="0" borderId="12" xfId="0" applyFont="1" applyBorder="1" applyAlignment="1">
      <alignment horizontal="right" wrapText="1"/>
    </xf>
    <xf numFmtId="165" fontId="4" fillId="0" borderId="8" xfId="1" applyNumberFormat="1" applyFont="1" applyBorder="1"/>
    <xf numFmtId="165" fontId="4" fillId="0" borderId="1" xfId="1" applyNumberFormat="1" applyFont="1" applyBorder="1"/>
    <xf numFmtId="165" fontId="4" fillId="0" borderId="5" xfId="1" applyNumberFormat="1" applyFont="1" applyBorder="1"/>
    <xf numFmtId="165" fontId="4" fillId="0" borderId="7" xfId="1" applyNumberFormat="1" applyFont="1" applyBorder="1"/>
    <xf numFmtId="0" fontId="0" fillId="0" borderId="9" xfId="0" applyBorder="1" applyAlignment="1">
      <alignment horizontal="right" wrapText="1"/>
    </xf>
    <xf numFmtId="166" fontId="0" fillId="0" borderId="13" xfId="1" applyNumberFormat="1" applyFont="1" applyBorder="1"/>
    <xf numFmtId="166" fontId="2" fillId="0" borderId="13" xfId="1" applyNumberFormat="1" applyFont="1" applyBorder="1"/>
    <xf numFmtId="166" fontId="2" fillId="0" borderId="14" xfId="1" applyNumberFormat="1" applyFont="1" applyBorder="1"/>
    <xf numFmtId="166" fontId="0" fillId="0" borderId="14" xfId="1" applyNumberFormat="1" applyFont="1" applyBorder="1"/>
    <xf numFmtId="165" fontId="2" fillId="0" borderId="14" xfId="1" applyNumberFormat="1" applyFont="1" applyBorder="1"/>
    <xf numFmtId="167" fontId="0" fillId="0" borderId="0" xfId="2" applyNumberFormat="1" applyFont="1"/>
    <xf numFmtId="0" fontId="0" fillId="0" borderId="0" xfId="0" applyFill="1" applyBorder="1" applyAlignment="1">
      <alignment horizontal="right" wrapText="1"/>
    </xf>
    <xf numFmtId="168" fontId="0" fillId="0" borderId="0" xfId="0" applyNumberFormat="1"/>
    <xf numFmtId="166" fontId="0" fillId="3" borderId="13" xfId="1" applyNumberFormat="1" applyFont="1" applyFill="1" applyBorder="1"/>
    <xf numFmtId="165" fontId="0" fillId="0" borderId="8" xfId="1" applyNumberFormat="1" applyFont="1" applyBorder="1"/>
    <xf numFmtId="165" fontId="0" fillId="0" borderId="13" xfId="1" applyNumberFormat="1" applyFont="1" applyBorder="1"/>
    <xf numFmtId="165" fontId="2" fillId="0" borderId="13" xfId="1" applyNumberFormat="1" applyFont="1" applyBorder="1"/>
    <xf numFmtId="9" fontId="0" fillId="0" borderId="0" xfId="0" applyNumberFormat="1"/>
    <xf numFmtId="167" fontId="0" fillId="0" borderId="8" xfId="0" applyNumberFormat="1" applyBorder="1"/>
    <xf numFmtId="167" fontId="2" fillId="0" borderId="8" xfId="2" applyNumberFormat="1" applyFont="1" applyBorder="1"/>
    <xf numFmtId="167" fontId="2" fillId="0" borderId="5" xfId="0" applyNumberFormat="1" applyFont="1" applyBorder="1"/>
    <xf numFmtId="167" fontId="0" fillId="0" borderId="5" xfId="0" applyNumberFormat="1" applyBorder="1"/>
    <xf numFmtId="167" fontId="2" fillId="0" borderId="5" xfId="2" applyNumberFormat="1" applyFont="1" applyBorder="1"/>
    <xf numFmtId="167" fontId="2" fillId="0" borderId="0" xfId="2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12" xfId="0" applyBorder="1" applyAlignment="1">
      <alignment horizontal="right" wrapText="1"/>
    </xf>
    <xf numFmtId="0" fontId="0" fillId="0" borderId="6" xfId="0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165" fontId="0" fillId="0" borderId="15" xfId="1" applyNumberFormat="1" applyFont="1" applyBorder="1"/>
    <xf numFmtId="166" fontId="0" fillId="0" borderId="16" xfId="1" applyNumberFormat="1" applyFont="1" applyBorder="1" applyAlignment="1">
      <alignment wrapText="1"/>
    </xf>
    <xf numFmtId="0" fontId="0" fillId="0" borderId="16" xfId="0" applyBorder="1"/>
    <xf numFmtId="168" fontId="0" fillId="0" borderId="16" xfId="1" applyNumberFormat="1" applyFont="1" applyBorder="1"/>
    <xf numFmtId="166" fontId="0" fillId="0" borderId="16" xfId="1" applyNumberFormat="1" applyFont="1" applyBorder="1"/>
    <xf numFmtId="0" fontId="0" fillId="0" borderId="16" xfId="0" applyBorder="1" applyAlignment="1">
      <alignment wrapText="1"/>
    </xf>
    <xf numFmtId="166" fontId="0" fillId="0" borderId="16" xfId="0" applyNumberFormat="1" applyBorder="1"/>
    <xf numFmtId="0" fontId="0" fillId="3" borderId="16" xfId="0" applyFill="1" applyBorder="1"/>
    <xf numFmtId="0" fontId="0" fillId="0" borderId="0" xfId="0" quotePrefix="1"/>
    <xf numFmtId="0" fontId="0" fillId="0" borderId="10" xfId="0" applyBorder="1"/>
    <xf numFmtId="0" fontId="0" fillId="0" borderId="12" xfId="0" applyBorder="1"/>
    <xf numFmtId="165" fontId="0" fillId="0" borderId="11" xfId="1" applyNumberFormat="1" applyFont="1" applyBorder="1"/>
    <xf numFmtId="165" fontId="0" fillId="0" borderId="10" xfId="1" applyNumberFormat="1" applyFont="1" applyBorder="1"/>
    <xf numFmtId="166" fontId="0" fillId="0" borderId="11" xfId="1" applyNumberFormat="1" applyFont="1" applyBorder="1"/>
    <xf numFmtId="166" fontId="0" fillId="0" borderId="12" xfId="1" applyNumberFormat="1" applyFont="1" applyBorder="1"/>
    <xf numFmtId="166" fontId="0" fillId="0" borderId="9" xfId="1" applyNumberFormat="1" applyFont="1" applyBorder="1"/>
    <xf numFmtId="166" fontId="0" fillId="0" borderId="10" xfId="1" applyNumberFormat="1" applyFont="1" applyBorder="1"/>
    <xf numFmtId="0" fontId="0" fillId="0" borderId="0" xfId="0" applyAlignment="1">
      <alignment horizontal="right"/>
    </xf>
    <xf numFmtId="0" fontId="0" fillId="0" borderId="9" xfId="0" applyBorder="1"/>
    <xf numFmtId="0" fontId="0" fillId="0" borderId="9" xfId="0" applyFill="1" applyBorder="1" applyAlignment="1">
      <alignment horizontal="right" wrapText="1"/>
    </xf>
    <xf numFmtId="0" fontId="2" fillId="0" borderId="9" xfId="0" applyFont="1" applyFill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3" borderId="12" xfId="0" applyFill="1" applyBorder="1"/>
    <xf numFmtId="166" fontId="0" fillId="3" borderId="10" xfId="0" applyNumberFormat="1" applyFill="1" applyBorder="1"/>
    <xf numFmtId="166" fontId="0" fillId="3" borderId="11" xfId="1" applyNumberFormat="1" applyFont="1" applyFill="1" applyBorder="1"/>
    <xf numFmtId="166" fontId="0" fillId="3" borderId="12" xfId="1" applyNumberFormat="1" applyFont="1" applyFill="1" applyBorder="1"/>
    <xf numFmtId="166" fontId="0" fillId="3" borderId="9" xfId="1" applyNumberFormat="1" applyFont="1" applyFill="1" applyBorder="1"/>
    <xf numFmtId="166" fontId="0" fillId="3" borderId="10" xfId="1" applyNumberFormat="1" applyFont="1" applyFill="1" applyBorder="1"/>
    <xf numFmtId="0" fontId="0" fillId="3" borderId="0" xfId="0" applyFill="1"/>
    <xf numFmtId="164" fontId="0" fillId="0" borderId="0" xfId="1" applyFont="1"/>
    <xf numFmtId="43" fontId="0" fillId="0" borderId="0" xfId="0" applyNumberFormat="1"/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6" fontId="0" fillId="0" borderId="0" xfId="1" applyNumberFormat="1" applyFont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33CC33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showGridLines="0" workbookViewId="0">
      <selection activeCell="A9" sqref="A9:XFD9"/>
    </sheetView>
  </sheetViews>
  <sheetFormatPr defaultColWidth="7.42578125" defaultRowHeight="15" x14ac:dyDescent="0.25"/>
  <cols>
    <col min="2" max="2" width="13.140625" bestFit="1" customWidth="1"/>
    <col min="3" max="3" width="11" customWidth="1"/>
    <col min="10" max="10" width="8.5703125" customWidth="1"/>
    <col min="12" max="12" width="10.28515625" customWidth="1"/>
  </cols>
  <sheetData>
    <row r="1" spans="1:19" ht="15.75" thickBot="1" x14ac:dyDescent="0.3">
      <c r="A1" s="114" t="s">
        <v>24</v>
      </c>
      <c r="B1" s="115"/>
      <c r="C1" s="118">
        <v>2017</v>
      </c>
      <c r="D1" s="119"/>
      <c r="E1" s="119"/>
      <c r="F1" s="119"/>
      <c r="G1" s="119"/>
      <c r="H1" s="119"/>
      <c r="I1" s="119"/>
      <c r="J1" s="119"/>
      <c r="K1" s="119"/>
      <c r="L1" s="119"/>
    </row>
    <row r="2" spans="1:19" s="1" customFormat="1" ht="30.75" thickBot="1" x14ac:dyDescent="0.3">
      <c r="A2" s="116"/>
      <c r="B2" s="117"/>
      <c r="C2" s="43" t="s">
        <v>14</v>
      </c>
      <c r="D2" s="44" t="s">
        <v>0</v>
      </c>
      <c r="E2" s="44" t="s">
        <v>1</v>
      </c>
      <c r="F2" s="44" t="s">
        <v>2</v>
      </c>
      <c r="G2" s="44" t="s">
        <v>3</v>
      </c>
      <c r="H2" s="53" t="s">
        <v>4</v>
      </c>
      <c r="I2" s="47" t="s">
        <v>17</v>
      </c>
      <c r="J2" s="48" t="s">
        <v>18</v>
      </c>
      <c r="K2" s="8" t="s">
        <v>15</v>
      </c>
      <c r="L2" s="9" t="s">
        <v>13</v>
      </c>
      <c r="M2"/>
      <c r="N2"/>
      <c r="O2"/>
      <c r="P2"/>
      <c r="Q2"/>
      <c r="R2" s="60"/>
      <c r="S2"/>
    </row>
    <row r="3" spans="1:19" x14ac:dyDescent="0.25">
      <c r="A3" s="10" t="s">
        <v>5</v>
      </c>
      <c r="B3" s="11" t="s">
        <v>6</v>
      </c>
      <c r="C3" s="12"/>
      <c r="D3" s="13">
        <f t="shared" ref="D3:G5" si="0">D$16*$H3</f>
        <v>1.768707482993197</v>
      </c>
      <c r="E3" s="13">
        <f t="shared" si="0"/>
        <v>3.537414965986394</v>
      </c>
      <c r="F3" s="13">
        <f t="shared" si="0"/>
        <v>5.3061224489795906</v>
      </c>
      <c r="G3" s="13">
        <f t="shared" si="0"/>
        <v>7.9591836734693864</v>
      </c>
      <c r="H3" s="54">
        <v>18.571428571428569</v>
      </c>
      <c r="I3" s="49">
        <f>H3/3</f>
        <v>6.1904761904761898</v>
      </c>
      <c r="J3" s="50">
        <f>H3-I3</f>
        <v>12.38095238095238</v>
      </c>
      <c r="K3" s="14"/>
      <c r="L3" s="15"/>
    </row>
    <row r="4" spans="1:19" x14ac:dyDescent="0.25">
      <c r="A4" s="12"/>
      <c r="B4" s="16" t="s">
        <v>7</v>
      </c>
      <c r="C4" s="12">
        <v>144</v>
      </c>
      <c r="D4" s="13">
        <f t="shared" si="0"/>
        <v>0.95238095238095233</v>
      </c>
      <c r="E4" s="13">
        <f t="shared" si="0"/>
        <v>1.9047619047619047</v>
      </c>
      <c r="F4" s="13">
        <f t="shared" si="0"/>
        <v>2.8571428571428568</v>
      </c>
      <c r="G4" s="13">
        <f t="shared" si="0"/>
        <v>4.2857142857142856</v>
      </c>
      <c r="H4" s="54">
        <v>10</v>
      </c>
      <c r="I4" s="49">
        <f>H4/3</f>
        <v>3.3333333333333335</v>
      </c>
      <c r="J4" s="50">
        <f>H4-I4</f>
        <v>6.6666666666666661</v>
      </c>
      <c r="K4" s="14">
        <f>C4-H4</f>
        <v>134</v>
      </c>
      <c r="L4" s="15">
        <f>H4/C4</f>
        <v>6.9444444444444448E-2</v>
      </c>
    </row>
    <row r="5" spans="1:19" x14ac:dyDescent="0.25">
      <c r="A5" s="12"/>
      <c r="B5" s="16" t="s">
        <v>8</v>
      </c>
      <c r="C5" s="12">
        <v>358</v>
      </c>
      <c r="D5" s="13">
        <f t="shared" si="0"/>
        <v>8.1632653061224492</v>
      </c>
      <c r="E5" s="13">
        <f t="shared" si="0"/>
        <v>16.326530612244898</v>
      </c>
      <c r="F5" s="13">
        <f t="shared" si="0"/>
        <v>24.489795918367349</v>
      </c>
      <c r="G5" s="13">
        <f t="shared" si="0"/>
        <v>36.734693877551024</v>
      </c>
      <c r="H5" s="54">
        <v>85.714285714285722</v>
      </c>
      <c r="I5" s="49">
        <f>H5/3</f>
        <v>28.571428571428573</v>
      </c>
      <c r="J5" s="50">
        <f>H5-I5</f>
        <v>57.142857142857153</v>
      </c>
      <c r="K5" s="14">
        <f>C5-H5</f>
        <v>272.28571428571428</v>
      </c>
      <c r="L5" s="15">
        <f>H5/C5</f>
        <v>0.23942537909018358</v>
      </c>
    </row>
    <row r="6" spans="1:19" x14ac:dyDescent="0.25">
      <c r="A6" s="12"/>
      <c r="B6" s="17" t="s">
        <v>9</v>
      </c>
      <c r="C6" s="18">
        <f>SUM(C3:C5)</f>
        <v>502</v>
      </c>
      <c r="D6" s="6">
        <f t="shared" ref="D6:G6" si="1">SUM(D3:D5)</f>
        <v>10.884353741496598</v>
      </c>
      <c r="E6" s="6">
        <f t="shared" si="1"/>
        <v>21.768707482993197</v>
      </c>
      <c r="F6" s="6">
        <f t="shared" si="1"/>
        <v>32.653061224489797</v>
      </c>
      <c r="G6" s="6">
        <f t="shared" si="1"/>
        <v>48.979591836734699</v>
      </c>
      <c r="H6" s="55">
        <f>SUM(H3:H5)</f>
        <v>114.28571428571429</v>
      </c>
      <c r="I6" s="45">
        <f>SUM(I3:I5)</f>
        <v>38.095238095238095</v>
      </c>
      <c r="J6" s="39">
        <f>SUM(J3:J5)</f>
        <v>76.190476190476204</v>
      </c>
      <c r="K6" s="19">
        <f>SUM(K4:K5)</f>
        <v>406.28571428571428</v>
      </c>
      <c r="L6" s="20">
        <f>H6/C6</f>
        <v>0.22766078542970974</v>
      </c>
    </row>
    <row r="7" spans="1:19" ht="15.75" thickBot="1" x14ac:dyDescent="0.3">
      <c r="A7" s="21"/>
      <c r="B7" s="22"/>
      <c r="C7" s="23"/>
      <c r="D7" s="24"/>
      <c r="E7" s="24"/>
      <c r="F7" s="24"/>
      <c r="G7" s="24"/>
      <c r="H7" s="56"/>
      <c r="I7" s="46"/>
      <c r="J7" s="42"/>
      <c r="K7" s="25"/>
      <c r="L7" s="26"/>
    </row>
    <row r="8" spans="1:19" x14ac:dyDescent="0.25">
      <c r="A8" s="12" t="s">
        <v>10</v>
      </c>
      <c r="B8" s="16" t="s">
        <v>6</v>
      </c>
      <c r="C8" s="12">
        <v>25</v>
      </c>
      <c r="D8" s="13">
        <f t="shared" ref="D8:G10" si="2">D$16*$H8</f>
        <v>0.68027210884353728</v>
      </c>
      <c r="E8" s="13">
        <f t="shared" si="2"/>
        <v>1.3605442176870746</v>
      </c>
      <c r="F8" s="13">
        <f t="shared" si="2"/>
        <v>2.0408163265306118</v>
      </c>
      <c r="G8" s="13">
        <f t="shared" si="2"/>
        <v>3.0612244897959178</v>
      </c>
      <c r="H8" s="54">
        <v>7.1428571428571423</v>
      </c>
      <c r="I8" s="49">
        <f>H8/3</f>
        <v>2.3809523809523809</v>
      </c>
      <c r="J8" s="50">
        <f>H8-I8</f>
        <v>4.761904761904761</v>
      </c>
      <c r="K8" s="14"/>
      <c r="L8" s="15"/>
    </row>
    <row r="9" spans="1:19" x14ac:dyDescent="0.25">
      <c r="A9" s="12"/>
      <c r="B9" s="16" t="s">
        <v>7</v>
      </c>
      <c r="C9" s="12">
        <f>82-C8</f>
        <v>57</v>
      </c>
      <c r="D9" s="13">
        <f t="shared" si="2"/>
        <v>0</v>
      </c>
      <c r="E9" s="13">
        <f t="shared" si="2"/>
        <v>0</v>
      </c>
      <c r="F9" s="13">
        <f t="shared" si="2"/>
        <v>0</v>
      </c>
      <c r="G9" s="13">
        <f t="shared" si="2"/>
        <v>0</v>
      </c>
      <c r="H9" s="54">
        <v>0</v>
      </c>
      <c r="I9" s="49">
        <f>H9/3</f>
        <v>0</v>
      </c>
      <c r="J9" s="50">
        <f>H9-I9</f>
        <v>0</v>
      </c>
      <c r="K9" s="14">
        <f>C9-H9</f>
        <v>57</v>
      </c>
      <c r="L9" s="15">
        <f>H9/C9</f>
        <v>0</v>
      </c>
    </row>
    <row r="10" spans="1:19" x14ac:dyDescent="0.25">
      <c r="A10" s="12"/>
      <c r="B10" s="16" t="s">
        <v>8</v>
      </c>
      <c r="C10" s="12">
        <v>128</v>
      </c>
      <c r="D10" s="13">
        <f t="shared" si="2"/>
        <v>2.7210884353741491</v>
      </c>
      <c r="E10" s="13">
        <f t="shared" si="2"/>
        <v>5.4421768707482983</v>
      </c>
      <c r="F10" s="13">
        <f t="shared" si="2"/>
        <v>8.1632653061224474</v>
      </c>
      <c r="G10" s="13">
        <f t="shared" si="2"/>
        <v>12.244897959183671</v>
      </c>
      <c r="H10" s="54">
        <v>28.571428571428569</v>
      </c>
      <c r="I10" s="49">
        <f>H10/3</f>
        <v>9.5238095238095237</v>
      </c>
      <c r="J10" s="50">
        <f>H10-I10</f>
        <v>19.047619047619044</v>
      </c>
      <c r="K10" s="14">
        <f>C10-H10</f>
        <v>99.428571428571431</v>
      </c>
      <c r="L10" s="15">
        <f>H10/C10</f>
        <v>0.2232142857142857</v>
      </c>
    </row>
    <row r="11" spans="1:19" x14ac:dyDescent="0.25">
      <c r="A11" s="12"/>
      <c r="B11" s="17" t="s">
        <v>11</v>
      </c>
      <c r="C11" s="18">
        <f t="shared" ref="C11:J11" si="3">SUM(C8:C10)</f>
        <v>210</v>
      </c>
      <c r="D11" s="6">
        <f t="shared" si="3"/>
        <v>3.4013605442176864</v>
      </c>
      <c r="E11" s="6">
        <f t="shared" si="3"/>
        <v>6.8027210884353728</v>
      </c>
      <c r="F11" s="6">
        <f t="shared" si="3"/>
        <v>10.204081632653059</v>
      </c>
      <c r="G11" s="6">
        <f t="shared" si="3"/>
        <v>15.30612244897959</v>
      </c>
      <c r="H11" s="55">
        <f t="shared" si="3"/>
        <v>35.714285714285708</v>
      </c>
      <c r="I11" s="45">
        <f t="shared" si="3"/>
        <v>11.904761904761905</v>
      </c>
      <c r="J11" s="39">
        <f t="shared" si="3"/>
        <v>23.809523809523803</v>
      </c>
      <c r="K11" s="19">
        <f>SUM(K9:K10)</f>
        <v>156.42857142857144</v>
      </c>
      <c r="L11" s="20">
        <f>H11/C11</f>
        <v>0.17006802721088432</v>
      </c>
    </row>
    <row r="12" spans="1:19" ht="15.75" thickBot="1" x14ac:dyDescent="0.3">
      <c r="A12" s="21"/>
      <c r="B12" s="27"/>
      <c r="C12" s="21"/>
      <c r="D12" s="28"/>
      <c r="E12" s="28"/>
      <c r="F12" s="28"/>
      <c r="G12" s="28"/>
      <c r="H12" s="57"/>
      <c r="I12" s="51"/>
      <c r="J12" s="52"/>
      <c r="K12" s="29"/>
      <c r="L12" s="27"/>
    </row>
    <row r="13" spans="1:19" s="5" customFormat="1" ht="15.75" thickBot="1" x14ac:dyDescent="0.3">
      <c r="A13" s="23"/>
      <c r="B13" s="22" t="s">
        <v>4</v>
      </c>
      <c r="C13" s="23">
        <f>C6+C11</f>
        <v>712</v>
      </c>
      <c r="D13" s="24">
        <f t="shared" ref="D13:K13" si="4">D11+D6</f>
        <v>14.285714285714285</v>
      </c>
      <c r="E13" s="24">
        <f t="shared" si="4"/>
        <v>28.571428571428569</v>
      </c>
      <c r="F13" s="24">
        <f t="shared" si="4"/>
        <v>42.857142857142854</v>
      </c>
      <c r="G13" s="24">
        <f t="shared" si="4"/>
        <v>64.285714285714292</v>
      </c>
      <c r="H13" s="58">
        <f t="shared" si="4"/>
        <v>150</v>
      </c>
      <c r="I13" s="46">
        <f t="shared" si="4"/>
        <v>50</v>
      </c>
      <c r="J13" s="42">
        <f t="shared" si="4"/>
        <v>100</v>
      </c>
      <c r="K13" s="25">
        <f t="shared" si="4"/>
        <v>562.71428571428578</v>
      </c>
      <c r="L13" s="22"/>
    </row>
    <row r="14" spans="1:19" x14ac:dyDescent="0.25">
      <c r="D14" s="2"/>
      <c r="E14" s="2"/>
      <c r="F14" s="2"/>
      <c r="G14" s="2"/>
      <c r="H14" s="2"/>
      <c r="I14" s="2"/>
      <c r="J14" s="3"/>
    </row>
    <row r="15" spans="1:19" hidden="1" x14ac:dyDescent="0.25">
      <c r="B15" t="s">
        <v>12</v>
      </c>
      <c r="D15" s="2">
        <f>D16*$J$15</f>
        <v>11.428571428571427</v>
      </c>
      <c r="E15" s="2">
        <f>E16*$J$15</f>
        <v>22.857142857142854</v>
      </c>
      <c r="F15" s="2">
        <f>F16*$J$15</f>
        <v>34.285714285714285</v>
      </c>
      <c r="G15" s="2">
        <f>G16*$J$15</f>
        <v>51.428571428571423</v>
      </c>
      <c r="H15" s="2"/>
      <c r="I15" s="2"/>
      <c r="J15" s="3">
        <v>120</v>
      </c>
    </row>
    <row r="16" spans="1:19" hidden="1" x14ac:dyDescent="0.25">
      <c r="D16" s="4">
        <v>9.5238095238095233E-2</v>
      </c>
      <c r="E16" s="4">
        <v>0.19047619047619047</v>
      </c>
      <c r="F16" s="4">
        <v>0.2857142857142857</v>
      </c>
      <c r="G16" s="4">
        <v>0.42857142857142855</v>
      </c>
      <c r="H16" s="4"/>
      <c r="I16" s="4"/>
    </row>
  </sheetData>
  <mergeCells count="2">
    <mergeCell ref="A1:B2"/>
    <mergeCell ref="C1:L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showGridLines="0" workbookViewId="0">
      <selection activeCell="H13" sqref="H13"/>
    </sheetView>
  </sheetViews>
  <sheetFormatPr defaultRowHeight="15" x14ac:dyDescent="0.25"/>
  <cols>
    <col min="1" max="1" width="7.7109375" bestFit="1" customWidth="1"/>
    <col min="2" max="2" width="13.140625" bestFit="1" customWidth="1"/>
    <col min="3" max="3" width="12.28515625" bestFit="1" customWidth="1"/>
    <col min="4" max="8" width="8.5703125" bestFit="1" customWidth="1"/>
    <col min="9" max="9" width="7.28515625" bestFit="1" customWidth="1"/>
    <col min="10" max="10" width="8.28515625" bestFit="1" customWidth="1"/>
    <col min="11" max="11" width="9.7109375" bestFit="1" customWidth="1"/>
    <col min="12" max="12" width="9.28515625" bestFit="1" customWidth="1"/>
  </cols>
  <sheetData>
    <row r="1" spans="1:18" ht="15.75" thickBot="1" x14ac:dyDescent="0.3">
      <c r="A1" s="114" t="s">
        <v>25</v>
      </c>
      <c r="B1" s="115"/>
      <c r="C1" s="118">
        <v>2017</v>
      </c>
      <c r="D1" s="119"/>
      <c r="E1" s="119"/>
      <c r="F1" s="119"/>
      <c r="G1" s="119"/>
      <c r="H1" s="119"/>
      <c r="I1" s="119"/>
      <c r="J1" s="119"/>
      <c r="K1" s="119"/>
      <c r="L1" s="119"/>
    </row>
    <row r="2" spans="1:18" s="1" customFormat="1" ht="15.75" customHeight="1" thickBot="1" x14ac:dyDescent="0.3">
      <c r="A2" s="116"/>
      <c r="B2" s="117"/>
      <c r="C2" s="43" t="s">
        <v>14</v>
      </c>
      <c r="D2" s="44" t="s">
        <v>0</v>
      </c>
      <c r="E2" s="44" t="s">
        <v>1</v>
      </c>
      <c r="F2" s="44" t="s">
        <v>2</v>
      </c>
      <c r="G2" s="44" t="s">
        <v>3</v>
      </c>
      <c r="H2" s="53" t="s">
        <v>4</v>
      </c>
      <c r="I2" s="47" t="s">
        <v>17</v>
      </c>
      <c r="J2" s="48" t="s">
        <v>18</v>
      </c>
      <c r="K2" s="8" t="s">
        <v>15</v>
      </c>
      <c r="L2" s="9" t="s">
        <v>13</v>
      </c>
      <c r="M2"/>
      <c r="N2"/>
      <c r="O2"/>
      <c r="P2"/>
      <c r="Q2" s="60"/>
      <c r="R2"/>
    </row>
    <row r="3" spans="1:18" x14ac:dyDescent="0.25">
      <c r="A3" s="10" t="s">
        <v>5</v>
      </c>
      <c r="B3" s="11" t="s">
        <v>6</v>
      </c>
      <c r="C3" s="12">
        <f>'2017 plan 150'!C3</f>
        <v>0</v>
      </c>
      <c r="D3" s="13">
        <f>'2017 plan 150'!D3</f>
        <v>1.768707482993197</v>
      </c>
      <c r="E3" s="13">
        <f>'2017 plan 150'!E3</f>
        <v>3.537414965986394</v>
      </c>
      <c r="F3" s="13">
        <f>'2017 plan 150'!F3</f>
        <v>5.3061224489795906</v>
      </c>
      <c r="G3" s="13">
        <f>'2017 plan 150'!G3</f>
        <v>7.9591836734693864</v>
      </c>
      <c r="H3" s="54">
        <f>SUM(D3:G3)</f>
        <v>18.571428571428569</v>
      </c>
      <c r="I3" s="49">
        <f>H3/3</f>
        <v>6.1904761904761898</v>
      </c>
      <c r="J3" s="50">
        <f>H3-I3</f>
        <v>12.38095238095238</v>
      </c>
      <c r="K3" s="14"/>
      <c r="L3" s="15"/>
    </row>
    <row r="4" spans="1:18" x14ac:dyDescent="0.25">
      <c r="A4" s="12"/>
      <c r="B4" s="16" t="s">
        <v>7</v>
      </c>
      <c r="C4" s="12">
        <f>'2017 plan 150'!C4</f>
        <v>144</v>
      </c>
      <c r="D4" s="13">
        <f>'2017 plan 150'!D4</f>
        <v>0.95238095238095233</v>
      </c>
      <c r="E4" s="13">
        <f>'2017 plan 150'!E4</f>
        <v>1.9047619047619047</v>
      </c>
      <c r="F4" s="13">
        <f>'2017 plan 150'!F4</f>
        <v>2.8571428571428568</v>
      </c>
      <c r="G4" s="13">
        <f>'2017 plan 150'!G4</f>
        <v>4.2857142857142856</v>
      </c>
      <c r="H4" s="54">
        <f t="shared" ref="H4:H5" si="0">SUM(D4:G4)</f>
        <v>10</v>
      </c>
      <c r="I4" s="49">
        <f>H4/3</f>
        <v>3.3333333333333335</v>
      </c>
      <c r="J4" s="50">
        <f>H4-I4</f>
        <v>6.6666666666666661</v>
      </c>
      <c r="K4" s="14">
        <f>C4-H4</f>
        <v>134</v>
      </c>
      <c r="L4" s="15">
        <f>H4/C4</f>
        <v>6.9444444444444448E-2</v>
      </c>
    </row>
    <row r="5" spans="1:18" x14ac:dyDescent="0.25">
      <c r="A5" s="12"/>
      <c r="B5" s="16" t="s">
        <v>8</v>
      </c>
      <c r="C5" s="12">
        <f>'2017 plan 150'!C5</f>
        <v>358</v>
      </c>
      <c r="D5" s="13">
        <f>'2017 plan 150'!D5</f>
        <v>8.1632653061224492</v>
      </c>
      <c r="E5" s="13">
        <f>'2017 plan 150'!E5</f>
        <v>16.326530612244898</v>
      </c>
      <c r="F5" s="13">
        <f>'2017 plan 150'!F5</f>
        <v>24.489795918367349</v>
      </c>
      <c r="G5" s="13">
        <f>'2017 plan 150'!G5</f>
        <v>36.734693877551024</v>
      </c>
      <c r="H5" s="54">
        <f t="shared" si="0"/>
        <v>85.714285714285722</v>
      </c>
      <c r="I5" s="49">
        <f>H5/3</f>
        <v>28.571428571428573</v>
      </c>
      <c r="J5" s="50">
        <f>H5-I5</f>
        <v>57.142857142857153</v>
      </c>
      <c r="K5" s="14">
        <f>C5-H5</f>
        <v>272.28571428571428</v>
      </c>
      <c r="L5" s="15">
        <f>H5/C5</f>
        <v>0.23942537909018358</v>
      </c>
    </row>
    <row r="6" spans="1:18" x14ac:dyDescent="0.25">
      <c r="A6" s="12"/>
      <c r="B6" s="17" t="s">
        <v>9</v>
      </c>
      <c r="C6" s="18">
        <f>SUM(C3:C5)</f>
        <v>502</v>
      </c>
      <c r="D6" s="6">
        <f t="shared" ref="D6:G6" si="1">SUM(D3:D5)</f>
        <v>10.884353741496598</v>
      </c>
      <c r="E6" s="6">
        <f t="shared" si="1"/>
        <v>21.768707482993197</v>
      </c>
      <c r="F6" s="6">
        <f t="shared" si="1"/>
        <v>32.653061224489797</v>
      </c>
      <c r="G6" s="6">
        <f t="shared" si="1"/>
        <v>48.979591836734699</v>
      </c>
      <c r="H6" s="55">
        <f>SUM(H3:H5)</f>
        <v>114.28571428571429</v>
      </c>
      <c r="I6" s="45">
        <f>SUM(I3:I5)</f>
        <v>38.095238095238095</v>
      </c>
      <c r="J6" s="39">
        <f>SUM(J3:J5)</f>
        <v>76.190476190476204</v>
      </c>
      <c r="K6" s="19">
        <f>SUM(K4:K5)</f>
        <v>406.28571428571428</v>
      </c>
      <c r="L6" s="20">
        <f>H6/C6</f>
        <v>0.22766078542970974</v>
      </c>
    </row>
    <row r="7" spans="1:18" ht="15.75" thickBot="1" x14ac:dyDescent="0.3">
      <c r="A7" s="21"/>
      <c r="B7" s="22"/>
      <c r="C7" s="23"/>
      <c r="D7" s="24"/>
      <c r="E7" s="24"/>
      <c r="F7" s="24"/>
      <c r="G7" s="24"/>
      <c r="H7" s="56"/>
      <c r="I7" s="46"/>
      <c r="J7" s="42"/>
      <c r="K7" s="25"/>
      <c r="L7" s="26"/>
    </row>
    <row r="8" spans="1:18" x14ac:dyDescent="0.25">
      <c r="A8" s="12" t="s">
        <v>10</v>
      </c>
      <c r="B8" s="16" t="s">
        <v>6</v>
      </c>
      <c r="C8" s="12">
        <f>'2017 plan 150'!C8</f>
        <v>25</v>
      </c>
      <c r="D8" s="13">
        <f>'2017 plan 150'!D8</f>
        <v>0.68027210884353728</v>
      </c>
      <c r="E8" s="13">
        <f>'2017 plan 150'!E8</f>
        <v>1.3605442176870746</v>
      </c>
      <c r="F8" s="13">
        <f>'2017 plan 150'!F8</f>
        <v>2.0408163265306118</v>
      </c>
      <c r="G8" s="13">
        <f>'2017 plan 150'!G8</f>
        <v>3.0612244897959178</v>
      </c>
      <c r="H8" s="54">
        <f>SUM(D8:G8)</f>
        <v>7.1428571428571415</v>
      </c>
      <c r="I8" s="49">
        <f>H8/3</f>
        <v>2.3809523809523805</v>
      </c>
      <c r="J8" s="50">
        <f>H8-I8</f>
        <v>4.761904761904761</v>
      </c>
      <c r="K8" s="14"/>
      <c r="L8" s="15"/>
    </row>
    <row r="9" spans="1:18" x14ac:dyDescent="0.25">
      <c r="A9" s="12"/>
      <c r="B9" s="16" t="s">
        <v>7</v>
      </c>
      <c r="C9" s="12">
        <f>'2017 plan 150'!C9</f>
        <v>57</v>
      </c>
      <c r="D9" s="13">
        <f t="shared" ref="D9:G9" si="2">D$16*$H9</f>
        <v>0.95238095238095233</v>
      </c>
      <c r="E9" s="13">
        <f t="shared" si="2"/>
        <v>1.9047619047619047</v>
      </c>
      <c r="F9" s="13">
        <f t="shared" si="2"/>
        <v>2.8571428571428568</v>
      </c>
      <c r="G9" s="13">
        <f t="shared" si="2"/>
        <v>4.2857142857142856</v>
      </c>
      <c r="H9" s="62">
        <v>10</v>
      </c>
      <c r="I9" s="49">
        <f>H9/3</f>
        <v>3.3333333333333335</v>
      </c>
      <c r="J9" s="50">
        <f>H9-I9</f>
        <v>6.6666666666666661</v>
      </c>
      <c r="K9" s="14">
        <f>C9-H9</f>
        <v>47</v>
      </c>
      <c r="L9" s="15">
        <f>H9/C9</f>
        <v>0.17543859649122806</v>
      </c>
    </row>
    <row r="10" spans="1:18" x14ac:dyDescent="0.25">
      <c r="A10" s="12"/>
      <c r="B10" s="16" t="s">
        <v>8</v>
      </c>
      <c r="C10" s="12">
        <f>'2017 plan 150'!C10</f>
        <v>128</v>
      </c>
      <c r="D10" s="13">
        <f>'2017 plan 150'!D10</f>
        <v>2.7210884353741491</v>
      </c>
      <c r="E10" s="13">
        <f>'2017 plan 150'!E10</f>
        <v>5.4421768707482983</v>
      </c>
      <c r="F10" s="13">
        <f>'2017 plan 150'!F10</f>
        <v>8.1632653061224474</v>
      </c>
      <c r="G10" s="13">
        <f>'2017 plan 150'!G10</f>
        <v>12.244897959183671</v>
      </c>
      <c r="H10" s="54">
        <f>'2017 plan 150'!H10</f>
        <v>28.571428571428569</v>
      </c>
      <c r="I10" s="49">
        <f>H10/3</f>
        <v>9.5238095238095237</v>
      </c>
      <c r="J10" s="50">
        <f>H10-I10</f>
        <v>19.047619047619044</v>
      </c>
      <c r="K10" s="14">
        <f>C10-H10</f>
        <v>99.428571428571431</v>
      </c>
      <c r="L10" s="15">
        <f>H10/C10</f>
        <v>0.2232142857142857</v>
      </c>
    </row>
    <row r="11" spans="1:18" x14ac:dyDescent="0.25">
      <c r="A11" s="12"/>
      <c r="B11" s="17" t="s">
        <v>11</v>
      </c>
      <c r="C11" s="18">
        <f t="shared" ref="C11:J11" si="3">SUM(C8:C10)</f>
        <v>210</v>
      </c>
      <c r="D11" s="6">
        <f t="shared" si="3"/>
        <v>4.353741496598639</v>
      </c>
      <c r="E11" s="6">
        <f t="shared" si="3"/>
        <v>8.7074829931972779</v>
      </c>
      <c r="F11" s="6">
        <f t="shared" si="3"/>
        <v>13.061224489795915</v>
      </c>
      <c r="G11" s="6">
        <f t="shared" si="3"/>
        <v>19.591836734693874</v>
      </c>
      <c r="H11" s="55">
        <f t="shared" si="3"/>
        <v>45.714285714285708</v>
      </c>
      <c r="I11" s="45">
        <f t="shared" si="3"/>
        <v>15.238095238095237</v>
      </c>
      <c r="J11" s="39">
        <f t="shared" si="3"/>
        <v>30.476190476190471</v>
      </c>
      <c r="K11" s="19">
        <f>SUM(K9:K10)</f>
        <v>146.42857142857144</v>
      </c>
      <c r="L11" s="20">
        <f>H11/C11</f>
        <v>0.21768707482993194</v>
      </c>
    </row>
    <row r="12" spans="1:18" ht="15.75" thickBot="1" x14ac:dyDescent="0.3">
      <c r="A12" s="21"/>
      <c r="B12" s="27"/>
      <c r="C12" s="21"/>
      <c r="D12" s="28"/>
      <c r="E12" s="28"/>
      <c r="F12" s="28"/>
      <c r="G12" s="28"/>
      <c r="H12" s="57"/>
      <c r="I12" s="51"/>
      <c r="J12" s="52"/>
      <c r="K12" s="29"/>
      <c r="L12" s="27"/>
    </row>
    <row r="13" spans="1:18" s="5" customFormat="1" ht="15.75" thickBot="1" x14ac:dyDescent="0.3">
      <c r="A13" s="23"/>
      <c r="B13" s="22" t="s">
        <v>4</v>
      </c>
      <c r="C13" s="23">
        <f>C6+C11</f>
        <v>712</v>
      </c>
      <c r="D13" s="24">
        <f t="shared" ref="D13:K13" si="4">D11+D6</f>
        <v>15.238095238095237</v>
      </c>
      <c r="E13" s="24">
        <f t="shared" si="4"/>
        <v>30.476190476190474</v>
      </c>
      <c r="F13" s="24">
        <f t="shared" si="4"/>
        <v>45.714285714285708</v>
      </c>
      <c r="G13" s="24">
        <f t="shared" si="4"/>
        <v>68.571428571428569</v>
      </c>
      <c r="H13" s="58">
        <f t="shared" si="4"/>
        <v>160</v>
      </c>
      <c r="I13" s="46">
        <f t="shared" si="4"/>
        <v>53.333333333333329</v>
      </c>
      <c r="J13" s="42">
        <f t="shared" si="4"/>
        <v>106.66666666666667</v>
      </c>
      <c r="K13" s="25">
        <f t="shared" si="4"/>
        <v>552.71428571428578</v>
      </c>
      <c r="L13" s="22"/>
    </row>
    <row r="14" spans="1:18" x14ac:dyDescent="0.25">
      <c r="D14" s="2"/>
      <c r="E14" s="2"/>
      <c r="F14" s="2"/>
      <c r="G14" s="2"/>
      <c r="H14" s="2"/>
      <c r="I14" s="2"/>
      <c r="J14" s="3"/>
    </row>
    <row r="15" spans="1:18" ht="15.75" hidden="1" thickBot="1" x14ac:dyDescent="0.3">
      <c r="B15" t="s">
        <v>12</v>
      </c>
      <c r="D15" s="2">
        <f>D16*$J$15</f>
        <v>11.428571428571427</v>
      </c>
      <c r="E15" s="2">
        <f>E16*$J$15</f>
        <v>22.857142857142854</v>
      </c>
      <c r="F15" s="2">
        <f>F16*$J$15</f>
        <v>34.285714285714285</v>
      </c>
      <c r="G15" s="2">
        <f>G16*$J$15</f>
        <v>51.428571428571423</v>
      </c>
      <c r="H15" s="2"/>
      <c r="I15" s="2"/>
      <c r="J15" s="3">
        <v>120</v>
      </c>
    </row>
    <row r="16" spans="1:18" ht="15.75" hidden="1" thickBot="1" x14ac:dyDescent="0.3">
      <c r="D16" s="4">
        <v>9.5238095238095233E-2</v>
      </c>
      <c r="E16" s="4">
        <v>0.19047619047619047</v>
      </c>
      <c r="F16" s="4">
        <v>0.2857142857142857</v>
      </c>
      <c r="G16" s="4">
        <v>0.42857142857142855</v>
      </c>
      <c r="H16" s="4"/>
      <c r="I16" s="4"/>
    </row>
    <row r="17" spans="4:11" ht="15.75" hidden="1" thickBot="1" x14ac:dyDescent="0.3"/>
    <row r="18" spans="4:11" ht="15" customHeight="1" x14ac:dyDescent="0.25">
      <c r="I18" s="32"/>
      <c r="J18" s="32"/>
      <c r="K18" s="32"/>
    </row>
    <row r="19" spans="4:11" ht="29.25" customHeight="1" x14ac:dyDescent="0.25"/>
    <row r="20" spans="4:11" x14ac:dyDescent="0.25">
      <c r="I20" s="30"/>
      <c r="J20" s="30"/>
      <c r="K20" s="33"/>
    </row>
    <row r="21" spans="4:11" x14ac:dyDescent="0.25">
      <c r="I21" s="30"/>
      <c r="J21" s="30"/>
      <c r="K21" s="33"/>
    </row>
    <row r="22" spans="4:11" x14ac:dyDescent="0.25">
      <c r="I22" s="30"/>
      <c r="J22" s="30"/>
      <c r="K22" s="33"/>
    </row>
    <row r="23" spans="4:11" x14ac:dyDescent="0.25">
      <c r="I23" s="31"/>
      <c r="J23" s="31"/>
      <c r="K23" s="34"/>
    </row>
    <row r="24" spans="4:11" x14ac:dyDescent="0.25">
      <c r="I24" s="31"/>
      <c r="J24" s="31"/>
      <c r="K24" s="34"/>
    </row>
    <row r="25" spans="4:11" x14ac:dyDescent="0.25">
      <c r="I25" s="30"/>
      <c r="J25" s="30"/>
      <c r="K25" s="33"/>
    </row>
    <row r="26" spans="4:11" x14ac:dyDescent="0.25">
      <c r="I26" s="30"/>
      <c r="J26" s="30"/>
      <c r="K26" s="33"/>
    </row>
    <row r="27" spans="4:11" x14ac:dyDescent="0.25">
      <c r="I27" s="30"/>
      <c r="J27" s="30"/>
      <c r="K27" s="33"/>
    </row>
    <row r="28" spans="4:11" x14ac:dyDescent="0.25">
      <c r="I28" s="31"/>
      <c r="J28" s="31"/>
      <c r="K28" s="34"/>
    </row>
    <row r="29" spans="4:11" x14ac:dyDescent="0.25">
      <c r="I29" s="30"/>
      <c r="J29" s="30"/>
      <c r="K29" s="35"/>
    </row>
    <row r="30" spans="4:11" x14ac:dyDescent="0.25">
      <c r="I30" s="36"/>
      <c r="J30" s="36"/>
      <c r="K30" s="37"/>
    </row>
    <row r="31" spans="4:11" x14ac:dyDescent="0.25">
      <c r="D31" s="2"/>
      <c r="E31" s="2"/>
      <c r="F31" s="2"/>
      <c r="G31" s="2"/>
      <c r="H31" s="2"/>
      <c r="I31" s="2"/>
      <c r="J31" s="3"/>
    </row>
    <row r="33" spans="2:8" x14ac:dyDescent="0.25">
      <c r="B33" s="3"/>
      <c r="D33" s="61"/>
      <c r="E33" s="61"/>
      <c r="F33" s="61"/>
      <c r="G33" s="61"/>
      <c r="H33" s="61"/>
    </row>
    <row r="34" spans="2:8" x14ac:dyDescent="0.25">
      <c r="D34" s="59"/>
      <c r="E34" s="59"/>
      <c r="F34" s="59"/>
      <c r="G34" s="59"/>
    </row>
  </sheetData>
  <mergeCells count="2">
    <mergeCell ref="A1:B2"/>
    <mergeCell ref="C1:L1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H15" sqref="H15"/>
    </sheetView>
  </sheetViews>
  <sheetFormatPr defaultRowHeight="15" x14ac:dyDescent="0.25"/>
  <cols>
    <col min="2" max="2" width="13.140625" bestFit="1" customWidth="1"/>
  </cols>
  <sheetData>
    <row r="1" spans="1:9" ht="15.75" thickBot="1" x14ac:dyDescent="0.3">
      <c r="A1" s="114" t="s">
        <v>27</v>
      </c>
      <c r="B1" s="115"/>
      <c r="C1" s="118">
        <v>2017</v>
      </c>
      <c r="D1" s="119"/>
      <c r="E1" s="119"/>
      <c r="F1" s="119"/>
      <c r="G1" s="119"/>
      <c r="H1" s="120"/>
      <c r="I1" s="97">
        <v>2018</v>
      </c>
    </row>
    <row r="2" spans="1:9" ht="15.75" thickBot="1" x14ac:dyDescent="0.3">
      <c r="A2" s="116"/>
      <c r="B2" s="117"/>
      <c r="C2" s="43" t="s">
        <v>26</v>
      </c>
      <c r="D2" s="44" t="s">
        <v>0</v>
      </c>
      <c r="E2" s="44" t="s">
        <v>1</v>
      </c>
      <c r="F2" s="44" t="s">
        <v>2</v>
      </c>
      <c r="G2" s="44" t="s">
        <v>3</v>
      </c>
      <c r="H2" s="53" t="s">
        <v>4</v>
      </c>
      <c r="I2" s="98" t="s">
        <v>0</v>
      </c>
    </row>
    <row r="3" spans="1:9" x14ac:dyDescent="0.25">
      <c r="A3" s="10" t="s">
        <v>5</v>
      </c>
      <c r="B3" s="11" t="s">
        <v>6</v>
      </c>
      <c r="C3" s="63">
        <f>'2017 plan 160'!J3</f>
        <v>12.38095238095238</v>
      </c>
      <c r="D3" s="13">
        <f>$C3*'2017 plan 160'!D3/'2017 plan 160'!$H3</f>
        <v>1.1791383219954648</v>
      </c>
      <c r="E3" s="13">
        <f>$C3*'2017 plan 160'!E3/'2017 plan 160'!$H3</f>
        <v>2.3582766439909295</v>
      </c>
      <c r="F3" s="13">
        <f>$C3*'2017 plan 160'!F3/'2017 plan 160'!$H3</f>
        <v>3.5374149659863936</v>
      </c>
      <c r="G3" s="13">
        <f>$C3*'2017 plan 160'!G3/'2017 plan 160'!$H3</f>
        <v>5.3061224489795906</v>
      </c>
      <c r="H3" s="64">
        <f>SUM(D3:G3)</f>
        <v>12.38095238095238</v>
      </c>
      <c r="I3" s="101"/>
    </row>
    <row r="4" spans="1:9" x14ac:dyDescent="0.25">
      <c r="A4" s="12"/>
      <c r="B4" s="16" t="s">
        <v>7</v>
      </c>
      <c r="C4" s="63">
        <f>'2017 plan 160'!J4</f>
        <v>6.6666666666666661</v>
      </c>
      <c r="D4" s="13">
        <f>$C4*'2017 plan 160'!D4/'2017 plan 160'!$H4</f>
        <v>0.63492063492063477</v>
      </c>
      <c r="E4" s="13">
        <f>$C4*'2017 plan 160'!E4/'2017 plan 160'!$H4</f>
        <v>1.2698412698412695</v>
      </c>
      <c r="F4" s="13">
        <f>$C4*'2017 plan 160'!F4/'2017 plan 160'!$H4</f>
        <v>1.9047619047619044</v>
      </c>
      <c r="G4" s="13">
        <f>$C4*'2017 plan 160'!G4/'2017 plan 160'!$H4</f>
        <v>2.8571428571428568</v>
      </c>
      <c r="H4" s="64">
        <f t="shared" ref="H4:H6" si="0">SUM(D4:G4)</f>
        <v>6.6666666666666652</v>
      </c>
      <c r="I4" s="101"/>
    </row>
    <row r="5" spans="1:9" x14ac:dyDescent="0.25">
      <c r="A5" s="12"/>
      <c r="B5" s="16" t="s">
        <v>8</v>
      </c>
      <c r="C5" s="63">
        <f>'2017 plan 160'!J5</f>
        <v>57.142857142857153</v>
      </c>
      <c r="D5" s="13">
        <f>$C5*'2017 plan 160'!D5/'2017 plan 160'!$H5</f>
        <v>5.4421768707483</v>
      </c>
      <c r="E5" s="13">
        <f>$C5*'2017 plan 160'!E5/'2017 plan 160'!$H5</f>
        <v>10.8843537414966</v>
      </c>
      <c r="F5" s="13">
        <f>$C5*'2017 plan 160'!F5/'2017 plan 160'!$H5</f>
        <v>16.326530612244902</v>
      </c>
      <c r="G5" s="13">
        <f>$C5*'2017 plan 160'!G5/'2017 plan 160'!$H5</f>
        <v>24.489795918367353</v>
      </c>
      <c r="H5" s="64">
        <f t="shared" si="0"/>
        <v>57.142857142857153</v>
      </c>
      <c r="I5" s="101"/>
    </row>
    <row r="6" spans="1:9" x14ac:dyDescent="0.25">
      <c r="A6" s="12"/>
      <c r="B6" s="17" t="s">
        <v>9</v>
      </c>
      <c r="C6" s="45">
        <f>SUM(C3:C5)</f>
        <v>76.190476190476204</v>
      </c>
      <c r="D6" s="6">
        <f t="shared" ref="D6:G6" si="1">SUM(D3:D5)</f>
        <v>7.2562358276643995</v>
      </c>
      <c r="E6" s="6">
        <f t="shared" si="1"/>
        <v>14.512471655328799</v>
      </c>
      <c r="F6" s="6">
        <f t="shared" si="1"/>
        <v>21.7687074829932</v>
      </c>
      <c r="G6" s="6">
        <f t="shared" si="1"/>
        <v>32.653061224489804</v>
      </c>
      <c r="H6" s="65">
        <f t="shared" si="0"/>
        <v>76.190476190476204</v>
      </c>
      <c r="I6" s="101"/>
    </row>
    <row r="7" spans="1:9" ht="15.75" thickBot="1" x14ac:dyDescent="0.3">
      <c r="A7" s="21"/>
      <c r="B7" s="22"/>
      <c r="C7" s="23"/>
      <c r="D7" s="24"/>
      <c r="E7" s="24"/>
      <c r="F7" s="24"/>
      <c r="G7" s="24"/>
      <c r="H7" s="56"/>
      <c r="I7" s="101"/>
    </row>
    <row r="8" spans="1:9" x14ac:dyDescent="0.25">
      <c r="A8" s="12" t="s">
        <v>10</v>
      </c>
      <c r="B8" s="16" t="s">
        <v>6</v>
      </c>
      <c r="C8" s="63">
        <f>'2017 plan 160'!J8</f>
        <v>4.761904761904761</v>
      </c>
      <c r="D8" s="13">
        <f>$C8*'2017 plan 160'!D8/'2017 plan 160'!$H8</f>
        <v>0.45351473922902485</v>
      </c>
      <c r="E8" s="13">
        <f>$C8*'2017 plan 160'!E8/'2017 plan 160'!$H8</f>
        <v>0.90702947845804971</v>
      </c>
      <c r="F8" s="13">
        <f>$C8*'2017 plan 160'!F8/'2017 plan 160'!$H8</f>
        <v>1.3605442176870746</v>
      </c>
      <c r="G8" s="13">
        <f>$C8*'2017 plan 160'!G8/'2017 plan 160'!$H8</f>
        <v>2.0408163265306118</v>
      </c>
      <c r="H8" s="64">
        <f>SUM(D8:G8)</f>
        <v>4.761904761904761</v>
      </c>
      <c r="I8" s="103"/>
    </row>
    <row r="9" spans="1:9" x14ac:dyDescent="0.25">
      <c r="A9" s="12"/>
      <c r="B9" s="16" t="s">
        <v>7</v>
      </c>
      <c r="C9" s="63">
        <f>'2017 plan 160'!J9</f>
        <v>6.6666666666666661</v>
      </c>
      <c r="D9" s="13">
        <f>$C9*'2017 plan 160'!D9/'2017 plan 160'!$H9</f>
        <v>0.63492063492063477</v>
      </c>
      <c r="E9" s="13">
        <f>$C9*'2017 plan 160'!E9/'2017 plan 160'!$H9</f>
        <v>1.2698412698412695</v>
      </c>
      <c r="F9" s="13">
        <f>$C9*'2017 plan 160'!F9/'2017 plan 160'!$H9</f>
        <v>1.9047619047619044</v>
      </c>
      <c r="G9" s="13">
        <f>$C9*'2017 plan 160'!G9/'2017 plan 160'!$H9</f>
        <v>2.8571428571428568</v>
      </c>
      <c r="H9" s="64">
        <f t="shared" ref="H9:H11" si="2">SUM(D9:G9)</f>
        <v>6.6666666666666652</v>
      </c>
      <c r="I9" s="101"/>
    </row>
    <row r="10" spans="1:9" x14ac:dyDescent="0.25">
      <c r="A10" s="12"/>
      <c r="B10" s="16" t="s">
        <v>8</v>
      </c>
      <c r="C10" s="63">
        <f>'2017 plan 160'!J10</f>
        <v>19.047619047619044</v>
      </c>
      <c r="D10" s="13">
        <f>$C10*'2017 plan 160'!D10/'2017 plan 160'!$H10</f>
        <v>1.8140589569160992</v>
      </c>
      <c r="E10" s="13">
        <f>$C10*'2017 plan 160'!E10/'2017 plan 160'!$H10</f>
        <v>3.6281179138321984</v>
      </c>
      <c r="F10" s="13">
        <f>$C10*'2017 plan 160'!F10/'2017 plan 160'!$H10</f>
        <v>5.4421768707482974</v>
      </c>
      <c r="G10" s="13">
        <f>$C10*'2017 plan 160'!G10/'2017 plan 160'!$H10</f>
        <v>8.1632653061224474</v>
      </c>
      <c r="H10" s="64">
        <f t="shared" si="2"/>
        <v>19.047619047619044</v>
      </c>
      <c r="I10" s="101"/>
    </row>
    <row r="11" spans="1:9" x14ac:dyDescent="0.25">
      <c r="A11" s="12"/>
      <c r="B11" s="17" t="s">
        <v>11</v>
      </c>
      <c r="C11" s="45">
        <f t="shared" ref="C11:G11" si="3">SUM(C8:C10)</f>
        <v>30.476190476190471</v>
      </c>
      <c r="D11" s="6">
        <f t="shared" si="3"/>
        <v>2.9024943310657587</v>
      </c>
      <c r="E11" s="6">
        <f t="shared" si="3"/>
        <v>5.8049886621315174</v>
      </c>
      <c r="F11" s="6">
        <f t="shared" si="3"/>
        <v>8.7074829931972761</v>
      </c>
      <c r="G11" s="6">
        <f t="shared" si="3"/>
        <v>13.061224489795915</v>
      </c>
      <c r="H11" s="65">
        <f t="shared" si="2"/>
        <v>30.476190476190467</v>
      </c>
      <c r="I11" s="101"/>
    </row>
    <row r="12" spans="1:9" ht="15.75" thickBot="1" x14ac:dyDescent="0.3">
      <c r="A12" s="21"/>
      <c r="B12" s="27"/>
      <c r="C12" s="21"/>
      <c r="D12" s="28"/>
      <c r="E12" s="28"/>
      <c r="F12" s="28"/>
      <c r="G12" s="28"/>
      <c r="H12" s="57"/>
      <c r="I12" s="102"/>
    </row>
    <row r="13" spans="1:9" ht="15.75" thickBot="1" x14ac:dyDescent="0.3">
      <c r="A13" s="23"/>
      <c r="B13" s="22" t="s">
        <v>4</v>
      </c>
      <c r="C13" s="46">
        <f>C6+C11</f>
        <v>106.66666666666667</v>
      </c>
      <c r="D13" s="24">
        <f t="shared" ref="D13:H13" si="4">D11+D6</f>
        <v>10.158730158730158</v>
      </c>
      <c r="E13" s="24">
        <f t="shared" si="4"/>
        <v>20.317460317460316</v>
      </c>
      <c r="F13" s="24">
        <f t="shared" si="4"/>
        <v>30.476190476190474</v>
      </c>
      <c r="G13" s="24">
        <f t="shared" si="4"/>
        <v>45.714285714285722</v>
      </c>
      <c r="H13" s="58">
        <f t="shared" si="4"/>
        <v>106.66666666666667</v>
      </c>
      <c r="I13" s="97"/>
    </row>
    <row r="14" spans="1:9" ht="15.75" thickBot="1" x14ac:dyDescent="0.3"/>
    <row r="15" spans="1:9" ht="15.75" thickBot="1" x14ac:dyDescent="0.3">
      <c r="A15" s="99" t="s">
        <v>78</v>
      </c>
      <c r="B15" s="89"/>
      <c r="C15" s="88"/>
      <c r="D15" s="100">
        <v>7.5</v>
      </c>
      <c r="E15" s="100">
        <v>19.5</v>
      </c>
      <c r="F15" s="100">
        <v>29.6</v>
      </c>
      <c r="G15" s="89">
        <v>43.4</v>
      </c>
      <c r="H15" s="97">
        <f>SUM(D15:G15)</f>
        <v>100</v>
      </c>
      <c r="I15" s="97">
        <v>6.7</v>
      </c>
    </row>
  </sheetData>
  <mergeCells count="2">
    <mergeCell ref="A1:B2"/>
    <mergeCell ref="C1:H1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M19" sqref="M19"/>
    </sheetView>
  </sheetViews>
  <sheetFormatPr defaultRowHeight="15" x14ac:dyDescent="0.25"/>
  <cols>
    <col min="1" max="1" width="7.7109375" bestFit="1" customWidth="1"/>
    <col min="2" max="2" width="17" bestFit="1" customWidth="1"/>
    <col min="3" max="8" width="8.7109375" customWidth="1"/>
  </cols>
  <sheetData>
    <row r="1" spans="1:13" ht="15.75" thickBot="1" x14ac:dyDescent="0.3">
      <c r="B1" t="s">
        <v>28</v>
      </c>
      <c r="D1" s="66">
        <v>0.05</v>
      </c>
      <c r="E1" s="66">
        <v>0.1</v>
      </c>
      <c r="F1" s="66">
        <v>0.25</v>
      </c>
      <c r="G1" s="66">
        <v>0.25</v>
      </c>
      <c r="H1" s="4">
        <f>SUM(D1:G1)</f>
        <v>0.65</v>
      </c>
      <c r="I1" s="66">
        <v>0.2</v>
      </c>
      <c r="J1" s="66">
        <v>0.15</v>
      </c>
    </row>
    <row r="2" spans="1:13" ht="15.75" thickBot="1" x14ac:dyDescent="0.3">
      <c r="A2" s="114" t="s">
        <v>77</v>
      </c>
      <c r="B2" s="115"/>
      <c r="C2" s="118">
        <v>2017</v>
      </c>
      <c r="D2" s="119"/>
      <c r="E2" s="119"/>
      <c r="F2" s="119"/>
      <c r="G2" s="119"/>
      <c r="H2" s="120"/>
      <c r="I2" s="121">
        <v>2018</v>
      </c>
      <c r="J2" s="121"/>
      <c r="K2" s="121"/>
      <c r="L2" s="121"/>
      <c r="M2" s="121"/>
    </row>
    <row r="3" spans="1:13" ht="15.75" thickBot="1" x14ac:dyDescent="0.3">
      <c r="A3" s="116"/>
      <c r="B3" s="117"/>
      <c r="C3" s="43" t="s">
        <v>17</v>
      </c>
      <c r="D3" s="44" t="s">
        <v>0</v>
      </c>
      <c r="E3" s="44" t="s">
        <v>1</v>
      </c>
      <c r="F3" s="44" t="s">
        <v>2</v>
      </c>
      <c r="G3" s="44" t="s">
        <v>3</v>
      </c>
      <c r="H3" s="53" t="s">
        <v>4</v>
      </c>
      <c r="I3" s="43" t="s">
        <v>0</v>
      </c>
      <c r="J3" s="44" t="s">
        <v>1</v>
      </c>
      <c r="K3" s="44" t="s">
        <v>2</v>
      </c>
      <c r="L3" s="75" t="s">
        <v>3</v>
      </c>
      <c r="M3" s="53" t="s">
        <v>4</v>
      </c>
    </row>
    <row r="4" spans="1:13" x14ac:dyDescent="0.25">
      <c r="A4" s="10" t="s">
        <v>5</v>
      </c>
      <c r="B4" s="11" t="s">
        <v>6</v>
      </c>
      <c r="C4" s="63">
        <f>'2017 plan 160'!I3</f>
        <v>6.1904761904761898</v>
      </c>
      <c r="D4" s="13">
        <f t="shared" ref="D4:L12" si="0">$C4*D$1</f>
        <v>0.30952380952380953</v>
      </c>
      <c r="E4" s="13">
        <f t="shared" si="0"/>
        <v>0.61904761904761907</v>
      </c>
      <c r="F4" s="13">
        <f t="shared" si="0"/>
        <v>1.5476190476190474</v>
      </c>
      <c r="G4" s="13">
        <f t="shared" si="0"/>
        <v>1.5476190476190474</v>
      </c>
      <c r="H4" s="64">
        <f>SUM(D4:G4)</f>
        <v>4.0238095238095237</v>
      </c>
      <c r="I4" s="63">
        <f t="shared" si="0"/>
        <v>1.2380952380952381</v>
      </c>
      <c r="J4" s="13">
        <f t="shared" si="0"/>
        <v>0.92857142857142838</v>
      </c>
      <c r="K4" s="13">
        <f t="shared" si="0"/>
        <v>0</v>
      </c>
      <c r="L4" s="13">
        <f t="shared" si="0"/>
        <v>0</v>
      </c>
      <c r="M4" s="79">
        <f>SUM(I4:L4)</f>
        <v>2.1666666666666665</v>
      </c>
    </row>
    <row r="5" spans="1:13" x14ac:dyDescent="0.25">
      <c r="A5" s="12"/>
      <c r="B5" s="16" t="s">
        <v>7</v>
      </c>
      <c r="C5" s="63">
        <f>'2017 plan 160'!I4</f>
        <v>3.3333333333333335</v>
      </c>
      <c r="D5" s="13">
        <f t="shared" si="0"/>
        <v>0.16666666666666669</v>
      </c>
      <c r="E5" s="13">
        <f t="shared" si="0"/>
        <v>0.33333333333333337</v>
      </c>
      <c r="F5" s="13">
        <f t="shared" si="0"/>
        <v>0.83333333333333337</v>
      </c>
      <c r="G5" s="13">
        <f t="shared" si="0"/>
        <v>0.83333333333333337</v>
      </c>
      <c r="H5" s="64">
        <f>SUM(D5:G5)</f>
        <v>2.166666666666667</v>
      </c>
      <c r="I5" s="63">
        <f t="shared" si="0"/>
        <v>0.66666666666666674</v>
      </c>
      <c r="J5" s="13">
        <f t="shared" si="0"/>
        <v>0.5</v>
      </c>
      <c r="K5" s="13">
        <f t="shared" si="0"/>
        <v>0</v>
      </c>
      <c r="L5" s="13">
        <f t="shared" si="0"/>
        <v>0</v>
      </c>
      <c r="M5" s="64">
        <f>SUM(I5:L5)</f>
        <v>1.1666666666666667</v>
      </c>
    </row>
    <row r="6" spans="1:13" x14ac:dyDescent="0.25">
      <c r="A6" s="12"/>
      <c r="B6" s="16" t="s">
        <v>8</v>
      </c>
      <c r="C6" s="63">
        <f>'2017 plan 160'!I5</f>
        <v>28.571428571428573</v>
      </c>
      <c r="D6" s="13">
        <f t="shared" si="0"/>
        <v>1.4285714285714288</v>
      </c>
      <c r="E6" s="13">
        <f t="shared" si="0"/>
        <v>2.8571428571428577</v>
      </c>
      <c r="F6" s="13">
        <f t="shared" si="0"/>
        <v>7.1428571428571432</v>
      </c>
      <c r="G6" s="13">
        <f t="shared" si="0"/>
        <v>7.1428571428571432</v>
      </c>
      <c r="H6" s="64">
        <f>SUM(D6:G6)</f>
        <v>18.571428571428573</v>
      </c>
      <c r="I6" s="63">
        <f t="shared" si="0"/>
        <v>5.7142857142857153</v>
      </c>
      <c r="J6" s="13">
        <f t="shared" si="0"/>
        <v>4.2857142857142856</v>
      </c>
      <c r="K6" s="13">
        <f t="shared" si="0"/>
        <v>0</v>
      </c>
      <c r="L6" s="13">
        <f t="shared" si="0"/>
        <v>0</v>
      </c>
      <c r="M6" s="64">
        <f>SUM(I6:L6)</f>
        <v>10</v>
      </c>
    </row>
    <row r="7" spans="1:13" x14ac:dyDescent="0.25">
      <c r="A7" s="12"/>
      <c r="B7" s="17" t="s">
        <v>9</v>
      </c>
      <c r="C7" s="45">
        <f>SUM(C4:C6)</f>
        <v>38.095238095238095</v>
      </c>
      <c r="D7" s="6">
        <f>SUM(D4:D6)</f>
        <v>1.9047619047619051</v>
      </c>
      <c r="E7" s="6">
        <f>SUM(E4:E6)</f>
        <v>3.8095238095238102</v>
      </c>
      <c r="F7" s="6">
        <f>SUM(F4:F6)</f>
        <v>9.5238095238095237</v>
      </c>
      <c r="G7" s="6">
        <f>SUM(G4:G6)</f>
        <v>9.5238095238095237</v>
      </c>
      <c r="H7" s="65">
        <f>SUM(D7:G7)</f>
        <v>24.761904761904763</v>
      </c>
      <c r="I7" s="63">
        <f t="shared" si="0"/>
        <v>7.6190476190476195</v>
      </c>
      <c r="J7" s="13">
        <f t="shared" si="0"/>
        <v>5.7142857142857144</v>
      </c>
      <c r="K7" s="13">
        <f t="shared" si="0"/>
        <v>0</v>
      </c>
      <c r="L7" s="13">
        <f t="shared" si="0"/>
        <v>0</v>
      </c>
      <c r="M7" s="65">
        <f>SUM(I7:L7)</f>
        <v>13.333333333333334</v>
      </c>
    </row>
    <row r="8" spans="1:13" ht="15.75" thickBot="1" x14ac:dyDescent="0.3">
      <c r="A8" s="21"/>
      <c r="B8" s="22"/>
      <c r="C8" s="23"/>
      <c r="D8" s="24"/>
      <c r="E8" s="24"/>
      <c r="F8" s="24"/>
      <c r="G8" s="24"/>
      <c r="H8" s="56"/>
      <c r="I8" s="21"/>
      <c r="J8" s="76"/>
      <c r="K8" s="76"/>
      <c r="L8" s="76"/>
      <c r="M8" s="56"/>
    </row>
    <row r="9" spans="1:13" x14ac:dyDescent="0.25">
      <c r="A9" s="12" t="s">
        <v>10</v>
      </c>
      <c r="B9" s="16" t="s">
        <v>6</v>
      </c>
      <c r="C9" s="63">
        <f>'2017 plan 160'!I8</f>
        <v>2.3809523809523805</v>
      </c>
      <c r="D9" s="13">
        <f t="shared" ref="D9:G11" si="1">$C9*D$1</f>
        <v>0.11904761904761903</v>
      </c>
      <c r="E9" s="13">
        <f t="shared" si="1"/>
        <v>0.23809523809523805</v>
      </c>
      <c r="F9" s="13">
        <f t="shared" si="1"/>
        <v>0.59523809523809512</v>
      </c>
      <c r="G9" s="13">
        <f t="shared" si="1"/>
        <v>0.59523809523809512</v>
      </c>
      <c r="H9" s="64">
        <f>SUM(D9:G9)</f>
        <v>1.5476190476190474</v>
      </c>
      <c r="I9" s="77">
        <f t="shared" si="0"/>
        <v>0.47619047619047611</v>
      </c>
      <c r="J9" s="78">
        <f t="shared" si="0"/>
        <v>0.35714285714285704</v>
      </c>
      <c r="K9" s="78">
        <f t="shared" si="0"/>
        <v>0</v>
      </c>
      <c r="L9" s="78">
        <f t="shared" si="0"/>
        <v>0</v>
      </c>
      <c r="M9" s="79">
        <f>SUM(I9:L9)</f>
        <v>0.83333333333333315</v>
      </c>
    </row>
    <row r="10" spans="1:13" x14ac:dyDescent="0.25">
      <c r="A10" s="12"/>
      <c r="B10" s="16" t="s">
        <v>7</v>
      </c>
      <c r="C10" s="63">
        <f>'2017 plan 160'!I9</f>
        <v>3.3333333333333335</v>
      </c>
      <c r="D10" s="13">
        <f t="shared" si="1"/>
        <v>0.16666666666666669</v>
      </c>
      <c r="E10" s="13">
        <f t="shared" si="1"/>
        <v>0.33333333333333337</v>
      </c>
      <c r="F10" s="13">
        <f t="shared" si="1"/>
        <v>0.83333333333333337</v>
      </c>
      <c r="G10" s="13">
        <f t="shared" si="1"/>
        <v>0.83333333333333337</v>
      </c>
      <c r="H10" s="64">
        <f>SUM(D10:G10)</f>
        <v>2.166666666666667</v>
      </c>
      <c r="I10" s="63">
        <f t="shared" si="0"/>
        <v>0.66666666666666674</v>
      </c>
      <c r="J10" s="13">
        <f t="shared" si="0"/>
        <v>0.5</v>
      </c>
      <c r="K10" s="13">
        <f t="shared" si="0"/>
        <v>0</v>
      </c>
      <c r="L10" s="13">
        <f t="shared" si="0"/>
        <v>0</v>
      </c>
      <c r="M10" s="64">
        <f>SUM(I10:L10)</f>
        <v>1.1666666666666667</v>
      </c>
    </row>
    <row r="11" spans="1:13" x14ac:dyDescent="0.25">
      <c r="A11" s="12"/>
      <c r="B11" s="16" t="s">
        <v>8</v>
      </c>
      <c r="C11" s="63">
        <f>'2017 plan 160'!I10</f>
        <v>9.5238095238095237</v>
      </c>
      <c r="D11" s="13">
        <f t="shared" si="1"/>
        <v>0.47619047619047622</v>
      </c>
      <c r="E11" s="13">
        <f t="shared" si="1"/>
        <v>0.95238095238095244</v>
      </c>
      <c r="F11" s="13">
        <f t="shared" si="1"/>
        <v>2.3809523809523809</v>
      </c>
      <c r="G11" s="13">
        <f t="shared" si="1"/>
        <v>2.3809523809523809</v>
      </c>
      <c r="H11" s="64">
        <f>SUM(D11:G11)</f>
        <v>6.1904761904761898</v>
      </c>
      <c r="I11" s="63">
        <f t="shared" si="0"/>
        <v>1.9047619047619049</v>
      </c>
      <c r="J11" s="13">
        <f t="shared" si="0"/>
        <v>1.4285714285714286</v>
      </c>
      <c r="K11" s="13">
        <f t="shared" si="0"/>
        <v>0</v>
      </c>
      <c r="L11" s="13">
        <f t="shared" si="0"/>
        <v>0</v>
      </c>
      <c r="M11" s="64">
        <f>SUM(I11:L11)</f>
        <v>3.3333333333333335</v>
      </c>
    </row>
    <row r="12" spans="1:13" x14ac:dyDescent="0.25">
      <c r="A12" s="12"/>
      <c r="B12" s="17" t="s">
        <v>11</v>
      </c>
      <c r="C12" s="45">
        <f>SUM(C9:C11)</f>
        <v>15.238095238095237</v>
      </c>
      <c r="D12" s="6">
        <f>SUM(D9:D11)</f>
        <v>0.76190476190476186</v>
      </c>
      <c r="E12" s="6">
        <f>SUM(E9:E11)</f>
        <v>1.5238095238095237</v>
      </c>
      <c r="F12" s="6">
        <f>SUM(F9:F11)</f>
        <v>3.8095238095238093</v>
      </c>
      <c r="G12" s="6">
        <f>SUM(G9:G11)</f>
        <v>3.8095238095238093</v>
      </c>
      <c r="H12" s="65">
        <f>SUM(D12:G12)</f>
        <v>9.9047619047619051</v>
      </c>
      <c r="I12" s="63">
        <f t="shared" si="0"/>
        <v>3.0476190476190474</v>
      </c>
      <c r="J12" s="13">
        <f t="shared" si="0"/>
        <v>2.2857142857142856</v>
      </c>
      <c r="K12" s="13">
        <f t="shared" si="0"/>
        <v>0</v>
      </c>
      <c r="L12" s="13">
        <f t="shared" si="0"/>
        <v>0</v>
      </c>
      <c r="M12" s="65">
        <f>SUM(I12:L12)</f>
        <v>5.333333333333333</v>
      </c>
    </row>
    <row r="13" spans="1:13" ht="15.75" thickBot="1" x14ac:dyDescent="0.3">
      <c r="A13" s="21"/>
      <c r="B13" s="27"/>
      <c r="C13" s="21"/>
      <c r="D13" s="28"/>
      <c r="E13" s="28"/>
      <c r="F13" s="28"/>
      <c r="G13" s="28"/>
      <c r="H13" s="57"/>
      <c r="I13" s="21"/>
      <c r="J13" s="76"/>
      <c r="K13" s="76"/>
      <c r="L13" s="76"/>
      <c r="M13" s="57"/>
    </row>
    <row r="14" spans="1:13" ht="15.75" thickBot="1" x14ac:dyDescent="0.3">
      <c r="A14" s="23"/>
      <c r="B14" s="22" t="s">
        <v>4</v>
      </c>
      <c r="C14" s="46">
        <f>C7+C12</f>
        <v>53.333333333333329</v>
      </c>
      <c r="D14" s="24">
        <f>D12+D7</f>
        <v>2.666666666666667</v>
      </c>
      <c r="E14" s="24">
        <f>E12+E7</f>
        <v>5.3333333333333339</v>
      </c>
      <c r="F14" s="24">
        <f>F12+F7</f>
        <v>13.333333333333332</v>
      </c>
      <c r="G14" s="24">
        <f>G12+G7</f>
        <v>13.333333333333332</v>
      </c>
      <c r="H14" s="58">
        <f>H12+H7</f>
        <v>34.666666666666671</v>
      </c>
      <c r="I14" s="46">
        <f>I7+I12</f>
        <v>10.666666666666668</v>
      </c>
      <c r="J14" s="24">
        <f>J12+J7</f>
        <v>8</v>
      </c>
      <c r="K14" s="24">
        <f>K12+K7</f>
        <v>0</v>
      </c>
      <c r="L14" s="24">
        <f>L12+L7</f>
        <v>0</v>
      </c>
      <c r="M14" s="58">
        <f>M12+M7</f>
        <v>18.666666666666668</v>
      </c>
    </row>
    <row r="15" spans="1:13" ht="15.75" thickBot="1" x14ac:dyDescent="0.3">
      <c r="A15" s="87" t="s">
        <v>76</v>
      </c>
    </row>
    <row r="16" spans="1:13" s="111" customFormat="1" ht="15.75" thickBot="1" x14ac:dyDescent="0.3">
      <c r="A16" s="104" t="s">
        <v>74</v>
      </c>
      <c r="B16" s="105"/>
      <c r="C16" s="106"/>
      <c r="D16" s="107">
        <f>D7*0.3*1000</f>
        <v>571.42857142857156</v>
      </c>
      <c r="E16" s="107">
        <f t="shared" ref="E16:J16" si="2">E7*0.3*1000</f>
        <v>1142.8571428571431</v>
      </c>
      <c r="F16" s="107">
        <f t="shared" si="2"/>
        <v>2857.1428571428573</v>
      </c>
      <c r="G16" s="108">
        <f t="shared" si="2"/>
        <v>2857.1428571428573</v>
      </c>
      <c r="H16" s="109">
        <f t="shared" si="2"/>
        <v>7428.5714285714284</v>
      </c>
      <c r="I16" s="110">
        <f t="shared" si="2"/>
        <v>2285.7142857142858</v>
      </c>
      <c r="J16" s="107">
        <f t="shared" si="2"/>
        <v>1714.2857142857142</v>
      </c>
      <c r="K16" s="107"/>
      <c r="L16" s="108"/>
      <c r="M16" s="109">
        <f>SUM(I16:L16)</f>
        <v>4000</v>
      </c>
    </row>
    <row r="17" spans="1:13" s="111" customFormat="1" ht="15.75" thickBot="1" x14ac:dyDescent="0.3">
      <c r="A17" s="104" t="s">
        <v>73</v>
      </c>
      <c r="B17" s="105"/>
      <c r="C17" s="106"/>
      <c r="D17" s="107">
        <f>D12*0.55*1000</f>
        <v>419.04761904761904</v>
      </c>
      <c r="E17" s="107">
        <f>E12*0.55*1000</f>
        <v>838.09523809523807</v>
      </c>
      <c r="F17" s="107">
        <f>F12*0.55*1000</f>
        <v>2095.2380952380954</v>
      </c>
      <c r="G17" s="108">
        <f>G12*0.55*1000</f>
        <v>2095.2380952380954</v>
      </c>
      <c r="H17" s="109">
        <f>H12*0.55*1000</f>
        <v>5447.6190476190477</v>
      </c>
      <c r="I17" s="110">
        <f>I12*0.55*1000</f>
        <v>1676.1904761904761</v>
      </c>
      <c r="J17" s="107">
        <f>J12*0.55*1000</f>
        <v>1257.1428571428571</v>
      </c>
      <c r="K17" s="107"/>
      <c r="L17" s="108"/>
      <c r="M17" s="109">
        <f>SUM(I17:L17)</f>
        <v>2933.333333333333</v>
      </c>
    </row>
    <row r="18" spans="1:13" x14ac:dyDescent="0.25">
      <c r="B18" s="87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</row>
    <row r="19" spans="1:13" x14ac:dyDescent="0.25">
      <c r="C19" s="73"/>
      <c r="D19" s="73"/>
      <c r="E19" s="73"/>
      <c r="F19" s="73" t="s">
        <v>4</v>
      </c>
      <c r="G19" s="73"/>
      <c r="H19" s="73">
        <f>SUM(H16:H17)</f>
        <v>12876.190476190477</v>
      </c>
      <c r="I19" s="73"/>
      <c r="J19" s="73"/>
      <c r="K19" s="73"/>
      <c r="L19" s="73"/>
      <c r="M19" s="73">
        <f>SUM(M16:M17)</f>
        <v>6933.333333333333</v>
      </c>
    </row>
  </sheetData>
  <mergeCells count="3">
    <mergeCell ref="A2:B3"/>
    <mergeCell ref="C2:H2"/>
    <mergeCell ref="I2:M2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4"/>
  <sheetViews>
    <sheetView zoomScale="73" zoomScaleNormal="73" workbookViewId="0"/>
  </sheetViews>
  <sheetFormatPr defaultRowHeight="15" x14ac:dyDescent="0.25"/>
  <cols>
    <col min="1" max="1" width="7.7109375" bestFit="1" customWidth="1"/>
    <col min="2" max="2" width="13.140625" bestFit="1" customWidth="1"/>
    <col min="3" max="3" width="10.5703125" customWidth="1"/>
    <col min="4" max="6" width="5.85546875" bestFit="1" customWidth="1"/>
    <col min="7" max="7" width="17.28515625" customWidth="1"/>
    <col min="8" max="8" width="5.5703125" bestFit="1" customWidth="1"/>
    <col min="9" max="15" width="7.140625" customWidth="1"/>
    <col min="16" max="16" width="11.85546875" customWidth="1"/>
    <col min="17" max="17" width="5.5703125" bestFit="1" customWidth="1"/>
    <col min="18" max="18" width="6.85546875" bestFit="1" customWidth="1"/>
    <col min="19" max="20" width="5.5703125" bestFit="1" customWidth="1"/>
    <col min="21" max="21" width="6.7109375" bestFit="1" customWidth="1"/>
    <col min="22" max="25" width="6.7109375" customWidth="1"/>
    <col min="26" max="26" width="11" bestFit="1" customWidth="1"/>
  </cols>
  <sheetData>
    <row r="1" spans="1:27" ht="30.75" thickBot="1" x14ac:dyDescent="0.3">
      <c r="P1" s="1" t="s">
        <v>32</v>
      </c>
      <c r="Q1" s="66">
        <v>0</v>
      </c>
      <c r="R1" s="66">
        <v>0.33</v>
      </c>
      <c r="S1" s="66">
        <v>0.33</v>
      </c>
      <c r="T1" s="66">
        <f>1-SUM(Q1:S1)</f>
        <v>0.33999999999999997</v>
      </c>
      <c r="U1" s="66">
        <f>SUM(Q1:T1)</f>
        <v>1</v>
      </c>
    </row>
    <row r="2" spans="1:27" ht="15.75" thickBot="1" x14ac:dyDescent="0.3">
      <c r="A2" s="114" t="s">
        <v>16</v>
      </c>
      <c r="B2" s="115"/>
      <c r="C2" s="122" t="s">
        <v>35</v>
      </c>
      <c r="D2" s="123"/>
      <c r="E2" s="123"/>
      <c r="F2" s="123"/>
      <c r="G2" s="123"/>
      <c r="H2" s="124"/>
      <c r="I2" s="122" t="s">
        <v>34</v>
      </c>
      <c r="J2" s="123"/>
      <c r="K2" s="123"/>
      <c r="L2" s="123"/>
      <c r="M2" s="123"/>
      <c r="N2" s="123">
        <v>2018</v>
      </c>
      <c r="O2" s="124"/>
      <c r="P2" s="122" t="s">
        <v>31</v>
      </c>
      <c r="Q2" s="123"/>
      <c r="R2" s="123"/>
      <c r="S2" s="123"/>
      <c r="T2" s="123"/>
      <c r="U2" s="124"/>
      <c r="V2" s="118" t="s">
        <v>33</v>
      </c>
      <c r="W2" s="119"/>
      <c r="X2" s="119"/>
      <c r="Y2" s="119"/>
      <c r="Z2" s="120"/>
    </row>
    <row r="3" spans="1:27" ht="45.75" thickBot="1" x14ac:dyDescent="0.3">
      <c r="A3" s="116"/>
      <c r="B3" s="117"/>
      <c r="C3" s="7" t="s">
        <v>19</v>
      </c>
      <c r="D3" s="8" t="s">
        <v>0</v>
      </c>
      <c r="E3" s="8" t="s">
        <v>1</v>
      </c>
      <c r="F3" s="8" t="s">
        <v>2</v>
      </c>
      <c r="G3" s="8" t="s">
        <v>3</v>
      </c>
      <c r="H3" s="9" t="s">
        <v>4</v>
      </c>
      <c r="I3" s="8" t="s">
        <v>0</v>
      </c>
      <c r="J3" s="8" t="s">
        <v>1</v>
      </c>
      <c r="K3" s="8" t="s">
        <v>2</v>
      </c>
      <c r="L3" s="8" t="s">
        <v>3</v>
      </c>
      <c r="M3" s="8" t="s">
        <v>4</v>
      </c>
      <c r="N3" s="8" t="s">
        <v>0</v>
      </c>
      <c r="O3" s="8" t="s">
        <v>1</v>
      </c>
      <c r="P3" s="7" t="s">
        <v>30</v>
      </c>
      <c r="Q3" s="8" t="s">
        <v>0</v>
      </c>
      <c r="R3" s="8" t="s">
        <v>1</v>
      </c>
      <c r="S3" s="8" t="s">
        <v>2</v>
      </c>
      <c r="T3" s="8" t="s">
        <v>3</v>
      </c>
      <c r="U3" s="9" t="s">
        <v>4</v>
      </c>
      <c r="V3" s="8" t="s">
        <v>0</v>
      </c>
      <c r="W3" s="8" t="s">
        <v>1</v>
      </c>
      <c r="X3" s="8" t="s">
        <v>2</v>
      </c>
      <c r="Y3" s="8" t="s">
        <v>3</v>
      </c>
      <c r="Z3" s="9" t="s">
        <v>4</v>
      </c>
    </row>
    <row r="4" spans="1:27" x14ac:dyDescent="0.25">
      <c r="A4" s="10" t="s">
        <v>5</v>
      </c>
      <c r="B4" s="11" t="s">
        <v>6</v>
      </c>
      <c r="C4" s="67">
        <v>0.1</v>
      </c>
      <c r="D4" s="13">
        <f>$C4*'Surplus 2017'!D3</f>
        <v>0.11791383219954649</v>
      </c>
      <c r="E4" s="13">
        <f>$C4*'Surplus 2017'!E3</f>
        <v>0.23582766439909297</v>
      </c>
      <c r="F4" s="13">
        <f>$C4*'Surplus 2017'!F3</f>
        <v>0.3537414965986394</v>
      </c>
      <c r="G4" s="13">
        <f>$C4*'Surplus 2017'!G3</f>
        <v>0.53061224489795911</v>
      </c>
      <c r="H4" s="38">
        <f>SUM(D4:G4)</f>
        <v>1.2380952380952379</v>
      </c>
      <c r="I4" s="13">
        <v>0</v>
      </c>
      <c r="J4" s="13">
        <f>D4</f>
        <v>0.11791383219954649</v>
      </c>
      <c r="K4" s="13">
        <f t="shared" ref="K4:L6" si="0">E4</f>
        <v>0.23582766439909297</v>
      </c>
      <c r="L4" s="13">
        <f t="shared" si="0"/>
        <v>0.3537414965986394</v>
      </c>
      <c r="M4" s="13">
        <f>SUM(J4:L4)</f>
        <v>0.70748299319727881</v>
      </c>
      <c r="N4" s="13">
        <f>G4</f>
        <v>0.53061224489795911</v>
      </c>
      <c r="O4" s="13"/>
      <c r="P4" s="63">
        <v>7</v>
      </c>
      <c r="Q4" s="13">
        <f t="shared" ref="Q4:T6" si="1">$P4*Q$1*$C4</f>
        <v>0</v>
      </c>
      <c r="R4" s="13">
        <f t="shared" si="1"/>
        <v>0.23100000000000001</v>
      </c>
      <c r="S4" s="13">
        <f t="shared" si="1"/>
        <v>0.23100000000000001</v>
      </c>
      <c r="T4" s="13">
        <f t="shared" si="1"/>
        <v>0.23799999999999999</v>
      </c>
      <c r="U4" s="38">
        <f>SUM(Q4:T4)</f>
        <v>0.7</v>
      </c>
      <c r="V4" s="13">
        <f>I4+Q4</f>
        <v>0</v>
      </c>
      <c r="W4" s="13">
        <f t="shared" ref="W4:W6" si="2">J4+R4</f>
        <v>0.34891383219954653</v>
      </c>
      <c r="X4" s="13">
        <f t="shared" ref="X4:X6" si="3">K4+S4</f>
        <v>0.46682766439909296</v>
      </c>
      <c r="Y4" s="13">
        <f t="shared" ref="Y4:Y6" si="4">L4+T4</f>
        <v>0.59174149659863939</v>
      </c>
      <c r="Z4" s="38">
        <f>SUM(V4:Y4)</f>
        <v>1.407482993197279</v>
      </c>
    </row>
    <row r="5" spans="1:27" x14ac:dyDescent="0.25">
      <c r="A5" s="12"/>
      <c r="B5" s="16" t="s">
        <v>7</v>
      </c>
      <c r="C5" s="67">
        <v>0.2</v>
      </c>
      <c r="D5" s="13">
        <f>$C5*'Surplus 2017'!D4</f>
        <v>0.12698412698412695</v>
      </c>
      <c r="E5" s="13">
        <f>$C5*'Surplus 2017'!E4</f>
        <v>0.2539682539682539</v>
      </c>
      <c r="F5" s="13">
        <f>$C5*'Surplus 2017'!F4</f>
        <v>0.38095238095238093</v>
      </c>
      <c r="G5" s="13">
        <f>$C5*'Surplus 2017'!G4</f>
        <v>0.5714285714285714</v>
      </c>
      <c r="H5" s="38">
        <f>SUM(D5:G5)</f>
        <v>1.333333333333333</v>
      </c>
      <c r="I5" s="13">
        <v>0</v>
      </c>
      <c r="J5" s="13">
        <f t="shared" ref="J5:J6" si="5">D5</f>
        <v>0.12698412698412695</v>
      </c>
      <c r="K5" s="13">
        <f t="shared" si="0"/>
        <v>0.2539682539682539</v>
      </c>
      <c r="L5" s="13">
        <f t="shared" si="0"/>
        <v>0.38095238095238093</v>
      </c>
      <c r="M5" s="13">
        <f t="shared" ref="M5:M6" si="6">SUM(J5:L5)</f>
        <v>0.76190476190476175</v>
      </c>
      <c r="N5" s="13">
        <f t="shared" ref="N5:N6" si="7">G5</f>
        <v>0.5714285714285714</v>
      </c>
      <c r="O5" s="13"/>
      <c r="P5" s="63">
        <v>28</v>
      </c>
      <c r="Q5" s="13">
        <f t="shared" si="1"/>
        <v>0</v>
      </c>
      <c r="R5" s="13">
        <f t="shared" si="1"/>
        <v>1.8480000000000001</v>
      </c>
      <c r="S5" s="13">
        <f t="shared" si="1"/>
        <v>1.8480000000000001</v>
      </c>
      <c r="T5" s="13">
        <f t="shared" si="1"/>
        <v>1.9039999999999999</v>
      </c>
      <c r="U5" s="38">
        <f>SUM(Q5:T5)</f>
        <v>5.6</v>
      </c>
      <c r="V5" s="13">
        <f t="shared" ref="V5:V6" si="8">I5+Q5</f>
        <v>0</v>
      </c>
      <c r="W5" s="13">
        <f t="shared" si="2"/>
        <v>1.9749841269841271</v>
      </c>
      <c r="X5" s="13">
        <f t="shared" si="3"/>
        <v>2.1019682539682538</v>
      </c>
      <c r="Y5" s="13">
        <f t="shared" si="4"/>
        <v>2.2849523809523808</v>
      </c>
      <c r="Z5" s="38">
        <f>SUM(V5:Y5)</f>
        <v>6.3619047619047624</v>
      </c>
    </row>
    <row r="6" spans="1:27" x14ac:dyDescent="0.25">
      <c r="A6" s="12"/>
      <c r="B6" s="16" t="s">
        <v>8</v>
      </c>
      <c r="C6" s="67">
        <v>0.05</v>
      </c>
      <c r="D6" s="13">
        <f>$C6*'Surplus 2017'!D5</f>
        <v>0.27210884353741499</v>
      </c>
      <c r="E6" s="13">
        <f>$C6*'Surplus 2017'!E5</f>
        <v>0.54421768707482998</v>
      </c>
      <c r="F6" s="13">
        <f>$C6*'Surplus 2017'!F5</f>
        <v>0.81632653061224514</v>
      </c>
      <c r="G6" s="13">
        <f>$C6*'Surplus 2017'!G5</f>
        <v>1.2244897959183678</v>
      </c>
      <c r="H6" s="38">
        <f>SUM(D6:G6)</f>
        <v>2.8571428571428577</v>
      </c>
      <c r="I6" s="13">
        <v>0</v>
      </c>
      <c r="J6" s="13">
        <f t="shared" si="5"/>
        <v>0.27210884353741499</v>
      </c>
      <c r="K6" s="13">
        <f t="shared" si="0"/>
        <v>0.54421768707482998</v>
      </c>
      <c r="L6" s="13">
        <f t="shared" si="0"/>
        <v>0.81632653061224514</v>
      </c>
      <c r="M6" s="13">
        <f t="shared" si="6"/>
        <v>1.6326530612244901</v>
      </c>
      <c r="N6" s="13">
        <f t="shared" si="7"/>
        <v>1.2244897959183678</v>
      </c>
      <c r="O6" s="13"/>
      <c r="P6" s="63">
        <v>18</v>
      </c>
      <c r="Q6" s="13">
        <f t="shared" si="1"/>
        <v>0</v>
      </c>
      <c r="R6" s="13">
        <f t="shared" si="1"/>
        <v>0.29700000000000004</v>
      </c>
      <c r="S6" s="13">
        <f t="shared" si="1"/>
        <v>0.29700000000000004</v>
      </c>
      <c r="T6" s="13">
        <f t="shared" si="1"/>
        <v>0.30599999999999999</v>
      </c>
      <c r="U6" s="38">
        <f>SUM(Q6:T6)</f>
        <v>0.90000000000000013</v>
      </c>
      <c r="V6" s="13">
        <f t="shared" si="8"/>
        <v>0</v>
      </c>
      <c r="W6" s="13">
        <f t="shared" si="2"/>
        <v>0.56910884353741498</v>
      </c>
      <c r="X6" s="13">
        <f t="shared" si="3"/>
        <v>0.84121768707483002</v>
      </c>
      <c r="Y6" s="13">
        <f t="shared" si="4"/>
        <v>1.1223265306122452</v>
      </c>
      <c r="Z6" s="38">
        <f>SUM(V6:Y6)</f>
        <v>2.5326530612244902</v>
      </c>
    </row>
    <row r="7" spans="1:27" x14ac:dyDescent="0.25">
      <c r="A7" s="12"/>
      <c r="B7" s="17" t="s">
        <v>9</v>
      </c>
      <c r="C7" s="68">
        <f>H7/'2017 plan 160'!J6</f>
        <v>7.1249999999999994E-2</v>
      </c>
      <c r="D7" s="6">
        <f t="shared" ref="D7:I7" si="9">SUM(D4:D6)</f>
        <v>0.51700680272108845</v>
      </c>
      <c r="E7" s="6">
        <f t="shared" si="9"/>
        <v>1.0340136054421769</v>
      </c>
      <c r="F7" s="6">
        <f t="shared" si="9"/>
        <v>1.5510204081632655</v>
      </c>
      <c r="G7" s="6">
        <f t="shared" si="9"/>
        <v>2.3265306122448983</v>
      </c>
      <c r="H7" s="39">
        <f t="shared" si="9"/>
        <v>5.4285714285714288</v>
      </c>
      <c r="I7" s="6">
        <f t="shared" si="9"/>
        <v>0</v>
      </c>
      <c r="J7" s="6">
        <f t="shared" ref="J7:O7" si="10">SUM(J4:J6)</f>
        <v>0.51700680272108845</v>
      </c>
      <c r="K7" s="6">
        <f t="shared" ref="K7" si="11">SUM(K4:K6)</f>
        <v>1.0340136054421769</v>
      </c>
      <c r="L7" s="6">
        <f t="shared" ref="L7" si="12">SUM(L4:L6)</f>
        <v>1.5510204081632655</v>
      </c>
      <c r="M7" s="6">
        <f t="shared" si="10"/>
        <v>3.1020408163265305</v>
      </c>
      <c r="N7" s="6">
        <f t="shared" si="10"/>
        <v>2.3265306122448983</v>
      </c>
      <c r="O7" s="6">
        <f t="shared" si="10"/>
        <v>0</v>
      </c>
      <c r="P7" s="45">
        <f>SUM(P4:P6)</f>
        <v>53</v>
      </c>
      <c r="Q7" s="6">
        <f t="shared" ref="Q7:Z7" si="13">SUM(Q4:Q6)</f>
        <v>0</v>
      </c>
      <c r="R7" s="6">
        <f t="shared" si="13"/>
        <v>2.3760000000000003</v>
      </c>
      <c r="S7" s="6">
        <f t="shared" si="13"/>
        <v>2.3760000000000003</v>
      </c>
      <c r="T7" s="6">
        <f t="shared" si="13"/>
        <v>2.448</v>
      </c>
      <c r="U7" s="39">
        <f t="shared" si="13"/>
        <v>7.2</v>
      </c>
      <c r="V7" s="6">
        <f t="shared" si="13"/>
        <v>0</v>
      </c>
      <c r="W7" s="6">
        <f t="shared" si="13"/>
        <v>2.8930068027210885</v>
      </c>
      <c r="X7" s="6">
        <f t="shared" si="13"/>
        <v>3.4100136054421766</v>
      </c>
      <c r="Y7" s="6">
        <f t="shared" si="13"/>
        <v>3.9990204081632656</v>
      </c>
      <c r="Z7" s="39">
        <f t="shared" si="13"/>
        <v>10.302040816326532</v>
      </c>
    </row>
    <row r="8" spans="1:27" ht="15.75" thickBot="1" x14ac:dyDescent="0.3">
      <c r="A8" s="21"/>
      <c r="B8" s="22"/>
      <c r="C8" s="69"/>
      <c r="D8" s="24"/>
      <c r="E8" s="24"/>
      <c r="F8" s="24"/>
      <c r="G8" s="24"/>
      <c r="H8" s="40"/>
      <c r="I8" s="25"/>
      <c r="J8" s="25"/>
      <c r="K8" s="25"/>
      <c r="L8" s="25"/>
      <c r="M8" s="25"/>
      <c r="N8" s="25"/>
      <c r="O8" s="25"/>
      <c r="P8" s="69"/>
      <c r="Q8" s="24"/>
      <c r="R8" s="24"/>
      <c r="S8" s="24"/>
      <c r="T8" s="24"/>
      <c r="U8" s="40"/>
      <c r="V8" s="24"/>
      <c r="W8" s="24"/>
      <c r="X8" s="24"/>
      <c r="Y8" s="24"/>
      <c r="Z8" s="40"/>
    </row>
    <row r="9" spans="1:27" x14ac:dyDescent="0.25">
      <c r="A9" s="12" t="s">
        <v>10</v>
      </c>
      <c r="B9" s="16" t="s">
        <v>6</v>
      </c>
      <c r="C9" s="67">
        <f>C4</f>
        <v>0.1</v>
      </c>
      <c r="D9" s="13">
        <f>$C9*'Surplus 2017'!D8</f>
        <v>4.5351473922902487E-2</v>
      </c>
      <c r="E9" s="13">
        <f>$C9*'Surplus 2017'!E8</f>
        <v>9.0702947845804974E-2</v>
      </c>
      <c r="F9" s="13">
        <f>$C9*'Surplus 2017'!F8</f>
        <v>0.13605442176870747</v>
      </c>
      <c r="G9" s="13">
        <f>$C9*'Surplus 2017'!G8</f>
        <v>0.2040816326530612</v>
      </c>
      <c r="H9" s="38">
        <f>SUM(D9:G9)</f>
        <v>0.47619047619047616</v>
      </c>
      <c r="I9" s="13">
        <v>0</v>
      </c>
      <c r="J9" s="13">
        <f t="shared" ref="J9:J11" si="14">D9</f>
        <v>4.5351473922902487E-2</v>
      </c>
      <c r="K9" s="13">
        <f t="shared" ref="K9:K11" si="15">E9</f>
        <v>9.0702947845804974E-2</v>
      </c>
      <c r="L9" s="13">
        <f t="shared" ref="L9:L11" si="16">F9</f>
        <v>0.13605442176870747</v>
      </c>
      <c r="M9" s="13">
        <f t="shared" ref="M9:M11" si="17">SUM(J9:L9)</f>
        <v>0.27210884353741494</v>
      </c>
      <c r="N9" s="13">
        <f t="shared" ref="N9:N11" si="18">G9</f>
        <v>0.2040816326530612</v>
      </c>
      <c r="O9" s="13"/>
      <c r="P9" s="63">
        <v>8</v>
      </c>
      <c r="Q9" s="13">
        <f t="shared" ref="Q9:T11" si="19">$P9*Q$1*$C9</f>
        <v>0</v>
      </c>
      <c r="R9" s="13">
        <f t="shared" si="19"/>
        <v>0.26400000000000001</v>
      </c>
      <c r="S9" s="13">
        <f t="shared" si="19"/>
        <v>0.26400000000000001</v>
      </c>
      <c r="T9" s="13">
        <f t="shared" si="19"/>
        <v>0.27199999999999996</v>
      </c>
      <c r="U9" s="38">
        <f>SUM(Q9:T9)</f>
        <v>0.8</v>
      </c>
      <c r="V9" s="13">
        <f t="shared" ref="V9:V11" si="20">I9+Q9</f>
        <v>0</v>
      </c>
      <c r="W9" s="13">
        <f t="shared" ref="W9:W11" si="21">J9+R9</f>
        <v>0.30935147392290252</v>
      </c>
      <c r="X9" s="13">
        <f t="shared" ref="X9:X11" si="22">K9+S9</f>
        <v>0.35470294784580497</v>
      </c>
      <c r="Y9" s="13">
        <f t="shared" ref="Y9:Y11" si="23">L9+T9</f>
        <v>0.40805442176870743</v>
      </c>
      <c r="Z9" s="38">
        <f>SUM(V9:Y9)</f>
        <v>1.0721088435374149</v>
      </c>
    </row>
    <row r="10" spans="1:27" x14ac:dyDescent="0.25">
      <c r="A10" s="12"/>
      <c r="B10" s="16" t="s">
        <v>7</v>
      </c>
      <c r="C10" s="67">
        <f>C5</f>
        <v>0.2</v>
      </c>
      <c r="D10" s="13">
        <f>$C10*'Surplus 2017'!D9</f>
        <v>0.12698412698412695</v>
      </c>
      <c r="E10" s="13">
        <f>$C10*'Surplus 2017'!E9</f>
        <v>0.2539682539682539</v>
      </c>
      <c r="F10" s="13">
        <f>$C10*'Surplus 2017'!F9</f>
        <v>0.38095238095238093</v>
      </c>
      <c r="G10" s="13">
        <f>$C10*'Surplus 2017'!G9</f>
        <v>0.5714285714285714</v>
      </c>
      <c r="H10" s="38">
        <f>SUM(D10:G10)</f>
        <v>1.333333333333333</v>
      </c>
      <c r="I10" s="13">
        <v>0</v>
      </c>
      <c r="J10" s="13">
        <f t="shared" si="14"/>
        <v>0.12698412698412695</v>
      </c>
      <c r="K10" s="13">
        <f t="shared" si="15"/>
        <v>0.2539682539682539</v>
      </c>
      <c r="L10" s="13">
        <f t="shared" si="16"/>
        <v>0.38095238095238093</v>
      </c>
      <c r="M10" s="13">
        <f t="shared" si="17"/>
        <v>0.76190476190476175</v>
      </c>
      <c r="N10" s="13">
        <f t="shared" si="18"/>
        <v>0.5714285714285714</v>
      </c>
      <c r="O10" s="13"/>
      <c r="P10" s="63">
        <v>10</v>
      </c>
      <c r="Q10" s="13">
        <f t="shared" si="19"/>
        <v>0</v>
      </c>
      <c r="R10" s="13">
        <f t="shared" si="19"/>
        <v>0.66000000000000014</v>
      </c>
      <c r="S10" s="13">
        <f t="shared" si="19"/>
        <v>0.66000000000000014</v>
      </c>
      <c r="T10" s="13">
        <f t="shared" si="19"/>
        <v>0.67999999999999994</v>
      </c>
      <c r="U10" s="38">
        <f>SUM(Q10:T10)</f>
        <v>2</v>
      </c>
      <c r="V10" s="13">
        <f t="shared" si="20"/>
        <v>0</v>
      </c>
      <c r="W10" s="13">
        <f t="shared" si="21"/>
        <v>0.78698412698412712</v>
      </c>
      <c r="X10" s="13">
        <f t="shared" si="22"/>
        <v>0.9139682539682541</v>
      </c>
      <c r="Y10" s="13">
        <f t="shared" si="23"/>
        <v>1.0609523809523809</v>
      </c>
      <c r="Z10" s="38">
        <f>SUM(V10:Y10)</f>
        <v>2.7619047619047619</v>
      </c>
    </row>
    <row r="11" spans="1:27" x14ac:dyDescent="0.25">
      <c r="A11" s="12"/>
      <c r="B11" s="16" t="s">
        <v>8</v>
      </c>
      <c r="C11" s="67">
        <f>C6</f>
        <v>0.05</v>
      </c>
      <c r="D11" s="13">
        <f>$C11*'Surplus 2017'!D10</f>
        <v>9.070294784580496E-2</v>
      </c>
      <c r="E11" s="13">
        <f>$C11*'Surplus 2017'!E10</f>
        <v>0.18140589569160992</v>
      </c>
      <c r="F11" s="13">
        <f>$C11*'Surplus 2017'!F10</f>
        <v>0.27210884353741488</v>
      </c>
      <c r="G11" s="13">
        <f>$C11*'Surplus 2017'!G10</f>
        <v>0.4081632653061224</v>
      </c>
      <c r="H11" s="38">
        <f>SUM(D11:G11)</f>
        <v>0.95238095238095211</v>
      </c>
      <c r="I11" s="13">
        <v>0</v>
      </c>
      <c r="J11" s="13">
        <f t="shared" si="14"/>
        <v>9.070294784580496E-2</v>
      </c>
      <c r="K11" s="13">
        <f t="shared" si="15"/>
        <v>0.18140589569160992</v>
      </c>
      <c r="L11" s="13">
        <f t="shared" si="16"/>
        <v>0.27210884353741488</v>
      </c>
      <c r="M11" s="13">
        <f t="shared" si="17"/>
        <v>0.54421768707482976</v>
      </c>
      <c r="N11" s="13">
        <f t="shared" si="18"/>
        <v>0.4081632653061224</v>
      </c>
      <c r="O11" s="13"/>
      <c r="P11" s="63">
        <v>9</v>
      </c>
      <c r="Q11" s="13">
        <f t="shared" si="19"/>
        <v>0</v>
      </c>
      <c r="R11" s="13">
        <f t="shared" si="19"/>
        <v>0.14850000000000002</v>
      </c>
      <c r="S11" s="13">
        <f t="shared" si="19"/>
        <v>0.14850000000000002</v>
      </c>
      <c r="T11" s="13">
        <f t="shared" si="19"/>
        <v>0.153</v>
      </c>
      <c r="U11" s="38">
        <f>SUM(Q11:T11)</f>
        <v>0.45000000000000007</v>
      </c>
      <c r="V11" s="13">
        <f t="shared" si="20"/>
        <v>0</v>
      </c>
      <c r="W11" s="13">
        <f t="shared" si="21"/>
        <v>0.23920294784580498</v>
      </c>
      <c r="X11" s="13">
        <f t="shared" si="22"/>
        <v>0.32990589569160994</v>
      </c>
      <c r="Y11" s="13">
        <f t="shared" si="23"/>
        <v>0.42510884353741485</v>
      </c>
      <c r="Z11" s="38">
        <f>SUM(V11:Y11)</f>
        <v>0.99421768707482983</v>
      </c>
    </row>
    <row r="12" spans="1:27" x14ac:dyDescent="0.25">
      <c r="A12" s="12"/>
      <c r="B12" s="17" t="s">
        <v>11</v>
      </c>
      <c r="C12" s="68">
        <f>H12/'2017 plan 160'!J11</f>
        <v>9.0624999999999997E-2</v>
      </c>
      <c r="D12" s="6">
        <f t="shared" ref="D12:I12" si="24">SUM(D9:D11)</f>
        <v>0.26303854875283439</v>
      </c>
      <c r="E12" s="6">
        <f t="shared" si="24"/>
        <v>0.52607709750566878</v>
      </c>
      <c r="F12" s="6">
        <f t="shared" si="24"/>
        <v>0.78911564625850317</v>
      </c>
      <c r="G12" s="6">
        <f t="shared" si="24"/>
        <v>1.1836734693877551</v>
      </c>
      <c r="H12" s="39">
        <f t="shared" si="24"/>
        <v>2.7619047619047614</v>
      </c>
      <c r="I12" s="6">
        <f t="shared" si="24"/>
        <v>0</v>
      </c>
      <c r="J12" s="6">
        <f t="shared" ref="J12" si="25">SUM(J9:J11)</f>
        <v>0.26303854875283439</v>
      </c>
      <c r="K12" s="6">
        <f t="shared" ref="K12" si="26">SUM(K9:K11)</f>
        <v>0.52607709750566878</v>
      </c>
      <c r="L12" s="6">
        <f t="shared" ref="L12" si="27">SUM(L9:L11)</f>
        <v>0.78911564625850317</v>
      </c>
      <c r="M12" s="6">
        <f t="shared" ref="M12" si="28">SUM(M9:M11)</f>
        <v>1.5782312925170063</v>
      </c>
      <c r="N12" s="6">
        <f t="shared" ref="N12" si="29">SUM(N9:N11)</f>
        <v>1.1836734693877551</v>
      </c>
      <c r="O12" s="6">
        <f t="shared" ref="O12" si="30">SUM(O9:O11)</f>
        <v>0</v>
      </c>
      <c r="P12" s="45">
        <f>SUM(P9:P11)</f>
        <v>27</v>
      </c>
      <c r="Q12" s="6">
        <f t="shared" ref="Q12:Z12" si="31">SUM(Q9:Q11)</f>
        <v>0</v>
      </c>
      <c r="R12" s="6">
        <f t="shared" si="31"/>
        <v>1.0725000000000002</v>
      </c>
      <c r="S12" s="6">
        <f t="shared" si="31"/>
        <v>1.0725000000000002</v>
      </c>
      <c r="T12" s="6">
        <f t="shared" si="31"/>
        <v>1.105</v>
      </c>
      <c r="U12" s="39">
        <f t="shared" si="31"/>
        <v>3.25</v>
      </c>
      <c r="V12" s="6">
        <f t="shared" si="31"/>
        <v>0</v>
      </c>
      <c r="W12" s="6">
        <f t="shared" si="31"/>
        <v>1.3355385487528348</v>
      </c>
      <c r="X12" s="6">
        <f t="shared" si="31"/>
        <v>1.598577097505669</v>
      </c>
      <c r="Y12" s="6">
        <f t="shared" si="31"/>
        <v>1.8941156462585031</v>
      </c>
      <c r="Z12" s="39">
        <f t="shared" si="31"/>
        <v>4.8282312925170068</v>
      </c>
    </row>
    <row r="13" spans="1:27" ht="15.75" thickBot="1" x14ac:dyDescent="0.3">
      <c r="A13" s="21"/>
      <c r="B13" s="27"/>
      <c r="C13" s="70"/>
      <c r="D13" s="28"/>
      <c r="E13" s="28"/>
      <c r="F13" s="28"/>
      <c r="G13" s="28"/>
      <c r="H13" s="41"/>
      <c r="I13" s="29"/>
      <c r="J13" s="29"/>
      <c r="K13" s="29"/>
      <c r="L13" s="29"/>
      <c r="M13" s="29"/>
      <c r="N13" s="29"/>
      <c r="O13" s="29"/>
      <c r="P13" s="70"/>
      <c r="Q13" s="28"/>
      <c r="R13" s="28"/>
      <c r="S13" s="28"/>
      <c r="T13" s="28"/>
      <c r="U13" s="41"/>
      <c r="V13" s="28"/>
      <c r="W13" s="28"/>
      <c r="X13" s="28"/>
      <c r="Y13" s="28"/>
      <c r="Z13" s="41"/>
    </row>
    <row r="14" spans="1:27" ht="15.75" thickBot="1" x14ac:dyDescent="0.3">
      <c r="A14" s="23"/>
      <c r="B14" s="22" t="s">
        <v>4</v>
      </c>
      <c r="C14" s="71">
        <f>H14/'2017 plan 160'!J13</f>
        <v>7.6785714285714277E-2</v>
      </c>
      <c r="D14" s="24">
        <f>D12+D7</f>
        <v>0.78004535147392284</v>
      </c>
      <c r="E14" s="24">
        <f>E12+E7</f>
        <v>1.5600907029478457</v>
      </c>
      <c r="F14" s="24">
        <f>F12+F7</f>
        <v>2.3401360544217686</v>
      </c>
      <c r="G14" s="24">
        <f>G12+G7</f>
        <v>3.5102040816326534</v>
      </c>
      <c r="H14" s="42">
        <f>H12+H7</f>
        <v>8.1904761904761898</v>
      </c>
      <c r="I14" s="24">
        <f>I7+I12</f>
        <v>0</v>
      </c>
      <c r="J14" s="24">
        <f t="shared" ref="J14:O14" si="32">J7+J12</f>
        <v>0.78004535147392284</v>
      </c>
      <c r="K14" s="24">
        <f t="shared" ref="K14:L14" si="33">K7+K12</f>
        <v>1.5600907029478457</v>
      </c>
      <c r="L14" s="24">
        <f t="shared" si="33"/>
        <v>2.3401360544217686</v>
      </c>
      <c r="M14" s="24">
        <f t="shared" si="32"/>
        <v>4.6802721088435373</v>
      </c>
      <c r="N14" s="24">
        <f t="shared" si="32"/>
        <v>3.5102040816326534</v>
      </c>
      <c r="O14" s="24">
        <f t="shared" si="32"/>
        <v>0</v>
      </c>
      <c r="P14" s="46">
        <f>SUM(P12,P7)</f>
        <v>80</v>
      </c>
      <c r="Q14" s="24">
        <f t="shared" ref="Q14:Z14" si="34">Q12+Q7</f>
        <v>0</v>
      </c>
      <c r="R14" s="24">
        <f t="shared" si="34"/>
        <v>3.4485000000000006</v>
      </c>
      <c r="S14" s="24">
        <f t="shared" si="34"/>
        <v>3.4485000000000006</v>
      </c>
      <c r="T14" s="24">
        <f t="shared" si="34"/>
        <v>3.5529999999999999</v>
      </c>
      <c r="U14" s="42">
        <f t="shared" si="34"/>
        <v>10.45</v>
      </c>
      <c r="V14" s="24">
        <f t="shared" si="34"/>
        <v>0</v>
      </c>
      <c r="W14" s="24">
        <f t="shared" si="34"/>
        <v>4.2285453514739233</v>
      </c>
      <c r="X14" s="24">
        <f t="shared" si="34"/>
        <v>5.0085907029478456</v>
      </c>
      <c r="Y14" s="24">
        <f t="shared" si="34"/>
        <v>5.8931360544217686</v>
      </c>
      <c r="Z14" s="42">
        <f t="shared" si="34"/>
        <v>15.130272108843538</v>
      </c>
    </row>
    <row r="16" spans="1:27" x14ac:dyDescent="0.25">
      <c r="G16" t="s">
        <v>29</v>
      </c>
      <c r="H16" s="59">
        <f>H14/'Surplus 2017'!H13</f>
        <v>7.6785714285714277E-2</v>
      </c>
      <c r="I16" s="59"/>
      <c r="J16" s="59"/>
      <c r="K16" s="59"/>
      <c r="L16" s="59"/>
      <c r="M16" s="59"/>
      <c r="N16" s="59"/>
      <c r="O16" s="59"/>
      <c r="U16" s="72">
        <f>U14/P14</f>
        <v>0.13062499999999999</v>
      </c>
      <c r="AA16">
        <v>2018</v>
      </c>
    </row>
    <row r="17" spans="7:27" ht="15.75" thickBot="1" x14ac:dyDescent="0.3">
      <c r="G17" s="87" t="s">
        <v>75</v>
      </c>
      <c r="AA17" s="96" t="s">
        <v>0</v>
      </c>
    </row>
    <row r="18" spans="7:27" ht="15.75" thickBot="1" x14ac:dyDescent="0.3">
      <c r="G18" s="88" t="s">
        <v>74</v>
      </c>
      <c r="H18" s="89"/>
      <c r="I18" s="90">
        <f>I7*0.3*1000</f>
        <v>0</v>
      </c>
      <c r="J18" s="92">
        <f t="shared" ref="J18:M18" si="35">J7*0.3*1000</f>
        <v>155.10204081632654</v>
      </c>
      <c r="K18" s="92">
        <f t="shared" si="35"/>
        <v>310.20408163265307</v>
      </c>
      <c r="L18" s="93">
        <f t="shared" si="35"/>
        <v>465.30612244897964</v>
      </c>
      <c r="M18" s="94">
        <f t="shared" si="35"/>
        <v>930.61224489795916</v>
      </c>
      <c r="N18" s="92">
        <f t="shared" ref="N18:O18" si="36">N7*0.3*1000</f>
        <v>697.9591836734694</v>
      </c>
      <c r="O18" s="93">
        <f t="shared" si="36"/>
        <v>0</v>
      </c>
      <c r="Q18" s="91">
        <f>Q7*0.3*1000</f>
        <v>0</v>
      </c>
      <c r="R18" s="92">
        <f t="shared" ref="R18:Z18" si="37">R7*0.3*1000</f>
        <v>712.80000000000007</v>
      </c>
      <c r="S18" s="92">
        <f t="shared" si="37"/>
        <v>712.80000000000007</v>
      </c>
      <c r="T18" s="93">
        <f t="shared" si="37"/>
        <v>734.4</v>
      </c>
      <c r="U18" s="94">
        <f t="shared" si="37"/>
        <v>2160</v>
      </c>
      <c r="V18" s="95">
        <f t="shared" si="37"/>
        <v>0</v>
      </c>
      <c r="W18" s="107">
        <f>W7*0.3*1000</f>
        <v>867.90204081632646</v>
      </c>
      <c r="X18" s="107">
        <f t="shared" si="37"/>
        <v>1023.0040816326529</v>
      </c>
      <c r="Y18" s="108">
        <f t="shared" si="37"/>
        <v>1199.7061224489796</v>
      </c>
      <c r="Z18" s="109">
        <f t="shared" si="37"/>
        <v>3090.6122448979595</v>
      </c>
      <c r="AA18" s="109">
        <f>N18</f>
        <v>697.9591836734694</v>
      </c>
    </row>
    <row r="19" spans="7:27" ht="15.75" thickBot="1" x14ac:dyDescent="0.3">
      <c r="G19" s="88" t="s">
        <v>73</v>
      </c>
      <c r="H19" s="89"/>
      <c r="I19" s="90">
        <f>I12*0.35*1000</f>
        <v>0</v>
      </c>
      <c r="J19" s="92">
        <f>J12*0.55*1000</f>
        <v>144.67120181405892</v>
      </c>
      <c r="K19" s="92">
        <f t="shared" ref="K19:L19" si="38">K12*0.55*1000</f>
        <v>289.34240362811784</v>
      </c>
      <c r="L19" s="92">
        <f t="shared" si="38"/>
        <v>434.01360544217675</v>
      </c>
      <c r="M19" s="94">
        <f>M12*0.55*1000</f>
        <v>868.02721088435351</v>
      </c>
      <c r="N19" s="92">
        <f>N12*0.55*1000</f>
        <v>651.0204081632653</v>
      </c>
      <c r="O19" s="93">
        <f t="shared" ref="O19" si="39">O12*0.35*1000</f>
        <v>0</v>
      </c>
      <c r="Q19" s="91">
        <f t="shared" ref="Q19:Z19" si="40">Q12*0.55*1000</f>
        <v>0</v>
      </c>
      <c r="R19" s="92">
        <f t="shared" si="40"/>
        <v>589.87500000000011</v>
      </c>
      <c r="S19" s="92">
        <f t="shared" si="40"/>
        <v>589.87500000000011</v>
      </c>
      <c r="T19" s="93">
        <f t="shared" si="40"/>
        <v>607.75</v>
      </c>
      <c r="U19" s="94">
        <f t="shared" si="40"/>
        <v>1787.5</v>
      </c>
      <c r="V19" s="95">
        <f t="shared" si="40"/>
        <v>0</v>
      </c>
      <c r="W19" s="107">
        <f t="shared" si="40"/>
        <v>734.54620181405926</v>
      </c>
      <c r="X19" s="107">
        <f t="shared" si="40"/>
        <v>879.21740362811806</v>
      </c>
      <c r="Y19" s="108">
        <f t="shared" si="40"/>
        <v>1041.7636054421769</v>
      </c>
      <c r="Z19" s="109">
        <f t="shared" si="40"/>
        <v>2655.5272108843537</v>
      </c>
      <c r="AA19" s="109">
        <f>N19</f>
        <v>651.0204081632653</v>
      </c>
    </row>
    <row r="21" spans="7:27" x14ac:dyDescent="0.25">
      <c r="Z21" s="73"/>
    </row>
    <row r="23" spans="7:27" x14ac:dyDescent="0.25">
      <c r="Z23" s="112"/>
    </row>
    <row r="24" spans="7:27" x14ac:dyDescent="0.25">
      <c r="Z24" s="113"/>
    </row>
  </sheetData>
  <mergeCells count="6">
    <mergeCell ref="A2:B3"/>
    <mergeCell ref="C2:H2"/>
    <mergeCell ref="P2:U2"/>
    <mergeCell ref="V2:Z2"/>
    <mergeCell ref="I2:M2"/>
    <mergeCell ref="N2:O2"/>
  </mergeCells>
  <pageMargins left="0.7" right="0.7" top="0.75" bottom="0.75" header="0.3" footer="0.3"/>
  <pageSetup paperSize="9" scale="9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zoomScaleNormal="100" workbookViewId="0">
      <selection activeCell="O8" sqref="O8:T9"/>
    </sheetView>
  </sheetViews>
  <sheetFormatPr defaultRowHeight="15" x14ac:dyDescent="0.25"/>
  <cols>
    <col min="1" max="1" width="6.5703125" bestFit="1" customWidth="1"/>
    <col min="2" max="2" width="12.28515625" bestFit="1" customWidth="1"/>
    <col min="3" max="3" width="12.5703125" bestFit="1" customWidth="1"/>
    <col min="4" max="4" width="12.28515625" bestFit="1" customWidth="1"/>
    <col min="5" max="5" width="8.7109375" bestFit="1" customWidth="1"/>
    <col min="6" max="6" width="12.42578125" customWidth="1"/>
    <col min="7" max="7" width="11.28515625" bestFit="1" customWidth="1"/>
    <col min="8" max="8" width="15.42578125" customWidth="1"/>
    <col min="9" max="9" width="11.42578125" customWidth="1"/>
    <col min="10" max="10" width="11" customWidth="1"/>
    <col min="11" max="11" width="15.28515625" bestFit="1" customWidth="1"/>
    <col min="12" max="13" width="12.5703125" bestFit="1" customWidth="1"/>
    <col min="14" max="14" width="11.5703125" bestFit="1" customWidth="1"/>
    <col min="15" max="22" width="11.5703125" customWidth="1"/>
    <col min="23" max="23" width="17.7109375" style="3" bestFit="1" customWidth="1"/>
    <col min="24" max="24" width="8.140625" style="3" bestFit="1" customWidth="1"/>
    <col min="25" max="25" width="19.5703125" style="3" bestFit="1" customWidth="1"/>
    <col min="26" max="27" width="13.28515625" bestFit="1" customWidth="1"/>
    <col min="28" max="29" width="12.140625" bestFit="1" customWidth="1"/>
    <col min="30" max="30" width="13.28515625" bestFit="1" customWidth="1"/>
  </cols>
  <sheetData>
    <row r="1" spans="1:30" x14ac:dyDescent="0.25">
      <c r="I1" s="126" t="s">
        <v>69</v>
      </c>
      <c r="J1" s="126"/>
      <c r="K1" s="126" t="s">
        <v>70</v>
      </c>
      <c r="L1" s="126"/>
      <c r="M1" s="74"/>
      <c r="N1" s="74"/>
      <c r="O1" s="127">
        <v>2017</v>
      </c>
      <c r="P1" s="127"/>
      <c r="Q1" s="127"/>
      <c r="R1" s="127"/>
      <c r="S1" s="127">
        <v>2018</v>
      </c>
      <c r="T1" s="127"/>
      <c r="U1" s="127"/>
      <c r="V1" s="127"/>
    </row>
    <row r="2" spans="1:30" ht="30" x14ac:dyDescent="0.25">
      <c r="A2" s="83"/>
      <c r="B2" s="80" t="s">
        <v>7</v>
      </c>
      <c r="C2" s="80" t="s">
        <v>8</v>
      </c>
      <c r="D2" s="84" t="s">
        <v>4</v>
      </c>
      <c r="E2" s="80" t="s">
        <v>62</v>
      </c>
      <c r="F2" s="80" t="s">
        <v>64</v>
      </c>
      <c r="G2" s="80" t="s">
        <v>63</v>
      </c>
      <c r="H2" s="80" t="s">
        <v>65</v>
      </c>
      <c r="I2" s="80" t="s">
        <v>67</v>
      </c>
      <c r="J2" s="80" t="s">
        <v>68</v>
      </c>
      <c r="K2" s="80" t="s">
        <v>67</v>
      </c>
      <c r="L2" s="80" t="s">
        <v>68</v>
      </c>
      <c r="M2" s="80" t="s">
        <v>71</v>
      </c>
      <c r="N2" s="80" t="s">
        <v>72</v>
      </c>
      <c r="O2" s="80" t="s">
        <v>0</v>
      </c>
      <c r="P2" s="80" t="s">
        <v>1</v>
      </c>
      <c r="Q2" s="80" t="s">
        <v>2</v>
      </c>
      <c r="R2" s="80" t="s">
        <v>3</v>
      </c>
      <c r="S2" s="80" t="s">
        <v>0</v>
      </c>
      <c r="T2" s="80" t="s">
        <v>1</v>
      </c>
      <c r="U2" s="80" t="s">
        <v>2</v>
      </c>
      <c r="V2" s="80" t="s">
        <v>3</v>
      </c>
      <c r="X2" s="125" t="s">
        <v>66</v>
      </c>
      <c r="Y2" s="125"/>
      <c r="Z2" s="125"/>
      <c r="AA2" s="125"/>
      <c r="AB2" s="125"/>
      <c r="AC2" s="125"/>
      <c r="AD2" s="125"/>
    </row>
    <row r="3" spans="1:30" ht="20.100000000000001" customHeight="1" x14ac:dyDescent="0.25">
      <c r="A3" s="81" t="s">
        <v>21</v>
      </c>
      <c r="B3" s="83">
        <f>Z20+Z10-Z18-Z15</f>
        <v>81587350</v>
      </c>
      <c r="C3" s="83">
        <f>SUM(AA20:AC20)+SUM(AA10:AC10)-SUM(AA18:AC18)-SUM(AA15:AC15)</f>
        <v>153306409</v>
      </c>
      <c r="D3" s="85">
        <f>SUM(B3:C3)</f>
        <v>234893759</v>
      </c>
      <c r="E3" s="85">
        <v>72000</v>
      </c>
      <c r="F3" s="83">
        <f>D3/E3</f>
        <v>3262.4133194444444</v>
      </c>
      <c r="G3" s="83">
        <f>('Surplus 2017'!H11+'Re-use 2017'!H12)*1000000</f>
        <v>40380952.380952373</v>
      </c>
      <c r="H3" s="83">
        <f>G3/F3</f>
        <v>12377.632270036476</v>
      </c>
      <c r="I3" s="86">
        <v>1122</v>
      </c>
      <c r="J3" s="86">
        <v>844</v>
      </c>
      <c r="K3" s="82">
        <f>H3*I3*12</f>
        <v>166652440.88377112</v>
      </c>
      <c r="L3" s="82">
        <f>H3*J3*12</f>
        <v>125360659.63092944</v>
      </c>
      <c r="M3" s="83">
        <f>SUM(K3:L3)</f>
        <v>292013100.51470053</v>
      </c>
      <c r="N3" s="82">
        <f>M3/305.5</f>
        <v>955853.02950802143</v>
      </c>
      <c r="O3" s="81"/>
      <c r="P3" s="83">
        <f>$N3*'Surplus 2017'!D11/'Surplus 2017'!$H11</f>
        <v>91033.621857906808</v>
      </c>
      <c r="Q3" s="83">
        <f>$N3*'Surplus 2017'!E11/'Surplus 2017'!$H11</f>
        <v>182067.24371581362</v>
      </c>
      <c r="R3" s="83">
        <f>$N3*'Surplus 2017'!F11/'Surplus 2017'!$H11</f>
        <v>273100.86557372037</v>
      </c>
      <c r="S3" s="83">
        <f>$N3*'Surplus 2017'!G11/'Surplus 2017'!$H11</f>
        <v>409651.29836058064</v>
      </c>
      <c r="T3" s="82"/>
      <c r="U3" s="82"/>
      <c r="V3" s="82"/>
    </row>
    <row r="4" spans="1:30" ht="20.100000000000001" customHeight="1" x14ac:dyDescent="0.25">
      <c r="A4" s="81" t="s">
        <v>22</v>
      </c>
      <c r="B4" s="83">
        <f>Z6</f>
        <v>14467327</v>
      </c>
      <c r="C4" s="83">
        <f>SUM(AA6:AC6)</f>
        <v>102004090</v>
      </c>
      <c r="D4" s="85">
        <f t="shared" ref="D4:D6" si="0">SUM(B4:C4)</f>
        <v>116471417</v>
      </c>
      <c r="E4" s="85">
        <v>40000</v>
      </c>
      <c r="F4" s="83">
        <f t="shared" ref="F4:F6" si="1">D4/E4</f>
        <v>2911.785425</v>
      </c>
      <c r="G4" s="83">
        <f>B4/SUM(B$4:B$6)*('Surplus 2017'!$H$4+'Re-use 2017'!$H$5)*1000000+C4/SUM($C$4:$C$6)*('Surplus 2017'!$H$3+'Surplus 2017'!$H$5+'Re-use 2017'!$H$4+'Re-use 2017'!$H$6)*1000000</f>
        <v>43481098.676165678</v>
      </c>
      <c r="H4" s="83">
        <f t="shared" ref="H4:H6" si="2">G4/F4</f>
        <v>14932.796319002688</v>
      </c>
      <c r="I4" s="86">
        <v>371</v>
      </c>
      <c r="J4" s="86">
        <v>296</v>
      </c>
      <c r="K4" s="82">
        <f t="shared" ref="K4:K6" si="3">H4*I4*12</f>
        <v>66480809.212199964</v>
      </c>
      <c r="L4" s="82">
        <f t="shared" ref="L4:L6" si="4">H4*J4*12</f>
        <v>53041292.525097549</v>
      </c>
      <c r="M4" s="83">
        <f t="shared" ref="M4:M6" si="5">SUM(K4:L4)</f>
        <v>119522101.73729751</v>
      </c>
      <c r="N4" s="82">
        <f t="shared" ref="N4:N6" si="6">M4/305.5</f>
        <v>391234.37557216862</v>
      </c>
      <c r="O4" s="82"/>
      <c r="P4" s="83">
        <f>$N4*'Surplus 2017'!D$6/'Surplus 2017'!$H$6</f>
        <v>37260.416721158908</v>
      </c>
      <c r="Q4" s="83">
        <f>$N4*'Surplus 2017'!E$6/'Surplus 2017'!$H$6</f>
        <v>74520.833442317817</v>
      </c>
      <c r="R4" s="83">
        <f>$N4*'Surplus 2017'!F$6/'Surplus 2017'!$H$6</f>
        <v>111781.25016347672</v>
      </c>
      <c r="S4" s="83">
        <f>$N4*'Surplus 2017'!G$6/'Surplus 2017'!$H$6</f>
        <v>167671.87524521511</v>
      </c>
      <c r="T4" s="82"/>
      <c r="U4" s="82"/>
      <c r="V4" s="82"/>
      <c r="X4" t="s">
        <v>5</v>
      </c>
      <c r="Z4" s="3" t="s">
        <v>7</v>
      </c>
      <c r="AA4" s="3" t="s">
        <v>43</v>
      </c>
      <c r="AB4" s="3" t="s">
        <v>44</v>
      </c>
      <c r="AC4" s="3" t="s">
        <v>45</v>
      </c>
      <c r="AD4" s="3" t="s">
        <v>4</v>
      </c>
    </row>
    <row r="5" spans="1:30" ht="20.100000000000001" customHeight="1" x14ac:dyDescent="0.25">
      <c r="A5" s="81" t="s">
        <v>20</v>
      </c>
      <c r="B5" s="83">
        <f>Z8</f>
        <v>127273957</v>
      </c>
      <c r="C5" s="83">
        <f>SUM(AA8:AC8)</f>
        <v>10084347</v>
      </c>
      <c r="D5" s="85">
        <f t="shared" si="0"/>
        <v>137358304</v>
      </c>
      <c r="E5" s="85">
        <v>162000</v>
      </c>
      <c r="F5" s="83">
        <f t="shared" si="1"/>
        <v>847.89076543209876</v>
      </c>
      <c r="G5" s="83">
        <f>B5/SUM(B$4:B$6)*('Surplus 2017'!$H$4+'Re-use 2017'!$H$5)*1000000+C5/SUM($C$4:$C$6)*('Surplus 2017'!$H$3+'Surplus 2017'!$H$5+'Re-use 2017'!$H$4+'Re-use 2017'!$H$6)*1000000</f>
        <v>12023828.326085005</v>
      </c>
      <c r="H5" s="83">
        <f t="shared" si="2"/>
        <v>14180.869536841186</v>
      </c>
      <c r="I5" s="86">
        <v>371</v>
      </c>
      <c r="J5" s="86">
        <v>296</v>
      </c>
      <c r="K5" s="82">
        <f t="shared" si="3"/>
        <v>63133231.178016961</v>
      </c>
      <c r="L5" s="82">
        <f t="shared" si="4"/>
        <v>50370448.594859898</v>
      </c>
      <c r="M5" s="83">
        <f t="shared" si="5"/>
        <v>113503679.77287686</v>
      </c>
      <c r="N5" s="82">
        <f t="shared" si="6"/>
        <v>371534.14000941691</v>
      </c>
      <c r="O5" s="82"/>
      <c r="P5" s="83">
        <f>$N5*'Surplus 2017'!D$6/'Surplus 2017'!$H$6</f>
        <v>35384.203810420651</v>
      </c>
      <c r="Q5" s="83">
        <f>$N5*'Surplus 2017'!E$6/'Surplus 2017'!$H$6</f>
        <v>70768.407620841303</v>
      </c>
      <c r="R5" s="83">
        <f>$N5*'Surplus 2017'!F$6/'Surplus 2017'!$H$6</f>
        <v>106152.61143126198</v>
      </c>
      <c r="S5" s="83">
        <f>$N5*'Surplus 2017'!G$6/'Surplus 2017'!$H$6</f>
        <v>159228.91714689299</v>
      </c>
      <c r="T5" s="82"/>
      <c r="U5" s="82"/>
      <c r="V5" s="82"/>
      <c r="X5" t="s">
        <v>36</v>
      </c>
      <c r="Y5" s="3" t="s">
        <v>56</v>
      </c>
      <c r="Z5" s="3">
        <v>435444</v>
      </c>
      <c r="AA5" s="3">
        <v>33834423</v>
      </c>
      <c r="AB5" s="3">
        <v>8730181</v>
      </c>
      <c r="AC5" s="3">
        <v>1562776</v>
      </c>
      <c r="AD5" s="73">
        <f>SUM(Z5:AC5)</f>
        <v>44562824</v>
      </c>
    </row>
    <row r="6" spans="1:30" ht="20.100000000000001" customHeight="1" x14ac:dyDescent="0.25">
      <c r="A6" s="81" t="s">
        <v>23</v>
      </c>
      <c r="B6" s="83">
        <f>Z7</f>
        <v>2154068</v>
      </c>
      <c r="C6" s="83">
        <f>SUM(AA7:AC7)</f>
        <v>108523444</v>
      </c>
      <c r="D6" s="85">
        <f t="shared" si="0"/>
        <v>110677512</v>
      </c>
      <c r="E6" s="85">
        <v>115000</v>
      </c>
      <c r="F6" s="83">
        <f t="shared" si="1"/>
        <v>962.41314782608697</v>
      </c>
      <c r="G6" s="83">
        <f>B6/SUM(B$4:B$6)*('Surplus 2017'!$H$4+'Re-use 2017'!$H$5)*1000000+C6/SUM($C$4:$C$6)*('Surplus 2017'!$H$3+'Surplus 2017'!$H$5+'Re-use 2017'!$H$4+'Re-use 2017'!$H$6)*1000000</f>
        <v>45447453.950130269</v>
      </c>
      <c r="H6" s="83">
        <f t="shared" si="2"/>
        <v>47222.395135381979</v>
      </c>
      <c r="I6" s="86">
        <v>290</v>
      </c>
      <c r="J6" s="86">
        <v>319</v>
      </c>
      <c r="K6" s="82">
        <f t="shared" si="3"/>
        <v>164333935.07112929</v>
      </c>
      <c r="L6" s="82">
        <f t="shared" si="4"/>
        <v>180767328.57824221</v>
      </c>
      <c r="M6" s="83">
        <f t="shared" si="5"/>
        <v>345101263.6493715</v>
      </c>
      <c r="N6" s="82">
        <f t="shared" si="6"/>
        <v>1129627.7042532619</v>
      </c>
      <c r="O6" s="82"/>
      <c r="P6" s="83">
        <f>$N6*'Surplus 2017'!D$6/'Surplus 2017'!$H$6</f>
        <v>107583.59088126302</v>
      </c>
      <c r="Q6" s="83">
        <f>$N6*'Surplus 2017'!E$6/'Surplus 2017'!$H$6</f>
        <v>215167.18176252604</v>
      </c>
      <c r="R6" s="83">
        <f>$N6*'Surplus 2017'!F$6/'Surplus 2017'!$H$6</f>
        <v>322750.77264378913</v>
      </c>
      <c r="S6" s="83">
        <f>$N6*'Surplus 2017'!G$6/'Surplus 2017'!$H$6</f>
        <v>484126.15896568366</v>
      </c>
      <c r="T6" s="82"/>
      <c r="U6" s="82"/>
      <c r="V6" s="82"/>
      <c r="X6" t="s">
        <v>37</v>
      </c>
      <c r="Y6" s="3" t="s">
        <v>57</v>
      </c>
      <c r="Z6" s="3">
        <v>14467327</v>
      </c>
      <c r="AA6" s="3">
        <v>90685340</v>
      </c>
      <c r="AB6" s="3">
        <v>7729807</v>
      </c>
      <c r="AC6" s="3">
        <v>3588943</v>
      </c>
      <c r="AD6" s="73">
        <f t="shared" ref="AD6:AD11" si="7">SUM(Z6:AC6)</f>
        <v>116471417</v>
      </c>
    </row>
    <row r="7" spans="1:30" ht="20.100000000000001" customHeight="1" x14ac:dyDescent="0.25">
      <c r="A7" s="3"/>
      <c r="B7" s="3"/>
      <c r="C7" s="3"/>
      <c r="P7" s="3"/>
      <c r="Q7" s="3"/>
      <c r="R7" s="3"/>
      <c r="S7" s="3"/>
      <c r="X7" t="s">
        <v>38</v>
      </c>
      <c r="Y7" s="3" t="s">
        <v>58</v>
      </c>
      <c r="Z7" s="3">
        <v>2154068</v>
      </c>
      <c r="AA7" s="3">
        <v>98229592</v>
      </c>
      <c r="AB7" s="3">
        <v>5625540</v>
      </c>
      <c r="AC7" s="3">
        <v>4668312</v>
      </c>
      <c r="AD7" s="73">
        <f t="shared" si="7"/>
        <v>110677512</v>
      </c>
    </row>
    <row r="8" spans="1:30" ht="20.100000000000001" customHeight="1" x14ac:dyDescent="0.25">
      <c r="A8" s="3"/>
      <c r="B8" s="3"/>
      <c r="C8" s="3"/>
      <c r="D8" s="73"/>
      <c r="E8" s="73"/>
      <c r="N8" s="81" t="s">
        <v>10</v>
      </c>
      <c r="O8" s="81"/>
      <c r="P8" s="83">
        <f>P3</f>
        <v>91033.621857906808</v>
      </c>
      <c r="Q8" s="83">
        <f t="shared" ref="Q8:S8" si="8">Q3</f>
        <v>182067.24371581362</v>
      </c>
      <c r="R8" s="83">
        <f t="shared" si="8"/>
        <v>273100.86557372037</v>
      </c>
      <c r="S8" s="83">
        <f t="shared" si="8"/>
        <v>409651.29836058064</v>
      </c>
      <c r="T8" s="81"/>
      <c r="U8" s="81"/>
      <c r="V8" s="81"/>
      <c r="X8" t="s">
        <v>39</v>
      </c>
      <c r="Y8" s="3" t="s">
        <v>20</v>
      </c>
      <c r="Z8" s="3">
        <v>127273957</v>
      </c>
      <c r="AA8" s="3">
        <v>7956089</v>
      </c>
      <c r="AB8" s="3">
        <v>698564</v>
      </c>
      <c r="AC8" s="3">
        <v>1429694</v>
      </c>
      <c r="AD8" s="73">
        <f t="shared" si="7"/>
        <v>137358304</v>
      </c>
    </row>
    <row r="9" spans="1:30" x14ac:dyDescent="0.25">
      <c r="A9" s="3"/>
      <c r="B9" s="3"/>
      <c r="C9" s="3"/>
      <c r="D9" s="73"/>
      <c r="E9" s="73"/>
      <c r="N9" s="81" t="s">
        <v>5</v>
      </c>
      <c r="O9" s="81"/>
      <c r="P9" s="83">
        <f>SUM(P4:P6)</f>
        <v>180228.21141284259</v>
      </c>
      <c r="Q9" s="83">
        <f t="shared" ref="Q9:S9" si="9">SUM(Q4:Q6)</f>
        <v>360456.42282568518</v>
      </c>
      <c r="R9" s="83">
        <f t="shared" si="9"/>
        <v>540684.63423852785</v>
      </c>
      <c r="S9" s="83">
        <f t="shared" si="9"/>
        <v>811026.95135779178</v>
      </c>
      <c r="T9" s="81"/>
      <c r="U9" s="81"/>
      <c r="V9" s="81"/>
      <c r="X9" t="s">
        <v>40</v>
      </c>
      <c r="Y9" s="3" t="s">
        <v>59</v>
      </c>
      <c r="Z9" s="3">
        <v>13742</v>
      </c>
      <c r="AA9" s="3">
        <v>17154273</v>
      </c>
      <c r="AB9" s="3">
        <v>5550085</v>
      </c>
      <c r="AC9" s="3">
        <v>1967245</v>
      </c>
      <c r="AD9" s="73">
        <f t="shared" si="7"/>
        <v>24685345</v>
      </c>
    </row>
    <row r="10" spans="1:30" ht="20.100000000000001" customHeight="1" x14ac:dyDescent="0.25">
      <c r="A10" s="3"/>
      <c r="B10" s="3"/>
      <c r="C10" s="3"/>
      <c r="D10" s="73"/>
      <c r="E10" s="73"/>
      <c r="X10" t="s">
        <v>41</v>
      </c>
      <c r="Y10" s="3" t="s">
        <v>60</v>
      </c>
      <c r="Z10" s="3">
        <v>142916</v>
      </c>
      <c r="AA10" s="3">
        <v>44655012</v>
      </c>
      <c r="AB10" s="3">
        <v>19238314</v>
      </c>
      <c r="AC10" s="3">
        <v>4796608</v>
      </c>
      <c r="AD10" s="73">
        <f t="shared" si="7"/>
        <v>68832850</v>
      </c>
    </row>
    <row r="11" spans="1:30" ht="20.100000000000001" customHeight="1" x14ac:dyDescent="0.25">
      <c r="X11" t="s">
        <v>42</v>
      </c>
      <c r="Y11" s="3" t="s">
        <v>61</v>
      </c>
      <c r="Z11" s="3">
        <v>0</v>
      </c>
      <c r="AA11" s="3">
        <v>24747</v>
      </c>
      <c r="AB11" s="3">
        <v>0</v>
      </c>
      <c r="AC11" s="3">
        <v>0</v>
      </c>
      <c r="AD11" s="73">
        <f t="shared" si="7"/>
        <v>24747</v>
      </c>
    </row>
    <row r="12" spans="1:30" ht="20.100000000000001" customHeight="1" x14ac:dyDescent="0.25">
      <c r="X12" t="s">
        <v>4</v>
      </c>
      <c r="Z12" s="3">
        <f>SUM(Z5:Z11)</f>
        <v>144487454</v>
      </c>
      <c r="AA12" s="3">
        <f t="shared" ref="AA12:AD12" si="10">SUM(AA5:AA11)</f>
        <v>292539476</v>
      </c>
      <c r="AB12" s="3">
        <f t="shared" si="10"/>
        <v>47572491</v>
      </c>
      <c r="AC12" s="3">
        <f t="shared" si="10"/>
        <v>18013578</v>
      </c>
      <c r="AD12" s="3">
        <f t="shared" si="10"/>
        <v>502612999</v>
      </c>
    </row>
    <row r="13" spans="1:30" ht="20.100000000000001" customHeight="1" x14ac:dyDescent="0.25">
      <c r="X13"/>
      <c r="Z13" s="3"/>
      <c r="AA13" s="3"/>
    </row>
    <row r="14" spans="1:30" ht="20.100000000000001" customHeight="1" x14ac:dyDescent="0.25">
      <c r="X14" t="s">
        <v>10</v>
      </c>
      <c r="Z14" s="3"/>
      <c r="AA14" s="3"/>
    </row>
    <row r="15" spans="1:30" ht="20.100000000000001" customHeight="1" x14ac:dyDescent="0.25">
      <c r="X15" t="s">
        <v>46</v>
      </c>
      <c r="Y15" s="3" t="s">
        <v>51</v>
      </c>
      <c r="Z15" s="3">
        <v>0</v>
      </c>
      <c r="AA15" s="3">
        <v>1303</v>
      </c>
      <c r="AB15" s="3">
        <v>2410</v>
      </c>
      <c r="AC15" s="3">
        <v>1533189</v>
      </c>
      <c r="AD15" s="73">
        <f t="shared" ref="AD15:AD19" si="11">SUM(Z15:AC15)</f>
        <v>1536902</v>
      </c>
    </row>
    <row r="16" spans="1:30" ht="20.100000000000001" customHeight="1" x14ac:dyDescent="0.25">
      <c r="X16" t="s">
        <v>47</v>
      </c>
      <c r="Y16" s="3" t="s">
        <v>53</v>
      </c>
      <c r="Z16" s="3">
        <v>387791</v>
      </c>
      <c r="AA16" s="3">
        <v>7100</v>
      </c>
      <c r="AB16" s="3">
        <v>11231</v>
      </c>
      <c r="AC16" s="3">
        <v>0</v>
      </c>
      <c r="AD16" s="73">
        <f t="shared" si="11"/>
        <v>406122</v>
      </c>
    </row>
    <row r="17" spans="4:30" x14ac:dyDescent="0.25">
      <c r="X17" t="s">
        <v>48</v>
      </c>
      <c r="Y17" s="3" t="s">
        <v>52</v>
      </c>
      <c r="Z17" s="3">
        <v>24814402</v>
      </c>
      <c r="AA17" s="3">
        <v>4124344</v>
      </c>
      <c r="AB17" s="3">
        <v>328993</v>
      </c>
      <c r="AC17" s="3">
        <v>166547</v>
      </c>
      <c r="AD17" s="73">
        <f t="shared" si="11"/>
        <v>29434286</v>
      </c>
    </row>
    <row r="18" spans="4:30" x14ac:dyDescent="0.25">
      <c r="X18" t="s">
        <v>49</v>
      </c>
      <c r="Y18" s="3" t="s">
        <v>54</v>
      </c>
      <c r="Z18" s="3">
        <v>800498</v>
      </c>
      <c r="AA18" s="3">
        <v>33976665</v>
      </c>
      <c r="AB18" s="3">
        <v>7063481</v>
      </c>
      <c r="AC18" s="3">
        <v>1428483</v>
      </c>
      <c r="AD18" s="73">
        <f t="shared" si="11"/>
        <v>43269127</v>
      </c>
    </row>
    <row r="19" spans="4:30" x14ac:dyDescent="0.25">
      <c r="X19" t="s">
        <v>50</v>
      </c>
      <c r="Y19" s="3" t="s">
        <v>55</v>
      </c>
      <c r="Z19" s="3">
        <v>56242241</v>
      </c>
      <c r="AA19" s="3">
        <v>62185751</v>
      </c>
      <c r="AB19" s="3">
        <v>12205563</v>
      </c>
      <c r="AC19" s="3">
        <v>5586946</v>
      </c>
      <c r="AD19" s="73">
        <f t="shared" si="11"/>
        <v>136220501</v>
      </c>
    </row>
    <row r="20" spans="4:30" x14ac:dyDescent="0.25">
      <c r="D20" s="1"/>
      <c r="E20" s="1"/>
      <c r="X20" t="s">
        <v>4</v>
      </c>
      <c r="Z20" s="3">
        <f>SUM(Z15:Z19)</f>
        <v>82244932</v>
      </c>
      <c r="AA20" s="3">
        <f>SUM(AA15:AA19)</f>
        <v>100295163</v>
      </c>
      <c r="AB20" s="3">
        <f>SUM(AB15:AB19)</f>
        <v>19611678</v>
      </c>
      <c r="AC20" s="3">
        <f>SUM(AC15:AC19)</f>
        <v>8715165</v>
      </c>
      <c r="AD20" s="3">
        <f>SUM(AD15:AD19)</f>
        <v>210866938</v>
      </c>
    </row>
    <row r="21" spans="4:30" x14ac:dyDescent="0.25">
      <c r="D21" s="4"/>
    </row>
    <row r="29" spans="4:30" x14ac:dyDescent="0.25">
      <c r="Z29" s="73"/>
    </row>
  </sheetData>
  <mergeCells count="5">
    <mergeCell ref="X2:AD2"/>
    <mergeCell ref="I1:J1"/>
    <mergeCell ref="O1:R1"/>
    <mergeCell ref="S1:V1"/>
    <mergeCell ref="K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2017 plan 150</vt:lpstr>
      <vt:lpstr>2017 plan 160</vt:lpstr>
      <vt:lpstr>Surplus 2017</vt:lpstr>
      <vt:lpstr>Re-use 2017</vt:lpstr>
      <vt:lpstr>Investment recovery</vt:lpstr>
      <vt:lpstr>Space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Dunbar, Stewart W SIPC-PTC/LI</dc:creator>
  <cp:lastModifiedBy>Iloanusi, Nneka M SPDC-UPO/G/PMV</cp:lastModifiedBy>
  <cp:lastPrinted>2017-02-27T06:55:21Z</cp:lastPrinted>
  <dcterms:created xsi:type="dcterms:W3CDTF">2017-01-23T19:39:28Z</dcterms:created>
  <dcterms:modified xsi:type="dcterms:W3CDTF">2017-03-24T11:11:00Z</dcterms:modified>
</cp:coreProperties>
</file>