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8800" windowHeight="12210" activeTab="4"/>
  </bookViews>
  <sheets>
    <sheet name="2018" sheetId="1" r:id="rId1"/>
    <sheet name="2019" sheetId="4" r:id="rId2"/>
    <sheet name="2020" sheetId="5" r:id="rId3"/>
    <sheet name="CSD" sheetId="3" state="hidden" r:id="rId4"/>
    <sheet name="CSD SNEPCo" sheetId="6" r:id="rId5"/>
  </sheets>
  <definedNames>
    <definedName name="_xlnm.Print_Area" localSheetId="4">'CSD SNEPCo'!$B$2:$F$25</definedName>
  </definedNames>
  <calcPr calcId="171027"/>
</workbook>
</file>

<file path=xl/calcChain.xml><?xml version="1.0" encoding="utf-8"?>
<calcChain xmlns="http://schemas.openxmlformats.org/spreadsheetml/2006/main">
  <c r="F3" i="6" l="1"/>
  <c r="F17" i="6" s="1"/>
  <c r="F18" i="6" s="1"/>
  <c r="E3" i="6"/>
  <c r="E10" i="6" s="1"/>
  <c r="D3" i="6"/>
  <c r="D17" i="6" s="1"/>
  <c r="D18" i="6" s="1"/>
  <c r="E17" i="6"/>
  <c r="E18" i="6" s="1"/>
  <c r="F12" i="6"/>
  <c r="D12" i="6"/>
  <c r="F21" i="6"/>
  <c r="F22" i="6" s="1"/>
  <c r="E12" i="6"/>
  <c r="D21" i="6"/>
  <c r="D22" i="6" s="1"/>
  <c r="D10" i="6" l="1"/>
  <c r="F10" i="6"/>
  <c r="E11" i="6"/>
  <c r="E13" i="6" s="1"/>
  <c r="E14" i="6" s="1"/>
  <c r="E21" i="6"/>
  <c r="E22" i="6" s="1"/>
  <c r="D11" i="6"/>
  <c r="F11" i="6"/>
  <c r="E24" i="6" l="1"/>
  <c r="D13" i="6"/>
  <c r="D14" i="6" s="1"/>
  <c r="D24" i="6" s="1"/>
  <c r="F13" i="6"/>
  <c r="F14" i="6" s="1"/>
  <c r="F24" i="6" s="1"/>
  <c r="I18" i="1" l="1"/>
  <c r="I14" i="1"/>
  <c r="I20" i="1" l="1"/>
  <c r="I5" i="1"/>
  <c r="I10" i="3" l="1"/>
  <c r="K12" i="3"/>
  <c r="K7" i="3"/>
  <c r="K8" i="3" s="1"/>
  <c r="J12" i="3"/>
  <c r="J7" i="3"/>
  <c r="J8" i="3" s="1"/>
  <c r="I12" i="3"/>
  <c r="E8" i="3"/>
  <c r="E9" i="3" s="1"/>
  <c r="E13" i="3" s="1"/>
  <c r="D8" i="3"/>
  <c r="I7" i="3"/>
  <c r="I8" i="3" s="1"/>
  <c r="I9" i="3" s="1"/>
  <c r="H7" i="3"/>
  <c r="H8" i="3" s="1"/>
  <c r="G7" i="3"/>
  <c r="G8" i="3" s="1"/>
  <c r="F7" i="3"/>
  <c r="F8" i="3" s="1"/>
  <c r="E7" i="3"/>
  <c r="D7" i="3"/>
  <c r="C7" i="3"/>
  <c r="C8" i="3" s="1"/>
  <c r="B7" i="3"/>
  <c r="B8" i="3" s="1"/>
  <c r="I13" i="3" l="1"/>
  <c r="I14" i="3" s="1"/>
  <c r="I16" i="3" s="1"/>
  <c r="I18" i="3" s="1"/>
  <c r="I23" i="3" s="1"/>
  <c r="K13" i="3"/>
  <c r="K9" i="3"/>
  <c r="J13" i="3"/>
  <c r="J9" i="3"/>
  <c r="C9" i="3"/>
  <c r="C13" i="3" s="1"/>
  <c r="G9" i="3"/>
  <c r="G13" i="3"/>
  <c r="E14" i="3"/>
  <c r="E16" i="3" s="1"/>
  <c r="B9" i="3"/>
  <c r="B13" i="3" s="1"/>
  <c r="F9" i="3"/>
  <c r="F13" i="3" s="1"/>
  <c r="D9" i="3"/>
  <c r="D13" i="3" s="1"/>
  <c r="H9" i="3"/>
  <c r="H13" i="3" s="1"/>
  <c r="K14" i="3" l="1"/>
  <c r="K16" i="3" s="1"/>
  <c r="K18" i="3" s="1"/>
  <c r="K23" i="3" s="1"/>
  <c r="J14" i="3"/>
  <c r="J16" i="3" s="1"/>
  <c r="J18" i="3" s="1"/>
  <c r="J23" i="3" s="1"/>
  <c r="F14" i="3"/>
  <c r="F16" i="3" s="1"/>
  <c r="H14" i="3"/>
  <c r="H16" i="3" s="1"/>
  <c r="D14" i="3"/>
  <c r="D16" i="3" s="1"/>
  <c r="I20" i="3"/>
  <c r="B14" i="3"/>
  <c r="B16" i="3"/>
  <c r="C16" i="3"/>
  <c r="C14" i="3"/>
  <c r="G14" i="3"/>
  <c r="G16" i="3" s="1"/>
  <c r="K20" i="3" l="1"/>
  <c r="J20" i="3"/>
  <c r="C20" i="1" l="1"/>
  <c r="G12" i="4"/>
  <c r="H12" i="4" s="1"/>
  <c r="G11" i="4"/>
  <c r="G10" i="4"/>
  <c r="D12" i="4"/>
  <c r="E12" i="4" s="1"/>
  <c r="D11" i="4"/>
  <c r="E11" i="4" s="1"/>
  <c r="D10" i="4"/>
  <c r="E10" i="4" s="1"/>
  <c r="H6" i="4"/>
  <c r="H5" i="4"/>
  <c r="H4" i="4"/>
  <c r="D11" i="1"/>
  <c r="G11" i="1"/>
  <c r="G10" i="1"/>
  <c r="D10" i="1"/>
  <c r="D9" i="5"/>
  <c r="G9" i="5"/>
  <c r="H9" i="5" s="1"/>
  <c r="E9" i="5"/>
  <c r="H5" i="5"/>
  <c r="E5" i="5"/>
  <c r="H11" i="4"/>
  <c r="H10" i="4"/>
  <c r="I10" i="4" s="1"/>
  <c r="E6" i="4"/>
  <c r="E5" i="4"/>
  <c r="E4" i="4"/>
  <c r="I5" i="5" l="1"/>
  <c r="I6" i="5" s="1"/>
  <c r="I11" i="4"/>
  <c r="I5" i="4"/>
  <c r="I4" i="4"/>
  <c r="I12" i="4"/>
  <c r="I13" i="4" s="1"/>
  <c r="I9" i="5"/>
  <c r="I10" i="5" s="1"/>
  <c r="I6" i="4"/>
  <c r="I12" i="5" l="1"/>
  <c r="I7" i="4"/>
  <c r="I14" i="4" s="1"/>
  <c r="H6" i="1" l="1"/>
  <c r="I6" i="1" s="1"/>
  <c r="H5" i="1"/>
  <c r="E5" i="1"/>
  <c r="E6" i="1"/>
  <c r="I7" i="1" l="1"/>
  <c r="H10" i="1"/>
  <c r="H11" i="1"/>
  <c r="E10" i="1"/>
  <c r="E11" i="1"/>
  <c r="I11" i="1" l="1"/>
  <c r="I10" i="1"/>
  <c r="I12" i="1" l="1"/>
</calcChain>
</file>

<file path=xl/sharedStrings.xml><?xml version="1.0" encoding="utf-8"?>
<sst xmlns="http://schemas.openxmlformats.org/spreadsheetml/2006/main" count="101" uniqueCount="64">
  <si>
    <t xml:space="preserve">African Vision </t>
  </si>
  <si>
    <t xml:space="preserve">COST SAVING ACTIONS </t>
  </si>
  <si>
    <t>Fuel/water Consumption</t>
  </si>
  <si>
    <t>CURRENT RATE</t>
  </si>
  <si>
    <t>Current annual qty</t>
  </si>
  <si>
    <t>Current cost</t>
  </si>
  <si>
    <t>Expected RATE</t>
  </si>
  <si>
    <t>Expected Savings</t>
  </si>
  <si>
    <t>Expected Ann Qty</t>
  </si>
  <si>
    <t>Expected Annual cost</t>
  </si>
  <si>
    <t>COMMENTS</t>
  </si>
  <si>
    <t>DAYS PLANNED FOR USE.</t>
  </si>
  <si>
    <t>LARISSA</t>
  </si>
  <si>
    <t>AFRICAN VISION</t>
  </si>
  <si>
    <t>Included cost of ROV Class 2 ($10k)</t>
  </si>
  <si>
    <t>JASCON 55</t>
  </si>
  <si>
    <t>POSH</t>
  </si>
  <si>
    <t>TOTAL</t>
  </si>
  <si>
    <t>AV = 12,000p.d/ POSH = 8,500p.d</t>
  </si>
  <si>
    <t>SUB TOTAL</t>
  </si>
  <si>
    <t>FUEL</t>
  </si>
  <si>
    <t xml:space="preserve">SUB TOTAL </t>
  </si>
  <si>
    <t xml:space="preserve">TOTAL COST OF ENHANCING POSH </t>
  </si>
  <si>
    <t xml:space="preserve">Installation of HIPAP System </t>
  </si>
  <si>
    <t>Total cost of Installing ROV skid</t>
  </si>
  <si>
    <t>AV = 12,000ltrsp.d/ POSH = 8,500litrs p.d</t>
  </si>
  <si>
    <t>LARISSA = 10,000LTRS /day</t>
  </si>
  <si>
    <t xml:space="preserve">NOTES: </t>
  </si>
  <si>
    <t>VESSELS USED.</t>
  </si>
  <si>
    <t>African Vision utilization dropped signifficantly from previous years annual.</t>
  </si>
  <si>
    <t xml:space="preserve">African Vision rate for 2018/2019/2020 dropped to </t>
  </si>
  <si>
    <t xml:space="preserve">$56,000 not $76,000 </t>
  </si>
  <si>
    <t>OIL</t>
  </si>
  <si>
    <t>Oil Impact</t>
  </si>
  <si>
    <t>Oil price</t>
  </si>
  <si>
    <t>No of days</t>
  </si>
  <si>
    <t>Production in Kboe/d</t>
  </si>
  <si>
    <t>Total Oil production  (bbls)</t>
  </si>
  <si>
    <t>Impact on revenue ($)</t>
  </si>
  <si>
    <t xml:space="preserve">Royalties on Oil </t>
  </si>
  <si>
    <t>Cost</t>
  </si>
  <si>
    <t>Ullage revenue</t>
  </si>
  <si>
    <t>Depreciation</t>
  </si>
  <si>
    <t xml:space="preserve">Pre-Tax impact </t>
  </si>
  <si>
    <t>Tax impact on Oil production</t>
  </si>
  <si>
    <t>NIBIAT Impact  (After Tax) in $</t>
  </si>
  <si>
    <t>CSD Impact( Nibiat + depreciation)</t>
  </si>
  <si>
    <t>Excluding tax expense (CSD impact)</t>
  </si>
  <si>
    <t>Opex</t>
  </si>
  <si>
    <t>Capex</t>
  </si>
  <si>
    <t>CSD Impact</t>
  </si>
  <si>
    <t>Tax effect</t>
  </si>
  <si>
    <t xml:space="preserve">    Lost Opex Tax Shield</t>
  </si>
  <si>
    <t xml:space="preserve">    Lost Capital Alwce Tax Shield</t>
  </si>
  <si>
    <t xml:space="preserve">    Lost ITC</t>
  </si>
  <si>
    <t xml:space="preserve">    100%</t>
  </si>
  <si>
    <t xml:space="preserve">    Shell Share (55% of Contractor which is 55%of Total)</t>
  </si>
  <si>
    <t>Opex effect(Assuming PSC is in profit position)</t>
  </si>
  <si>
    <t xml:space="preserve">    100% Opex</t>
  </si>
  <si>
    <t xml:space="preserve">Capex effect </t>
  </si>
  <si>
    <t xml:space="preserve">   Capex spend net 20% same year recovery</t>
  </si>
  <si>
    <t xml:space="preserve">    Shell Share (55%)</t>
  </si>
  <si>
    <t>CSD Shell Share</t>
  </si>
  <si>
    <t>Projected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</si>
</sst>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3" fontId="0" fillId="0" borderId="0" xfId="1" applyFont="1"/>
    <xf numFmtId="43" fontId="0" fillId="0" borderId="3" xfId="1" applyFont="1" applyBorder="1"/>
    <xf numFmtId="43" fontId="0" fillId="0" borderId="10" xfId="1" applyFont="1" applyBorder="1"/>
    <xf numFmtId="43" fontId="0" fillId="0" borderId="12" xfId="1" applyFont="1" applyBorder="1"/>
    <xf numFmtId="43" fontId="0" fillId="0" borderId="15" xfId="1" applyFont="1" applyBorder="1"/>
    <xf numFmtId="43" fontId="0" fillId="0" borderId="11" xfId="1" applyFont="1" applyBorder="1"/>
    <xf numFmtId="43" fontId="0" fillId="0" borderId="7" xfId="1" applyFont="1" applyBorder="1"/>
    <xf numFmtId="43" fontId="0" fillId="0" borderId="16" xfId="1" applyFont="1" applyBorder="1"/>
    <xf numFmtId="43" fontId="0" fillId="0" borderId="1" xfId="1" applyFont="1" applyBorder="1"/>
    <xf numFmtId="43" fontId="0" fillId="0" borderId="2" xfId="1" applyFont="1" applyBorder="1"/>
    <xf numFmtId="43" fontId="0" fillId="0" borderId="4" xfId="1" applyFont="1" applyBorder="1"/>
    <xf numFmtId="43" fontId="1" fillId="0" borderId="1" xfId="1" applyFont="1" applyBorder="1"/>
    <xf numFmtId="43" fontId="0" fillId="0" borderId="1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27" xfId="1" applyFont="1" applyBorder="1"/>
    <xf numFmtId="43" fontId="0" fillId="0" borderId="18" xfId="1" applyFont="1" applyBorder="1"/>
    <xf numFmtId="43" fontId="0" fillId="0" borderId="25" xfId="1" applyFont="1" applyBorder="1"/>
    <xf numFmtId="43" fontId="0" fillId="0" borderId="17" xfId="1" applyFont="1" applyBorder="1"/>
    <xf numFmtId="43" fontId="0" fillId="0" borderId="20" xfId="1" applyFont="1" applyBorder="1"/>
    <xf numFmtId="43" fontId="0" fillId="0" borderId="23" xfId="1" applyFont="1" applyBorder="1"/>
    <xf numFmtId="43" fontId="0" fillId="0" borderId="26" xfId="1" applyFont="1" applyBorder="1"/>
    <xf numFmtId="43" fontId="0" fillId="0" borderId="22" xfId="1" applyFont="1" applyBorder="1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3" fillId="3" borderId="0" xfId="0" applyFont="1" applyFill="1"/>
    <xf numFmtId="0" fontId="1" fillId="0" borderId="0" xfId="0" applyFont="1"/>
    <xf numFmtId="0" fontId="0" fillId="0" borderId="28" xfId="0" applyBorder="1"/>
    <xf numFmtId="164" fontId="0" fillId="4" borderId="29" xfId="0" applyNumberFormat="1" applyFill="1" applyBorder="1"/>
    <xf numFmtId="0" fontId="0" fillId="4" borderId="28" xfId="0" applyFill="1" applyBorder="1"/>
    <xf numFmtId="164" fontId="0" fillId="4" borderId="28" xfId="2" applyNumberFormat="1" applyFont="1" applyFill="1" applyBorder="1"/>
    <xf numFmtId="164" fontId="2" fillId="5" borderId="28" xfId="2" applyNumberFormat="1" applyFont="1" applyFill="1" applyBorder="1"/>
    <xf numFmtId="164" fontId="1" fillId="5" borderId="30" xfId="0" applyNumberFormat="1" applyFont="1" applyFill="1" applyBorder="1"/>
    <xf numFmtId="164" fontId="1" fillId="5" borderId="29" xfId="0" applyNumberFormat="1" applyFont="1" applyFill="1" applyBorder="1"/>
    <xf numFmtId="165" fontId="0" fillId="5" borderId="28" xfId="0" applyNumberFormat="1" applyFill="1" applyBorder="1"/>
    <xf numFmtId="165" fontId="0" fillId="5" borderId="5" xfId="0" applyNumberFormat="1" applyFill="1" applyBorder="1"/>
    <xf numFmtId="165" fontId="0" fillId="5" borderId="29" xfId="0" applyNumberFormat="1" applyFill="1" applyBorder="1"/>
    <xf numFmtId="164" fontId="1" fillId="5" borderId="28" xfId="0" applyNumberFormat="1" applyFont="1" applyFill="1" applyBorder="1"/>
    <xf numFmtId="164" fontId="1" fillId="5" borderId="5" xfId="0" applyNumberFormat="1" applyFont="1" applyFill="1" applyBorder="1"/>
    <xf numFmtId="165" fontId="0" fillId="5" borderId="0" xfId="0" applyNumberFormat="1" applyFill="1" applyBorder="1"/>
    <xf numFmtId="165" fontId="0" fillId="5" borderId="11" xfId="0" applyNumberFormat="1" applyFill="1" applyBorder="1"/>
    <xf numFmtId="0" fontId="1" fillId="0" borderId="31" xfId="0" applyFont="1" applyBorder="1"/>
    <xf numFmtId="164" fontId="1" fillId="5" borderId="31" xfId="0" applyNumberFormat="1" applyFont="1" applyFill="1" applyBorder="1"/>
    <xf numFmtId="164" fontId="1" fillId="0" borderId="32" xfId="0" applyNumberFormat="1" applyFont="1" applyBorder="1"/>
    <xf numFmtId="164" fontId="0" fillId="0" borderId="32" xfId="0" applyNumberFormat="1" applyBorder="1"/>
    <xf numFmtId="43" fontId="1" fillId="6" borderId="0" xfId="0" applyNumberFormat="1" applyFont="1" applyFill="1"/>
    <xf numFmtId="43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0" fontId="5" fillId="0" borderId="0" xfId="0" applyFont="1"/>
    <xf numFmtId="49" fontId="0" fillId="0" borderId="0" xfId="0" applyNumberFormat="1" applyAlignment="1">
      <alignment horizontal="left"/>
    </xf>
    <xf numFmtId="4" fontId="0" fillId="0" borderId="33" xfId="0" applyNumberFormat="1" applyBorder="1"/>
    <xf numFmtId="4" fontId="0" fillId="0" borderId="8" xfId="0" applyNumberFormat="1" applyBorder="1"/>
    <xf numFmtId="4" fontId="1" fillId="0" borderId="34" xfId="0" applyNumberFormat="1" applyFont="1" applyBorder="1"/>
  </cellXfs>
  <cellStyles count="3">
    <cellStyle name="Comma" xfId="1" builtinId="3"/>
    <cellStyle name="Comma 10 6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6" sqref="H6"/>
    </sheetView>
  </sheetViews>
  <sheetFormatPr defaultRowHeight="15" x14ac:dyDescent="0.25"/>
  <cols>
    <col min="2" max="2" width="28.42578125" customWidth="1"/>
    <col min="3" max="3" width="17" style="23" customWidth="1"/>
    <col min="4" max="4" width="20.5703125" style="23" customWidth="1"/>
    <col min="5" max="5" width="17" style="23" customWidth="1"/>
    <col min="6" max="6" width="15.85546875" style="23" customWidth="1"/>
    <col min="7" max="7" width="18.85546875" style="23" customWidth="1"/>
    <col min="8" max="8" width="13.85546875" style="23" customWidth="1"/>
    <col min="9" max="9" width="16.42578125" style="23" customWidth="1"/>
    <col min="10" max="10" width="13.42578125" customWidth="1"/>
  </cols>
  <sheetData>
    <row r="1" spans="2:12" ht="15.75" thickBot="1" x14ac:dyDescent="0.3">
      <c r="E1" s="23">
        <v>2018</v>
      </c>
      <c r="F1" s="24"/>
    </row>
    <row r="2" spans="2:12" ht="15.75" thickBot="1" x14ac:dyDescent="0.3">
      <c r="B2" s="10" t="s">
        <v>28</v>
      </c>
      <c r="C2" s="25" t="s">
        <v>3</v>
      </c>
      <c r="D2" s="25" t="s">
        <v>4</v>
      </c>
      <c r="E2" s="26" t="s">
        <v>5</v>
      </c>
      <c r="F2" s="27" t="s">
        <v>6</v>
      </c>
      <c r="G2" s="25" t="s">
        <v>8</v>
      </c>
      <c r="H2" s="25" t="s">
        <v>9</v>
      </c>
      <c r="I2" s="25" t="s">
        <v>7</v>
      </c>
      <c r="J2" s="11" t="s">
        <v>10</v>
      </c>
      <c r="K2" s="12"/>
      <c r="L2" s="13"/>
    </row>
    <row r="3" spans="2:12" x14ac:dyDescent="0.25">
      <c r="B3" s="9"/>
      <c r="C3" s="28"/>
      <c r="D3" s="28"/>
      <c r="E3" s="29"/>
      <c r="F3" s="30"/>
      <c r="G3" s="28"/>
      <c r="H3" s="28"/>
      <c r="I3" s="28"/>
      <c r="J3" s="3"/>
      <c r="K3" s="4"/>
      <c r="L3" s="5"/>
    </row>
    <row r="4" spans="2:12" x14ac:dyDescent="0.25">
      <c r="B4" s="1"/>
      <c r="C4" s="31"/>
      <c r="D4" s="31"/>
      <c r="E4" s="32"/>
      <c r="F4" s="33"/>
      <c r="G4" s="31"/>
      <c r="H4" s="31"/>
      <c r="I4" s="31"/>
      <c r="J4" s="3"/>
      <c r="K4" s="4"/>
      <c r="L4" s="5"/>
    </row>
    <row r="5" spans="2:12" x14ac:dyDescent="0.25">
      <c r="B5" s="1" t="s">
        <v>0</v>
      </c>
      <c r="C5" s="31">
        <v>56000</v>
      </c>
      <c r="D5" s="31">
        <v>62</v>
      </c>
      <c r="E5" s="32">
        <f t="shared" ref="E5:E11" si="0">C5*D5</f>
        <v>3472000</v>
      </c>
      <c r="F5" s="33">
        <v>36500</v>
      </c>
      <c r="G5" s="31">
        <v>62</v>
      </c>
      <c r="H5" s="31">
        <f t="shared" ref="H5:H11" si="1">F5*G5</f>
        <v>2263000</v>
      </c>
      <c r="I5" s="31">
        <f>H5-E5</f>
        <v>-1209000</v>
      </c>
      <c r="J5" s="3" t="s">
        <v>14</v>
      </c>
      <c r="K5" s="4"/>
      <c r="L5" s="5"/>
    </row>
    <row r="6" spans="2:12" x14ac:dyDescent="0.25">
      <c r="B6" s="1" t="s">
        <v>12</v>
      </c>
      <c r="C6" s="31">
        <v>47000</v>
      </c>
      <c r="D6" s="31">
        <v>60</v>
      </c>
      <c r="E6" s="32">
        <f t="shared" si="0"/>
        <v>2820000</v>
      </c>
      <c r="F6" s="33">
        <v>36500</v>
      </c>
      <c r="G6" s="31">
        <v>60</v>
      </c>
      <c r="H6" s="31">
        <f t="shared" si="1"/>
        <v>2190000</v>
      </c>
      <c r="I6" s="31">
        <f>H6-E6</f>
        <v>-630000</v>
      </c>
      <c r="J6" s="3"/>
      <c r="K6" s="4"/>
      <c r="L6" s="5"/>
    </row>
    <row r="7" spans="2:12" x14ac:dyDescent="0.25">
      <c r="B7" s="1" t="s">
        <v>19</v>
      </c>
      <c r="C7" s="31"/>
      <c r="D7" s="31"/>
      <c r="E7" s="32"/>
      <c r="F7" s="33"/>
      <c r="G7" s="31"/>
      <c r="H7" s="31"/>
      <c r="I7" s="34">
        <f>SUM(I5:I6)</f>
        <v>-1839000</v>
      </c>
      <c r="J7" s="3"/>
      <c r="K7" s="4"/>
      <c r="L7" s="5"/>
    </row>
    <row r="8" spans="2:12" x14ac:dyDescent="0.25">
      <c r="B8" s="1"/>
      <c r="C8" s="31"/>
      <c r="D8" s="31"/>
      <c r="E8" s="32"/>
      <c r="F8" s="33"/>
      <c r="G8" s="31"/>
      <c r="H8" s="31"/>
      <c r="I8" s="31"/>
      <c r="J8" s="3"/>
      <c r="K8" s="4"/>
      <c r="L8" s="5"/>
    </row>
    <row r="9" spans="2:12" x14ac:dyDescent="0.25">
      <c r="B9" s="2" t="s">
        <v>20</v>
      </c>
      <c r="C9" s="31"/>
      <c r="D9" s="31"/>
      <c r="E9" s="32"/>
      <c r="F9" s="33"/>
      <c r="G9" s="31"/>
      <c r="H9" s="31"/>
      <c r="I9" s="31"/>
      <c r="J9" s="3"/>
      <c r="K9" s="4"/>
      <c r="L9" s="5"/>
    </row>
    <row r="10" spans="2:12" x14ac:dyDescent="0.25">
      <c r="B10" s="1" t="s">
        <v>13</v>
      </c>
      <c r="C10" s="31">
        <v>0.56999999999999995</v>
      </c>
      <c r="D10" s="31">
        <f>12000*D5</f>
        <v>744000</v>
      </c>
      <c r="E10" s="32">
        <f t="shared" si="0"/>
        <v>424079.99999999994</v>
      </c>
      <c r="F10" s="33">
        <v>0.56999999999999995</v>
      </c>
      <c r="G10" s="31">
        <f>G5*8500</f>
        <v>527000</v>
      </c>
      <c r="H10" s="31">
        <f t="shared" si="1"/>
        <v>300390</v>
      </c>
      <c r="I10" s="31">
        <f t="shared" ref="I10:I11" si="2">H10-E10</f>
        <v>-123689.99999999994</v>
      </c>
      <c r="J10" s="3" t="s">
        <v>25</v>
      </c>
      <c r="K10" s="4"/>
      <c r="L10" s="5"/>
    </row>
    <row r="11" spans="2:12" x14ac:dyDescent="0.25">
      <c r="B11" s="1" t="s">
        <v>12</v>
      </c>
      <c r="C11" s="31">
        <v>0.56999999999999995</v>
      </c>
      <c r="D11" s="31">
        <f>10000*D6</f>
        <v>600000</v>
      </c>
      <c r="E11" s="32">
        <f t="shared" si="0"/>
        <v>341999.99999999994</v>
      </c>
      <c r="F11" s="33">
        <v>0.56999999999999995</v>
      </c>
      <c r="G11" s="31">
        <f>G6*8500</f>
        <v>510000</v>
      </c>
      <c r="H11" s="31">
        <f t="shared" si="1"/>
        <v>290700</v>
      </c>
      <c r="I11" s="31">
        <f t="shared" si="2"/>
        <v>-51299.999999999942</v>
      </c>
      <c r="J11" s="3" t="s">
        <v>26</v>
      </c>
      <c r="K11" s="4"/>
      <c r="L11" s="5"/>
    </row>
    <row r="12" spans="2:12" x14ac:dyDescent="0.25">
      <c r="B12" s="1" t="s">
        <v>19</v>
      </c>
      <c r="C12" s="31"/>
      <c r="D12" s="31"/>
      <c r="E12" s="32"/>
      <c r="F12" s="33"/>
      <c r="G12" s="31"/>
      <c r="H12" s="31"/>
      <c r="I12" s="31">
        <f>SUM(I10:I11)</f>
        <v>-174989.99999999988</v>
      </c>
      <c r="J12" s="3"/>
      <c r="K12" s="4"/>
      <c r="L12" s="5"/>
    </row>
    <row r="13" spans="2:12" x14ac:dyDescent="0.25">
      <c r="B13" s="1"/>
      <c r="C13" s="31"/>
      <c r="D13" s="31"/>
      <c r="E13" s="32"/>
      <c r="F13" s="33"/>
      <c r="G13" s="31"/>
      <c r="H13" s="31"/>
      <c r="I13" s="31"/>
      <c r="J13" s="3"/>
      <c r="K13" s="4"/>
      <c r="L13" s="5"/>
    </row>
    <row r="14" spans="2:12" x14ac:dyDescent="0.25">
      <c r="B14" s="2" t="s">
        <v>17</v>
      </c>
      <c r="C14" s="31"/>
      <c r="D14" s="31"/>
      <c r="E14" s="32"/>
      <c r="F14" s="33"/>
      <c r="G14" s="31"/>
      <c r="H14" s="31"/>
      <c r="I14" s="34">
        <f>I7+I12</f>
        <v>-2013990</v>
      </c>
      <c r="J14" s="6"/>
      <c r="K14" s="7"/>
      <c r="L14" s="8"/>
    </row>
    <row r="17" spans="1:9" x14ac:dyDescent="0.25">
      <c r="B17" t="s">
        <v>22</v>
      </c>
    </row>
    <row r="18" spans="1:9" x14ac:dyDescent="0.25">
      <c r="B18" t="s">
        <v>23</v>
      </c>
      <c r="C18" s="23">
        <v>500000</v>
      </c>
      <c r="I18" s="23">
        <f>I14</f>
        <v>-2013990</v>
      </c>
    </row>
    <row r="19" spans="1:9" x14ac:dyDescent="0.25">
      <c r="B19" t="s">
        <v>24</v>
      </c>
      <c r="C19" s="23">
        <v>28000</v>
      </c>
    </row>
    <row r="20" spans="1:9" x14ac:dyDescent="0.25">
      <c r="C20" s="23">
        <f>SUM(C18:C19)</f>
        <v>528000</v>
      </c>
      <c r="I20" s="23">
        <f>I18+C20</f>
        <v>-1485990</v>
      </c>
    </row>
    <row r="24" spans="1:9" x14ac:dyDescent="0.25">
      <c r="B24" t="s">
        <v>27</v>
      </c>
    </row>
    <row r="25" spans="1:9" x14ac:dyDescent="0.25">
      <c r="A25">
        <v>1</v>
      </c>
      <c r="B25" t="s">
        <v>29</v>
      </c>
    </row>
    <row r="26" spans="1:9" x14ac:dyDescent="0.25">
      <c r="B26">
        <v>2015</v>
      </c>
      <c r="C26" s="35">
        <v>326.25</v>
      </c>
      <c r="D26" s="36"/>
      <c r="E26" s="36"/>
    </row>
    <row r="27" spans="1:9" x14ac:dyDescent="0.25">
      <c r="B27">
        <v>2016</v>
      </c>
      <c r="C27" s="35">
        <v>282.56</v>
      </c>
    </row>
    <row r="28" spans="1:9" x14ac:dyDescent="0.25">
      <c r="B28">
        <v>2017</v>
      </c>
      <c r="C28" s="35">
        <v>213.3</v>
      </c>
    </row>
    <row r="30" spans="1:9" x14ac:dyDescent="0.25">
      <c r="A30">
        <v>2</v>
      </c>
      <c r="B30" t="s">
        <v>30</v>
      </c>
      <c r="D30" s="2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E20" sqref="E20"/>
    </sheetView>
  </sheetViews>
  <sheetFormatPr defaultRowHeight="15" x14ac:dyDescent="0.25"/>
  <cols>
    <col min="2" max="2" width="28.42578125" customWidth="1"/>
    <col min="3" max="3" width="17" style="23" customWidth="1"/>
    <col min="4" max="4" width="20.5703125" style="23" customWidth="1"/>
    <col min="5" max="5" width="17" style="23" customWidth="1"/>
    <col min="6" max="6" width="15.85546875" style="23" customWidth="1"/>
    <col min="7" max="7" width="18.85546875" style="23" customWidth="1"/>
    <col min="8" max="8" width="22.42578125" style="23" customWidth="1"/>
    <col min="9" max="9" width="16.42578125" style="23" customWidth="1"/>
    <col min="10" max="10" width="13.42578125" customWidth="1"/>
  </cols>
  <sheetData>
    <row r="1" spans="2:12" ht="15.75" thickBot="1" x14ac:dyDescent="0.3">
      <c r="E1" s="23">
        <v>2019</v>
      </c>
      <c r="F1" s="37"/>
    </row>
    <row r="2" spans="2:12" x14ac:dyDescent="0.25">
      <c r="B2" s="14" t="s">
        <v>1</v>
      </c>
      <c r="C2" s="38" t="s">
        <v>3</v>
      </c>
      <c r="D2" s="38" t="s">
        <v>4</v>
      </c>
      <c r="E2" s="39" t="s">
        <v>5</v>
      </c>
      <c r="F2" s="40" t="s">
        <v>6</v>
      </c>
      <c r="G2" s="38" t="s">
        <v>8</v>
      </c>
      <c r="H2" s="38" t="s">
        <v>9</v>
      </c>
      <c r="I2" s="38" t="s">
        <v>7</v>
      </c>
      <c r="J2" s="15" t="s">
        <v>10</v>
      </c>
      <c r="K2" s="15"/>
      <c r="L2" s="16"/>
    </row>
    <row r="3" spans="2:12" x14ac:dyDescent="0.25">
      <c r="B3" s="17" t="s">
        <v>11</v>
      </c>
      <c r="C3" s="31"/>
      <c r="D3" s="31"/>
      <c r="E3" s="32"/>
      <c r="F3" s="41"/>
      <c r="G3" s="31"/>
      <c r="H3" s="31"/>
      <c r="I3" s="31"/>
      <c r="J3" s="1"/>
      <c r="K3" s="1"/>
      <c r="L3" s="18"/>
    </row>
    <row r="4" spans="2:12" x14ac:dyDescent="0.25">
      <c r="B4" s="19" t="s">
        <v>0</v>
      </c>
      <c r="C4" s="31">
        <v>56000</v>
      </c>
      <c r="D4" s="31">
        <v>67</v>
      </c>
      <c r="E4" s="32">
        <f t="shared" ref="E4:E12" si="0">C4*D4</f>
        <v>3752000</v>
      </c>
      <c r="F4" s="41">
        <v>36500</v>
      </c>
      <c r="G4" s="31">
        <v>67</v>
      </c>
      <c r="H4" s="31">
        <f t="shared" ref="H4:H12" si="1">F4*G4</f>
        <v>2445500</v>
      </c>
      <c r="I4" s="31">
        <f t="shared" ref="I4:I12" si="2">H4-E4</f>
        <v>-1306500</v>
      </c>
      <c r="J4" s="1" t="s">
        <v>14</v>
      </c>
      <c r="K4" s="1"/>
      <c r="L4" s="18"/>
    </row>
    <row r="5" spans="2:12" x14ac:dyDescent="0.25">
      <c r="B5" s="19" t="s">
        <v>12</v>
      </c>
      <c r="C5" s="31">
        <v>47000</v>
      </c>
      <c r="D5" s="31">
        <v>115</v>
      </c>
      <c r="E5" s="32">
        <f t="shared" si="0"/>
        <v>5405000</v>
      </c>
      <c r="F5" s="41">
        <v>36500</v>
      </c>
      <c r="G5" s="31">
        <v>115</v>
      </c>
      <c r="H5" s="31">
        <f t="shared" si="1"/>
        <v>4197500</v>
      </c>
      <c r="I5" s="31">
        <f t="shared" si="2"/>
        <v>-1207500</v>
      </c>
      <c r="J5" s="1" t="s">
        <v>14</v>
      </c>
      <c r="K5" s="1"/>
      <c r="L5" s="18"/>
    </row>
    <row r="6" spans="2:12" x14ac:dyDescent="0.25">
      <c r="B6" s="19" t="s">
        <v>15</v>
      </c>
      <c r="C6" s="31">
        <v>40000</v>
      </c>
      <c r="D6" s="31">
        <v>55</v>
      </c>
      <c r="E6" s="32">
        <f t="shared" si="0"/>
        <v>2200000</v>
      </c>
      <c r="F6" s="41">
        <v>26500</v>
      </c>
      <c r="G6" s="31">
        <v>55</v>
      </c>
      <c r="H6" s="31">
        <f t="shared" si="1"/>
        <v>1457500</v>
      </c>
      <c r="I6" s="31">
        <f t="shared" si="2"/>
        <v>-742500</v>
      </c>
      <c r="J6" s="1"/>
      <c r="K6" s="1"/>
      <c r="L6" s="18"/>
    </row>
    <row r="7" spans="2:12" x14ac:dyDescent="0.25">
      <c r="B7" s="17" t="s">
        <v>19</v>
      </c>
      <c r="C7" s="31"/>
      <c r="D7" s="31"/>
      <c r="E7" s="32"/>
      <c r="F7" s="41"/>
      <c r="G7" s="31"/>
      <c r="H7" s="31"/>
      <c r="I7" s="34">
        <f>SUM(I4:I6)</f>
        <v>-3256500</v>
      </c>
      <c r="J7" s="1"/>
      <c r="K7" s="1"/>
      <c r="L7" s="18"/>
    </row>
    <row r="8" spans="2:12" x14ac:dyDescent="0.25">
      <c r="B8" s="19"/>
      <c r="C8" s="31"/>
      <c r="D8" s="31"/>
      <c r="E8" s="32"/>
      <c r="F8" s="41"/>
      <c r="G8" s="31"/>
      <c r="H8" s="31"/>
      <c r="I8" s="31"/>
      <c r="J8" s="1"/>
      <c r="K8" s="1"/>
      <c r="L8" s="18"/>
    </row>
    <row r="9" spans="2:12" x14ac:dyDescent="0.25">
      <c r="B9" s="17" t="s">
        <v>20</v>
      </c>
      <c r="C9" s="31"/>
      <c r="D9" s="31"/>
      <c r="E9" s="32"/>
      <c r="F9" s="41"/>
      <c r="G9" s="31"/>
      <c r="H9" s="31"/>
      <c r="I9" s="31"/>
      <c r="J9" s="1"/>
      <c r="K9" s="1"/>
      <c r="L9" s="18"/>
    </row>
    <row r="10" spans="2:12" x14ac:dyDescent="0.25">
      <c r="B10" s="19" t="s">
        <v>13</v>
      </c>
      <c r="C10" s="31">
        <v>0.56999999999999995</v>
      </c>
      <c r="D10" s="31">
        <f>12000*D4</f>
        <v>804000</v>
      </c>
      <c r="E10" s="32">
        <f t="shared" si="0"/>
        <v>458279.99999999994</v>
      </c>
      <c r="F10" s="41">
        <v>0.56999999999999995</v>
      </c>
      <c r="G10" s="31">
        <f>G4*8500</f>
        <v>569500</v>
      </c>
      <c r="H10" s="31">
        <f t="shared" si="1"/>
        <v>324615</v>
      </c>
      <c r="I10" s="31">
        <f>H10-E10</f>
        <v>-133664.99999999994</v>
      </c>
      <c r="J10" s="1" t="s">
        <v>18</v>
      </c>
      <c r="K10" s="1"/>
      <c r="L10" s="18"/>
    </row>
    <row r="11" spans="2:12" x14ac:dyDescent="0.25">
      <c r="B11" s="19" t="s">
        <v>12</v>
      </c>
      <c r="C11" s="31">
        <v>0.56999999999999995</v>
      </c>
      <c r="D11" s="31">
        <f>10000*D5</f>
        <v>1150000</v>
      </c>
      <c r="E11" s="32">
        <f t="shared" si="0"/>
        <v>655500</v>
      </c>
      <c r="F11" s="41">
        <v>0.56999999999999995</v>
      </c>
      <c r="G11" s="31">
        <f>G5*8500</f>
        <v>977500</v>
      </c>
      <c r="H11" s="31">
        <f t="shared" si="1"/>
        <v>557175</v>
      </c>
      <c r="I11" s="31">
        <f t="shared" si="2"/>
        <v>-98325</v>
      </c>
      <c r="J11" s="1"/>
      <c r="K11" s="1"/>
      <c r="L11" s="18"/>
    </row>
    <row r="12" spans="2:12" x14ac:dyDescent="0.25">
      <c r="B12" s="19" t="s">
        <v>15</v>
      </c>
      <c r="C12" s="31">
        <v>0.56999999999999995</v>
      </c>
      <c r="D12" s="31">
        <f>10000*D6</f>
        <v>550000</v>
      </c>
      <c r="E12" s="32">
        <f t="shared" si="0"/>
        <v>313500</v>
      </c>
      <c r="F12" s="41">
        <v>0.56999999999999995</v>
      </c>
      <c r="G12" s="31">
        <f>G6*8500</f>
        <v>467500</v>
      </c>
      <c r="H12" s="31">
        <f t="shared" si="1"/>
        <v>266475</v>
      </c>
      <c r="I12" s="31">
        <f t="shared" si="2"/>
        <v>-47025</v>
      </c>
      <c r="J12" s="1"/>
      <c r="K12" s="1"/>
      <c r="L12" s="18"/>
    </row>
    <row r="13" spans="2:12" x14ac:dyDescent="0.25">
      <c r="B13" s="19" t="s">
        <v>21</v>
      </c>
      <c r="C13" s="31"/>
      <c r="D13" s="31"/>
      <c r="E13" s="32"/>
      <c r="F13" s="41"/>
      <c r="G13" s="31"/>
      <c r="H13" s="31"/>
      <c r="I13" s="34">
        <f>SUM(I10:I12)</f>
        <v>-279014.99999999994</v>
      </c>
      <c r="J13" s="1"/>
      <c r="K13" s="1"/>
      <c r="L13" s="18"/>
    </row>
    <row r="14" spans="2:12" x14ac:dyDescent="0.25">
      <c r="B14" s="17" t="s">
        <v>17</v>
      </c>
      <c r="C14" s="31"/>
      <c r="D14" s="31"/>
      <c r="E14" s="32"/>
      <c r="F14" s="41"/>
      <c r="G14" s="31"/>
      <c r="H14" s="31"/>
      <c r="I14" s="34">
        <f>I7+I13</f>
        <v>-3535515</v>
      </c>
      <c r="J14" s="1"/>
      <c r="K14" s="1"/>
      <c r="L14" s="18"/>
    </row>
    <row r="15" spans="2:12" ht="15.75" thickBot="1" x14ac:dyDescent="0.3">
      <c r="B15" s="20"/>
      <c r="C15" s="42"/>
      <c r="D15" s="42"/>
      <c r="E15" s="43"/>
      <c r="F15" s="44"/>
      <c r="G15" s="42"/>
      <c r="H15" s="42"/>
      <c r="I15" s="42"/>
      <c r="J15" s="21"/>
      <c r="K15" s="21"/>
      <c r="L1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I12" sqref="I12"/>
    </sheetView>
  </sheetViews>
  <sheetFormatPr defaultRowHeight="15" x14ac:dyDescent="0.25"/>
  <cols>
    <col min="2" max="2" width="28.42578125" customWidth="1"/>
    <col min="3" max="3" width="17" style="23" customWidth="1"/>
    <col min="4" max="4" width="20.5703125" style="23" customWidth="1"/>
    <col min="5" max="5" width="17" style="23" customWidth="1"/>
    <col min="6" max="6" width="15.85546875" style="23" customWidth="1"/>
    <col min="7" max="7" width="18.85546875" style="23" customWidth="1"/>
    <col min="8" max="8" width="22.140625" style="23" customWidth="1"/>
    <col min="9" max="9" width="16.42578125" style="23" customWidth="1"/>
    <col min="10" max="10" width="32.140625" bestFit="1" customWidth="1"/>
  </cols>
  <sheetData>
    <row r="1" spans="2:10" x14ac:dyDescent="0.25">
      <c r="E1" s="23">
        <v>2020</v>
      </c>
      <c r="F1" s="24"/>
      <c r="G1" s="23" t="s">
        <v>16</v>
      </c>
    </row>
    <row r="2" spans="2:10" x14ac:dyDescent="0.25">
      <c r="B2" s="1" t="s">
        <v>1</v>
      </c>
      <c r="C2" s="31" t="s">
        <v>3</v>
      </c>
      <c r="D2" s="31" t="s">
        <v>4</v>
      </c>
      <c r="E2" s="32" t="s">
        <v>5</v>
      </c>
      <c r="F2" s="33" t="s">
        <v>6</v>
      </c>
      <c r="G2" s="31" t="s">
        <v>8</v>
      </c>
      <c r="H2" s="31" t="s">
        <v>9</v>
      </c>
      <c r="I2" s="31" t="s">
        <v>7</v>
      </c>
      <c r="J2" s="1" t="s">
        <v>10</v>
      </c>
    </row>
    <row r="3" spans="2:10" x14ac:dyDescent="0.25">
      <c r="B3" s="2" t="s">
        <v>11</v>
      </c>
      <c r="C3" s="31"/>
      <c r="D3" s="31"/>
      <c r="E3" s="32"/>
      <c r="F3" s="33"/>
      <c r="G3" s="31"/>
      <c r="H3" s="31"/>
      <c r="I3" s="31"/>
      <c r="J3" s="1"/>
    </row>
    <row r="4" spans="2:10" x14ac:dyDescent="0.25">
      <c r="B4" s="1"/>
      <c r="C4" s="31"/>
      <c r="D4" s="31"/>
      <c r="E4" s="32"/>
      <c r="F4" s="33"/>
      <c r="G4" s="31"/>
      <c r="H4" s="31"/>
      <c r="I4" s="31"/>
      <c r="J4" s="1"/>
    </row>
    <row r="5" spans="2:10" x14ac:dyDescent="0.25">
      <c r="B5" s="1" t="s">
        <v>0</v>
      </c>
      <c r="C5" s="31">
        <v>56000</v>
      </c>
      <c r="D5" s="31">
        <v>57</v>
      </c>
      <c r="E5" s="32">
        <f t="shared" ref="E5:E9" si="0">C5*D5</f>
        <v>3192000</v>
      </c>
      <c r="F5" s="33">
        <v>36500</v>
      </c>
      <c r="G5" s="31">
        <v>57</v>
      </c>
      <c r="H5" s="31">
        <f t="shared" ref="H5:H9" si="1">F5*G5</f>
        <v>2080500</v>
      </c>
      <c r="I5" s="31">
        <f t="shared" ref="I5:I9" si="2">H5-E5</f>
        <v>-1111500</v>
      </c>
      <c r="J5" s="1" t="s">
        <v>14</v>
      </c>
    </row>
    <row r="6" spans="2:10" x14ac:dyDescent="0.25">
      <c r="B6" s="1" t="s">
        <v>19</v>
      </c>
      <c r="C6" s="31"/>
      <c r="D6" s="31"/>
      <c r="E6" s="32"/>
      <c r="F6" s="33"/>
      <c r="G6" s="31"/>
      <c r="H6" s="31"/>
      <c r="I6" s="34">
        <f>SUM(I5:I5)</f>
        <v>-1111500</v>
      </c>
      <c r="J6" s="1"/>
    </row>
    <row r="7" spans="2:10" x14ac:dyDescent="0.25">
      <c r="B7" s="1"/>
      <c r="C7" s="31"/>
      <c r="D7" s="31"/>
      <c r="E7" s="32"/>
      <c r="F7" s="33"/>
      <c r="G7" s="31"/>
      <c r="H7" s="31"/>
      <c r="I7" s="31"/>
      <c r="J7" s="1"/>
    </row>
    <row r="8" spans="2:10" x14ac:dyDescent="0.25">
      <c r="B8" s="2" t="s">
        <v>2</v>
      </c>
      <c r="C8" s="31"/>
      <c r="D8" s="31"/>
      <c r="E8" s="32"/>
      <c r="F8" s="33"/>
      <c r="G8" s="31"/>
      <c r="H8" s="31"/>
      <c r="I8" s="31"/>
      <c r="J8" s="1"/>
    </row>
    <row r="9" spans="2:10" x14ac:dyDescent="0.25">
      <c r="B9" s="1" t="s">
        <v>13</v>
      </c>
      <c r="C9" s="31">
        <v>0.56999999999999995</v>
      </c>
      <c r="D9" s="31">
        <f>12000*D5</f>
        <v>684000</v>
      </c>
      <c r="E9" s="32">
        <f t="shared" si="0"/>
        <v>389879.99999999994</v>
      </c>
      <c r="F9" s="33">
        <v>0.56999999999999995</v>
      </c>
      <c r="G9" s="31">
        <f>G5*8500</f>
        <v>484500</v>
      </c>
      <c r="H9" s="31">
        <f t="shared" si="1"/>
        <v>276165</v>
      </c>
      <c r="I9" s="31">
        <f t="shared" si="2"/>
        <v>-113714.99999999994</v>
      </c>
      <c r="J9" s="1" t="s">
        <v>18</v>
      </c>
    </row>
    <row r="10" spans="2:10" x14ac:dyDescent="0.25">
      <c r="B10" s="1" t="s">
        <v>19</v>
      </c>
      <c r="C10" s="31"/>
      <c r="D10" s="31"/>
      <c r="E10" s="32"/>
      <c r="F10" s="33"/>
      <c r="G10" s="31"/>
      <c r="H10" s="31"/>
      <c r="I10" s="34">
        <f>SUM(I9)</f>
        <v>-113714.99999999994</v>
      </c>
      <c r="J10" s="1"/>
    </row>
    <row r="11" spans="2:10" x14ac:dyDescent="0.25">
      <c r="B11" s="1"/>
      <c r="C11" s="31"/>
      <c r="D11" s="31"/>
      <c r="E11" s="32"/>
      <c r="F11" s="33"/>
      <c r="G11" s="31"/>
      <c r="H11" s="31"/>
      <c r="I11" s="31"/>
      <c r="J11" s="1"/>
    </row>
    <row r="12" spans="2:10" x14ac:dyDescent="0.25">
      <c r="B12" s="1"/>
      <c r="C12" s="31"/>
      <c r="D12" s="31"/>
      <c r="E12" s="32"/>
      <c r="F12" s="33"/>
      <c r="G12" s="31"/>
      <c r="H12" s="31"/>
      <c r="I12" s="34">
        <f>I6+I10</f>
        <v>-1225215</v>
      </c>
      <c r="J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5" workbookViewId="0">
      <selection activeCell="I23" sqref="I23"/>
    </sheetView>
  </sheetViews>
  <sheetFormatPr defaultRowHeight="15" x14ac:dyDescent="0.25"/>
  <cols>
    <col min="1" max="1" width="68.140625" customWidth="1"/>
    <col min="2" max="8" width="15" hidden="1" customWidth="1"/>
    <col min="9" max="11" width="15" customWidth="1"/>
  </cols>
  <sheetData>
    <row r="1" spans="1:11" x14ac:dyDescent="0.25"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8.75" x14ac:dyDescent="0.3">
      <c r="A2" s="46" t="s">
        <v>32</v>
      </c>
      <c r="B2" s="47">
        <v>2008</v>
      </c>
      <c r="C2" s="47">
        <v>2009</v>
      </c>
      <c r="D2" s="47">
        <v>2010</v>
      </c>
      <c r="E2" s="47">
        <v>2011</v>
      </c>
      <c r="F2" s="47">
        <v>2012</v>
      </c>
      <c r="G2" s="47">
        <v>2013</v>
      </c>
      <c r="H2" s="47">
        <v>2014</v>
      </c>
      <c r="I2" s="47">
        <v>2018</v>
      </c>
      <c r="J2" s="47">
        <v>2019</v>
      </c>
      <c r="K2" s="47">
        <v>2020</v>
      </c>
    </row>
    <row r="3" spans="1:11" x14ac:dyDescent="0.25">
      <c r="A3" s="48" t="s">
        <v>33</v>
      </c>
    </row>
    <row r="4" spans="1:11" x14ac:dyDescent="0.25">
      <c r="A4" s="49" t="s">
        <v>34</v>
      </c>
      <c r="B4" s="50"/>
      <c r="C4" s="50"/>
      <c r="D4" s="50"/>
      <c r="E4" s="50"/>
      <c r="F4" s="50"/>
      <c r="G4" s="50"/>
      <c r="H4" s="50"/>
      <c r="I4" s="50">
        <v>51.37</v>
      </c>
      <c r="J4" s="50">
        <v>51.37</v>
      </c>
      <c r="K4" s="50">
        <v>51.37</v>
      </c>
    </row>
    <row r="5" spans="1:11" x14ac:dyDescent="0.25">
      <c r="A5" s="49" t="s">
        <v>35</v>
      </c>
      <c r="B5" s="51">
        <v>366</v>
      </c>
      <c r="C5" s="51">
        <v>365</v>
      </c>
      <c r="D5" s="51">
        <v>365</v>
      </c>
      <c r="E5" s="51">
        <v>365</v>
      </c>
      <c r="F5" s="51">
        <v>366</v>
      </c>
      <c r="G5" s="51">
        <v>365</v>
      </c>
      <c r="H5" s="51">
        <v>365</v>
      </c>
      <c r="I5" s="51">
        <v>365</v>
      </c>
      <c r="J5" s="51">
        <v>365</v>
      </c>
      <c r="K5" s="51">
        <v>365</v>
      </c>
    </row>
    <row r="6" spans="1:11" x14ac:dyDescent="0.25">
      <c r="A6" s="49" t="s">
        <v>36</v>
      </c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x14ac:dyDescent="0.25">
      <c r="A7" s="49" t="s">
        <v>37</v>
      </c>
      <c r="B7" s="53">
        <f t="shared" ref="B7:H7" si="0">B6*B5*1000</f>
        <v>0</v>
      </c>
      <c r="C7" s="53">
        <f t="shared" si="0"/>
        <v>0</v>
      </c>
      <c r="D7" s="53">
        <f t="shared" si="0"/>
        <v>0</v>
      </c>
      <c r="E7" s="53">
        <f t="shared" si="0"/>
        <v>0</v>
      </c>
      <c r="F7" s="53">
        <f t="shared" si="0"/>
        <v>0</v>
      </c>
      <c r="G7" s="53">
        <f t="shared" si="0"/>
        <v>0</v>
      </c>
      <c r="H7" s="53">
        <f t="shared" si="0"/>
        <v>0</v>
      </c>
      <c r="I7" s="53">
        <f>I6*I5*1000</f>
        <v>0</v>
      </c>
      <c r="J7" s="53">
        <f>J6*J5*1000</f>
        <v>0</v>
      </c>
      <c r="K7" s="53">
        <f>K6*K5*1000</f>
        <v>0</v>
      </c>
    </row>
    <row r="8" spans="1:11" ht="15.75" thickBot="1" x14ac:dyDescent="0.3">
      <c r="A8" s="49" t="s">
        <v>38</v>
      </c>
      <c r="B8" s="54">
        <f t="shared" ref="B8:I8" si="1">+B7*B4</f>
        <v>0</v>
      </c>
      <c r="C8" s="54">
        <f t="shared" si="1"/>
        <v>0</v>
      </c>
      <c r="D8" s="54">
        <f t="shared" si="1"/>
        <v>0</v>
      </c>
      <c r="E8" s="54">
        <f t="shared" si="1"/>
        <v>0</v>
      </c>
      <c r="F8" s="54">
        <f t="shared" si="1"/>
        <v>0</v>
      </c>
      <c r="G8" s="54">
        <f t="shared" si="1"/>
        <v>0</v>
      </c>
      <c r="H8" s="54">
        <f t="shared" si="1"/>
        <v>0</v>
      </c>
      <c r="I8" s="55">
        <f t="shared" si="1"/>
        <v>0</v>
      </c>
      <c r="J8" s="55">
        <f t="shared" ref="J8:K8" si="2">+J7*J4</f>
        <v>0</v>
      </c>
      <c r="K8" s="55">
        <f t="shared" si="2"/>
        <v>0</v>
      </c>
    </row>
    <row r="9" spans="1:11" ht="15.75" thickTop="1" x14ac:dyDescent="0.25">
      <c r="A9" s="49" t="s">
        <v>39</v>
      </c>
      <c r="B9" s="56">
        <f t="shared" ref="B9:I9" si="3">-B8*0.2</f>
        <v>0</v>
      </c>
      <c r="C9" s="56">
        <f t="shared" si="3"/>
        <v>0</v>
      </c>
      <c r="D9" s="56">
        <f t="shared" si="3"/>
        <v>0</v>
      </c>
      <c r="E9" s="56">
        <f t="shared" si="3"/>
        <v>0</v>
      </c>
      <c r="F9" s="56">
        <f t="shared" si="3"/>
        <v>0</v>
      </c>
      <c r="G9" s="56">
        <f t="shared" si="3"/>
        <v>0</v>
      </c>
      <c r="H9" s="57">
        <f t="shared" si="3"/>
        <v>0</v>
      </c>
      <c r="I9" s="58">
        <f t="shared" si="3"/>
        <v>0</v>
      </c>
      <c r="J9" s="58">
        <f t="shared" ref="J9:K9" si="4">-J8*0.2</f>
        <v>0</v>
      </c>
      <c r="K9" s="58">
        <f t="shared" si="4"/>
        <v>0</v>
      </c>
    </row>
    <row r="10" spans="1:11" x14ac:dyDescent="0.25">
      <c r="A10" s="49" t="s">
        <v>40</v>
      </c>
      <c r="B10" s="56"/>
      <c r="C10" s="56"/>
      <c r="D10" s="56"/>
      <c r="E10" s="56"/>
      <c r="F10" s="56"/>
      <c r="G10" s="56"/>
      <c r="H10" s="57"/>
      <c r="I10" s="56">
        <f>-528000+2229600</f>
        <v>1701600</v>
      </c>
      <c r="J10" s="56">
        <v>3535515</v>
      </c>
      <c r="K10" s="56">
        <v>1440165</v>
      </c>
    </row>
    <row r="11" spans="1:11" x14ac:dyDescent="0.25">
      <c r="A11" s="49" t="s">
        <v>41</v>
      </c>
      <c r="B11" s="56"/>
      <c r="C11" s="56"/>
      <c r="D11" s="56"/>
      <c r="E11" s="56"/>
      <c r="F11" s="56"/>
      <c r="G11" s="56"/>
      <c r="H11" s="57"/>
      <c r="I11" s="56"/>
      <c r="J11" s="56"/>
      <c r="K11" s="56"/>
    </row>
    <row r="12" spans="1:11" x14ac:dyDescent="0.25">
      <c r="A12" s="49" t="s">
        <v>42</v>
      </c>
      <c r="B12" s="56"/>
      <c r="C12" s="56"/>
      <c r="D12" s="56"/>
      <c r="E12" s="56"/>
      <c r="F12" s="56"/>
      <c r="G12" s="56"/>
      <c r="H12" s="57"/>
      <c r="I12" s="56">
        <f>-I6*I5*2706</f>
        <v>0</v>
      </c>
      <c r="J12" s="56">
        <f>-J6*J5*2706</f>
        <v>0</v>
      </c>
      <c r="K12" s="56">
        <f>-K6*K5*2706</f>
        <v>0</v>
      </c>
    </row>
    <row r="13" spans="1:11" x14ac:dyDescent="0.25">
      <c r="A13" s="49" t="s">
        <v>43</v>
      </c>
      <c r="B13" s="59">
        <f t="shared" ref="B13:H13" si="5">+B8+B9</f>
        <v>0</v>
      </c>
      <c r="C13" s="59">
        <f t="shared" si="5"/>
        <v>0</v>
      </c>
      <c r="D13" s="59">
        <f t="shared" si="5"/>
        <v>0</v>
      </c>
      <c r="E13" s="59">
        <f t="shared" si="5"/>
        <v>0</v>
      </c>
      <c r="F13" s="59">
        <f t="shared" si="5"/>
        <v>0</v>
      </c>
      <c r="G13" s="59">
        <f t="shared" si="5"/>
        <v>0</v>
      </c>
      <c r="H13" s="60">
        <f t="shared" si="5"/>
        <v>0</v>
      </c>
      <c r="I13" s="59">
        <f>+I8+I9+I10+I11+I12</f>
        <v>1701600</v>
      </c>
      <c r="J13" s="59">
        <f>+J8+J9+J10+J11+J12</f>
        <v>3535515</v>
      </c>
      <c r="K13" s="59">
        <f>+K8+K9+K10+K11+K12</f>
        <v>1440165</v>
      </c>
    </row>
    <row r="14" spans="1:11" x14ac:dyDescent="0.25">
      <c r="A14" s="49" t="s">
        <v>44</v>
      </c>
      <c r="B14" s="56">
        <f t="shared" ref="B14:I14" si="6">-B13*0.85</f>
        <v>0</v>
      </c>
      <c r="C14" s="56">
        <f t="shared" si="6"/>
        <v>0</v>
      </c>
      <c r="D14" s="56">
        <f t="shared" si="6"/>
        <v>0</v>
      </c>
      <c r="E14" s="56">
        <f t="shared" si="6"/>
        <v>0</v>
      </c>
      <c r="F14" s="56">
        <f t="shared" si="6"/>
        <v>0</v>
      </c>
      <c r="G14" s="56">
        <f t="shared" si="6"/>
        <v>0</v>
      </c>
      <c r="H14" s="57">
        <f t="shared" si="6"/>
        <v>0</v>
      </c>
      <c r="I14" s="56">
        <f t="shared" si="6"/>
        <v>-1446360</v>
      </c>
      <c r="J14" s="56">
        <f t="shared" ref="J14:K14" si="7">-J13*0.85</f>
        <v>-3005187.75</v>
      </c>
      <c r="K14" s="56">
        <f t="shared" si="7"/>
        <v>-1224140.25</v>
      </c>
    </row>
    <row r="15" spans="1:11" x14ac:dyDescent="0.25">
      <c r="A15" s="4"/>
      <c r="B15" s="61"/>
      <c r="C15" s="61"/>
      <c r="D15" s="61"/>
      <c r="E15" s="61"/>
      <c r="F15" s="61"/>
      <c r="G15" s="61"/>
      <c r="H15" s="61"/>
      <c r="I15" s="62"/>
      <c r="J15" s="62"/>
      <c r="K15" s="62"/>
    </row>
    <row r="16" spans="1:11" ht="15.75" thickBot="1" x14ac:dyDescent="0.3">
      <c r="A16" s="63" t="s">
        <v>45</v>
      </c>
      <c r="B16" s="64">
        <f t="shared" ref="B16:I16" si="8">+B13+B14</f>
        <v>0</v>
      </c>
      <c r="C16" s="64">
        <f t="shared" si="8"/>
        <v>0</v>
      </c>
      <c r="D16" s="64">
        <f t="shared" si="8"/>
        <v>0</v>
      </c>
      <c r="E16" s="64">
        <f t="shared" si="8"/>
        <v>0</v>
      </c>
      <c r="F16" s="64">
        <f t="shared" si="8"/>
        <v>0</v>
      </c>
      <c r="G16" s="64">
        <f t="shared" si="8"/>
        <v>0</v>
      </c>
      <c r="H16" s="64">
        <f t="shared" si="8"/>
        <v>0</v>
      </c>
      <c r="I16" s="54">
        <f t="shared" si="8"/>
        <v>255240</v>
      </c>
      <c r="J16" s="54">
        <f t="shared" ref="J16:K16" si="9">+J13+J14</f>
        <v>530327.25</v>
      </c>
      <c r="K16" s="54">
        <f t="shared" si="9"/>
        <v>216024.75</v>
      </c>
    </row>
    <row r="17" spans="1:11" ht="15.75" thickTop="1" x14ac:dyDescent="0.25"/>
    <row r="18" spans="1:11" ht="15.75" thickBot="1" x14ac:dyDescent="0.3">
      <c r="A18" t="s">
        <v>46</v>
      </c>
      <c r="I18" s="65">
        <f>I16-I12</f>
        <v>255240</v>
      </c>
      <c r="J18" s="65">
        <f>J16-J12</f>
        <v>530327.25</v>
      </c>
      <c r="K18" s="65">
        <f>K16-K12</f>
        <v>216024.75</v>
      </c>
    </row>
    <row r="19" spans="1:11" ht="15.75" thickTop="1" x14ac:dyDescent="0.25"/>
    <row r="20" spans="1:11" ht="15.75" thickBot="1" x14ac:dyDescent="0.3">
      <c r="A20" t="s">
        <v>47</v>
      </c>
      <c r="I20" s="66">
        <f>I18-I14</f>
        <v>1701600</v>
      </c>
      <c r="J20" s="66">
        <f>J18-J14</f>
        <v>3535515</v>
      </c>
      <c r="K20" s="66">
        <f>K18-K14</f>
        <v>1440165</v>
      </c>
    </row>
    <row r="21" spans="1:11" ht="15.75" thickTop="1" x14ac:dyDescent="0.25"/>
    <row r="23" spans="1:11" x14ac:dyDescent="0.25">
      <c r="I23" s="67">
        <f>I18*30%/1000</f>
        <v>76.572000000000003</v>
      </c>
      <c r="J23" s="67">
        <f>J18*30%/1000</f>
        <v>159.098175</v>
      </c>
      <c r="K23" s="67">
        <f>K18*30%/1000</f>
        <v>64.807424999999995</v>
      </c>
    </row>
    <row r="24" spans="1:11" x14ac:dyDescent="0.25">
      <c r="I24" s="68"/>
      <c r="J24" s="68"/>
      <c r="K24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topLeftCell="A7" zoomScaleNormal="100" workbookViewId="0">
      <selection activeCell="C24" sqref="C24"/>
    </sheetView>
  </sheetViews>
  <sheetFormatPr defaultRowHeight="15" x14ac:dyDescent="0.25"/>
  <cols>
    <col min="3" max="3" width="47.7109375" customWidth="1"/>
    <col min="4" max="6" width="14.5703125" customWidth="1"/>
  </cols>
  <sheetData>
    <row r="2" spans="2:9" x14ac:dyDescent="0.25">
      <c r="C2" t="s">
        <v>63</v>
      </c>
      <c r="D2">
        <v>2018</v>
      </c>
      <c r="E2">
        <v>2019</v>
      </c>
      <c r="F2">
        <v>2020</v>
      </c>
    </row>
    <row r="3" spans="2:9" x14ac:dyDescent="0.25">
      <c r="C3" s="48" t="s">
        <v>48</v>
      </c>
      <c r="D3" s="70">
        <f>-'2018'!I14-'2018'!C20</f>
        <v>1485990</v>
      </c>
      <c r="E3" s="70">
        <f>-'2019'!I14</f>
        <v>3535515</v>
      </c>
      <c r="F3" s="70">
        <f>-'2020'!I12</f>
        <v>1225215</v>
      </c>
    </row>
    <row r="4" spans="2:9" x14ac:dyDescent="0.25">
      <c r="C4" s="48" t="s">
        <v>49</v>
      </c>
      <c r="D4" s="70">
        <v>0</v>
      </c>
      <c r="E4" s="70">
        <v>0</v>
      </c>
      <c r="F4" s="70">
        <v>0</v>
      </c>
    </row>
    <row r="8" spans="2:9" x14ac:dyDescent="0.25">
      <c r="B8" s="48" t="s">
        <v>50</v>
      </c>
    </row>
    <row r="9" spans="2:9" x14ac:dyDescent="0.25">
      <c r="C9" s="71" t="s">
        <v>51</v>
      </c>
      <c r="D9" s="69"/>
      <c r="E9" s="69"/>
      <c r="F9" s="69"/>
    </row>
    <row r="10" spans="2:9" x14ac:dyDescent="0.25">
      <c r="C10" t="s">
        <v>52</v>
      </c>
      <c r="D10" s="69">
        <f>-D3*0.5</f>
        <v>-742995</v>
      </c>
      <c r="E10" s="69">
        <f t="shared" ref="E10:F10" si="0">-E3*0.5</f>
        <v>-1767757.5</v>
      </c>
      <c r="F10" s="69">
        <f t="shared" si="0"/>
        <v>-612607.5</v>
      </c>
    </row>
    <row r="11" spans="2:9" x14ac:dyDescent="0.25">
      <c r="C11" t="s">
        <v>53</v>
      </c>
      <c r="D11" s="69">
        <f>-D4*0.2*0.5</f>
        <v>0</v>
      </c>
      <c r="E11" s="69">
        <f>(-E4*0.2-D4*0.2)*0.5</f>
        <v>0</v>
      </c>
      <c r="F11" s="69">
        <f>(-F4*0.2-E4*0.2-D4*0.2)*0.5</f>
        <v>0</v>
      </c>
    </row>
    <row r="12" spans="2:9" x14ac:dyDescent="0.25">
      <c r="C12" t="s">
        <v>54</v>
      </c>
      <c r="D12" s="69">
        <f>-D4*0.5</f>
        <v>0</v>
      </c>
      <c r="E12" s="69">
        <f>-E4*0.5</f>
        <v>0</v>
      </c>
      <c r="F12" s="69">
        <f>-F4*0.5</f>
        <v>0</v>
      </c>
    </row>
    <row r="13" spans="2:9" x14ac:dyDescent="0.25">
      <c r="C13" s="72" t="s">
        <v>55</v>
      </c>
      <c r="D13" s="73">
        <f>SUM(D9:D12)</f>
        <v>-742995</v>
      </c>
      <c r="E13" s="73">
        <f>SUM(E9:E12)</f>
        <v>-1767757.5</v>
      </c>
      <c r="F13" s="73">
        <f>SUM(F9:F12)</f>
        <v>-612607.5</v>
      </c>
    </row>
    <row r="14" spans="2:9" x14ac:dyDescent="0.25">
      <c r="C14" t="s">
        <v>56</v>
      </c>
      <c r="D14" s="73">
        <f>D13*0.55*0.55</f>
        <v>-224755.98750000005</v>
      </c>
      <c r="E14" s="73">
        <f t="shared" ref="E14:F14" si="1">E13*0.55*0.55</f>
        <v>-534746.64375000016</v>
      </c>
      <c r="F14" s="73">
        <f t="shared" si="1"/>
        <v>-185313.76875000002</v>
      </c>
    </row>
    <row r="15" spans="2:9" x14ac:dyDescent="0.25">
      <c r="D15" s="69"/>
      <c r="E15" s="69"/>
      <c r="F15" s="69"/>
    </row>
    <row r="16" spans="2:9" x14ac:dyDescent="0.25">
      <c r="C16" s="71" t="s">
        <v>57</v>
      </c>
      <c r="I16" s="69"/>
    </row>
    <row r="17" spans="3:9" x14ac:dyDescent="0.25">
      <c r="C17" t="s">
        <v>58</v>
      </c>
      <c r="D17" s="74">
        <f>D3</f>
        <v>1485990</v>
      </c>
      <c r="E17" s="74">
        <f t="shared" ref="E17:F17" si="2">E3</f>
        <v>3535515</v>
      </c>
      <c r="F17" s="74">
        <f t="shared" si="2"/>
        <v>1225215</v>
      </c>
      <c r="I17" s="69"/>
    </row>
    <row r="18" spans="3:9" x14ac:dyDescent="0.25">
      <c r="C18" t="s">
        <v>56</v>
      </c>
      <c r="D18" s="73">
        <f>D17*0.55*0.55</f>
        <v>449511.97500000009</v>
      </c>
      <c r="E18" s="73">
        <f t="shared" ref="E18:F18" si="3">E17*0.55*0.55</f>
        <v>1069493.2875000003</v>
      </c>
      <c r="F18" s="73">
        <f t="shared" si="3"/>
        <v>370627.53750000003</v>
      </c>
      <c r="I18" s="69"/>
    </row>
    <row r="19" spans="3:9" x14ac:dyDescent="0.25">
      <c r="I19" s="69"/>
    </row>
    <row r="20" spans="3:9" x14ac:dyDescent="0.25">
      <c r="C20" s="71" t="s">
        <v>59</v>
      </c>
      <c r="D20" s="69"/>
      <c r="E20" s="69"/>
      <c r="F20" s="69"/>
    </row>
    <row r="21" spans="3:9" x14ac:dyDescent="0.25">
      <c r="C21" t="s">
        <v>60</v>
      </c>
      <c r="D21" s="74">
        <f>D4*0.8</f>
        <v>0</v>
      </c>
      <c r="E21" s="74">
        <f t="shared" ref="E21:F21" si="4">E4*0.8</f>
        <v>0</v>
      </c>
      <c r="F21" s="74">
        <f t="shared" si="4"/>
        <v>0</v>
      </c>
    </row>
    <row r="22" spans="3:9" x14ac:dyDescent="0.25">
      <c r="C22" t="s">
        <v>61</v>
      </c>
      <c r="D22" s="73">
        <f>D21*0.55</f>
        <v>0</v>
      </c>
      <c r="E22" s="73">
        <f t="shared" ref="E22:F22" si="5">E21*0.55</f>
        <v>0</v>
      </c>
      <c r="F22" s="73">
        <f t="shared" si="5"/>
        <v>0</v>
      </c>
    </row>
    <row r="24" spans="3:9" ht="15.75" thickBot="1" x14ac:dyDescent="0.3">
      <c r="C24" s="48" t="s">
        <v>62</v>
      </c>
      <c r="D24" s="75">
        <f>D14+D18+D22</f>
        <v>224755.98750000005</v>
      </c>
      <c r="E24" s="75">
        <f t="shared" ref="E24" si="6">E14+E18+E22</f>
        <v>534746.64375000016</v>
      </c>
      <c r="F24" s="75">
        <f>F14+F18+F22</f>
        <v>185313.76875000002</v>
      </c>
    </row>
  </sheetData>
  <pageMargins left="0.7" right="0.7" top="0.75" bottom="0.7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2018</vt:lpstr>
      <vt:lpstr>2019</vt:lpstr>
      <vt:lpstr>2020</vt:lpstr>
      <vt:lpstr>CSD</vt:lpstr>
      <vt:lpstr>CSD SNEPCo</vt:lpstr>
      <vt:lpstr>'CSD SNEPCo'!Print_Area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E.Chime</dc:creator>
  <cp:lastModifiedBy>Falaye, Olatunbosun M SPDC-UPO/G/PC</cp:lastModifiedBy>
  <dcterms:created xsi:type="dcterms:W3CDTF">2017-10-27T10:44:10Z</dcterms:created>
  <dcterms:modified xsi:type="dcterms:W3CDTF">2017-11-23T21:29:52Z</dcterms:modified>
</cp:coreProperties>
</file>