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8" windowWidth="16272" windowHeight="7056" firstSheet="1" activeTab="2"/>
  </bookViews>
  <sheets>
    <sheet name="Capex" sheetId="3" r:id="rId1"/>
    <sheet name="Cadence smry" sheetId="5" r:id="rId2"/>
    <sheet name="cadence smry2" sheetId="6" r:id="rId3"/>
    <sheet name="summary" sheetId="7" r:id="rId4"/>
  </sheets>
  <externalReferences>
    <externalReference r:id="rId5"/>
  </externalReferences>
  <definedNames>
    <definedName name="A0000000">"SIPM_APPL\"</definedName>
    <definedName name="AACOSTSUM">TRUE</definedName>
    <definedName name="AS2DocOpenMode">"AS2DocumentBrowse"</definedName>
    <definedName name="BCI" localSheetId="3">{"'IM V02'!$A$1:$W$57"}</definedName>
    <definedName name="BCI">{"'IM V02'!$A$1:$W$57"}</definedName>
    <definedName name="BCIR" localSheetId="3">{"'IM V02'!$A$1:$W$57"}</definedName>
    <definedName name="BCIR">{"'IM V02'!$A$1:$W$57"}</definedName>
    <definedName name="Close" localSheetId="3">{"'IM V02'!$A$1:$W$57"}</definedName>
    <definedName name="Close">{"'IM V02'!$A$1:$W$57"}</definedName>
    <definedName name="hei" localSheetId="3">{"'IM V02'!$A$1:$W$57"}</definedName>
    <definedName name="hei">{"'IM V02'!$A$1:$W$57"}</definedName>
    <definedName name="HTML_CodePage">1252</definedName>
    <definedName name="HTML_Control" localSheetId="3">{"'IM V02'!$A$1:$W$57"}</definedName>
    <definedName name="HTML_Control">{"'IM V02'!$A$1:$W$57"}</definedName>
    <definedName name="HTML_Description">""</definedName>
    <definedName name="HTML_Email">""</definedName>
    <definedName name="HTML_Header">"IM Elan Scorecase 2002 V02"</definedName>
    <definedName name="HTML_LastUpdate">"20/12/2001"</definedName>
    <definedName name="HTML_LineAfter">FALSE</definedName>
    <definedName name="HTML_LineBefore">FALSE</definedName>
    <definedName name="HTML_Name">"Idris Sabtu"</definedName>
    <definedName name="HTML_OBDlg2">TRUE</definedName>
    <definedName name="HTML_OBDlg4">TRUE</definedName>
    <definedName name="HTML_OS">0</definedName>
    <definedName name="HTML_PathFile">"I:\IM Elan\BP V02\Scorecard\IM Elan Scorecard 2002.htm"</definedName>
    <definedName name="HTML_Title">"IM Elan Scorecard 2002"</definedName>
    <definedName name="Inter" localSheetId="3">{"'IM V02'!$A$1:$W$57"}</definedName>
    <definedName name="Inter">{"'IM V02'!$A$1:$W$57"}</definedName>
    <definedName name="riskATSSboxGraph">FALSE</definedName>
    <definedName name="riskATSSincludeSimtables">TRUE</definedName>
    <definedName name="riskATSSinputsGraphs">FALSE</definedName>
    <definedName name="riskATSSoutputStatistic">3</definedName>
    <definedName name="riskATSSpercentChangeGraph">TRUE</definedName>
    <definedName name="riskATSSpercentileGraph">TRUE</definedName>
    <definedName name="riskATSSpercentileValue">0.5</definedName>
    <definedName name="riskATSSprintReport">FALSE</definedName>
    <definedName name="riskATSSreportsInActiveBook">FALSE</definedName>
    <definedName name="riskATSSreportsSelected">TRUE</definedName>
    <definedName name="riskATSSsummaryReport">TRUE</definedName>
    <definedName name="riskATSStornadoGraph">TRUE</definedName>
    <definedName name="RiskAutoStopPercChange">0.1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-1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2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SAPBEXdnldView">"456MYYI2H7RWR98M9OIQ9YS6N"</definedName>
    <definedName name="SAPBEXhrIndnt">1</definedName>
    <definedName name="SAPBEXrevision">1</definedName>
    <definedName name="SAPBEXsysID">"PB6"</definedName>
    <definedName name="SAPBEXwbID">"3X73J67VPPEHY0SMAPJQGGCQV"</definedName>
    <definedName name="TestB">"$B$5:INDEX(B:B,COUNTA(B:B))"</definedName>
  </definedNames>
  <calcPr calcId="145621"/>
</workbook>
</file>

<file path=xl/calcChain.xml><?xml version="1.0" encoding="utf-8"?>
<calcChain xmlns="http://schemas.openxmlformats.org/spreadsheetml/2006/main">
  <c r="C8" i="7" l="1"/>
  <c r="F7" i="7"/>
  <c r="D7" i="7"/>
  <c r="F6" i="7"/>
  <c r="D6" i="7"/>
  <c r="F5" i="7"/>
  <c r="D5" i="7"/>
  <c r="F4" i="7"/>
  <c r="D4" i="7"/>
  <c r="F3" i="7"/>
  <c r="D3" i="7"/>
  <c r="D8" i="7" s="1"/>
  <c r="F8" i="7" l="1"/>
  <c r="F30" i="6" l="1"/>
  <c r="E36" i="6" l="1"/>
  <c r="F6" i="6"/>
  <c r="F17" i="6"/>
  <c r="F18" i="6"/>
  <c r="E5" i="6"/>
  <c r="E14" i="6" l="1"/>
  <c r="D5" i="6"/>
  <c r="F5" i="6" s="1"/>
  <c r="C43" i="6"/>
  <c r="C35" i="6"/>
  <c r="C36" i="6" s="1"/>
  <c r="C18" i="6"/>
  <c r="C17" i="6"/>
  <c r="D41" i="6"/>
  <c r="C10" i="6"/>
  <c r="C9" i="6"/>
  <c r="C8" i="6"/>
  <c r="C5" i="6"/>
  <c r="C16" i="6"/>
  <c r="E44" i="6" l="1"/>
  <c r="E21" i="6"/>
  <c r="E30" i="6" s="1"/>
  <c r="C14" i="6"/>
  <c r="D35" i="6"/>
  <c r="F35" i="6" s="1"/>
  <c r="D34" i="6"/>
  <c r="F34" i="6" s="1"/>
  <c r="D33" i="6"/>
  <c r="F33" i="6" s="1"/>
  <c r="D32" i="6"/>
  <c r="F32" i="6" s="1"/>
  <c r="D16" i="6"/>
  <c r="F16" i="6" s="1"/>
  <c r="F21" i="6" s="1"/>
  <c r="D13" i="6"/>
  <c r="D12" i="6"/>
  <c r="F12" i="6" s="1"/>
  <c r="D11" i="6"/>
  <c r="F11" i="6" s="1"/>
  <c r="D10" i="6"/>
  <c r="F10" i="6" s="1"/>
  <c r="D9" i="6"/>
  <c r="F9" i="6" s="1"/>
  <c r="D8" i="6"/>
  <c r="F8" i="6" s="1"/>
  <c r="D7" i="6"/>
  <c r="F7" i="6" s="1"/>
  <c r="D4" i="6"/>
  <c r="F4" i="6" s="1"/>
  <c r="F13" i="6" l="1"/>
  <c r="F14" i="6" s="1"/>
  <c r="C44" i="6"/>
  <c r="C21" i="6"/>
  <c r="C30" i="6" s="1"/>
  <c r="F36" i="6"/>
  <c r="D36" i="6"/>
  <c r="D14" i="6"/>
  <c r="D21" i="6" s="1"/>
  <c r="D30" i="6" s="1"/>
  <c r="C5" i="5"/>
  <c r="O22" i="3"/>
  <c r="C11" i="5"/>
  <c r="F44" i="6" l="1"/>
  <c r="D44" i="6"/>
  <c r="D29" i="5"/>
  <c r="C23" i="5" l="1"/>
  <c r="C22" i="5"/>
  <c r="C21" i="5"/>
  <c r="C20" i="5"/>
  <c r="C15" i="5"/>
  <c r="C14" i="5"/>
  <c r="C10" i="5"/>
  <c r="C9" i="5"/>
  <c r="C8" i="5"/>
  <c r="C7" i="5"/>
  <c r="C4" i="5"/>
  <c r="C19" i="5"/>
  <c r="Q57" i="3"/>
  <c r="P57" i="3"/>
  <c r="P42" i="3"/>
  <c r="P37" i="3"/>
  <c r="P26" i="3"/>
  <c r="D4" i="3"/>
  <c r="E4" i="3"/>
  <c r="F4" i="3"/>
  <c r="C4" i="3"/>
  <c r="D59" i="3"/>
  <c r="E59" i="3"/>
  <c r="F59" i="3"/>
  <c r="C59" i="3"/>
  <c r="D58" i="3"/>
  <c r="E58" i="3"/>
  <c r="F58" i="3"/>
  <c r="C58" i="3"/>
  <c r="D55" i="3"/>
  <c r="E55" i="3"/>
  <c r="F55" i="3"/>
  <c r="C55" i="3"/>
  <c r="D43" i="3"/>
  <c r="E43" i="3"/>
  <c r="F43" i="3"/>
  <c r="C43" i="3"/>
  <c r="D35" i="3"/>
  <c r="E35" i="3"/>
  <c r="F35" i="3"/>
  <c r="C35" i="3"/>
  <c r="D31" i="3"/>
  <c r="E31" i="3"/>
  <c r="F31" i="3"/>
  <c r="C31" i="3"/>
  <c r="D19" i="3"/>
  <c r="E19" i="3"/>
  <c r="F19" i="3"/>
  <c r="C19" i="3"/>
  <c r="F57" i="3"/>
  <c r="F56" i="3"/>
  <c r="F54" i="3"/>
  <c r="F53" i="3"/>
  <c r="F52" i="3"/>
  <c r="F51" i="3"/>
  <c r="F50" i="3"/>
  <c r="F49" i="3"/>
  <c r="F48" i="3"/>
  <c r="F47" i="3"/>
  <c r="F46" i="3"/>
  <c r="F45" i="3"/>
  <c r="F44" i="3"/>
  <c r="F42" i="3"/>
  <c r="F41" i="3"/>
  <c r="F40" i="3"/>
  <c r="F39" i="3"/>
  <c r="F38" i="3"/>
  <c r="F37" i="3"/>
  <c r="F36" i="3"/>
  <c r="F34" i="3"/>
  <c r="F33" i="3"/>
  <c r="F32" i="3"/>
  <c r="F30" i="3"/>
  <c r="F29" i="3"/>
  <c r="F28" i="3"/>
  <c r="F27" i="3"/>
  <c r="F26" i="3"/>
  <c r="F25" i="3"/>
  <c r="F24" i="3"/>
  <c r="F23" i="3"/>
  <c r="F22" i="3"/>
  <c r="F21" i="3"/>
  <c r="F20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3" i="3"/>
  <c r="D24" i="5" l="1"/>
  <c r="D16" i="5"/>
  <c r="D31" i="5" s="1"/>
  <c r="P35" i="3"/>
  <c r="Q35" i="3"/>
  <c r="P31" i="3"/>
  <c r="P19" i="3"/>
  <c r="Q19" i="3"/>
  <c r="Q42" i="3"/>
  <c r="Q43" i="3" s="1"/>
  <c r="Q41" i="3"/>
  <c r="Q40" i="3"/>
  <c r="Q39" i="3"/>
  <c r="Q38" i="3"/>
  <c r="Q37" i="3"/>
  <c r="Q36" i="3"/>
  <c r="Q34" i="3"/>
  <c r="Q33" i="3"/>
  <c r="Q32" i="3"/>
  <c r="Q30" i="3"/>
  <c r="Q29" i="3"/>
  <c r="Q28" i="3"/>
  <c r="Q27" i="3"/>
  <c r="Q26" i="3"/>
  <c r="Q25" i="3"/>
  <c r="Q24" i="3"/>
  <c r="Q23" i="3"/>
  <c r="Q22" i="3"/>
  <c r="Q21" i="3"/>
  <c r="Q20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3" i="3"/>
  <c r="P43" i="3"/>
  <c r="P55" i="3"/>
  <c r="Q55" i="3"/>
  <c r="Q54" i="3"/>
  <c r="Q53" i="3"/>
  <c r="Q52" i="3"/>
  <c r="Q51" i="3"/>
  <c r="Q50" i="3"/>
  <c r="Q49" i="3"/>
  <c r="Q48" i="3"/>
  <c r="Q47" i="3"/>
  <c r="Q46" i="3"/>
  <c r="Q45" i="3"/>
  <c r="Q44" i="3"/>
  <c r="Q56" i="3"/>
  <c r="Q58" i="3" s="1"/>
  <c r="P58" i="3"/>
  <c r="P56" i="3"/>
  <c r="F62" i="3"/>
  <c r="Q31" i="3" l="1"/>
  <c r="Q59" i="3" s="1"/>
  <c r="P59" i="3"/>
  <c r="M58" i="3" l="1"/>
  <c r="M59" i="3" s="1"/>
  <c r="N58" i="3"/>
  <c r="N59" i="3" s="1"/>
  <c r="O58" i="3"/>
  <c r="M55" i="3"/>
  <c r="O55" i="3"/>
  <c r="M43" i="3"/>
  <c r="N43" i="3"/>
  <c r="O43" i="3"/>
  <c r="M35" i="3"/>
  <c r="N35" i="3"/>
  <c r="O35" i="3"/>
  <c r="M31" i="3"/>
  <c r="N31" i="3"/>
  <c r="O31" i="3"/>
  <c r="M19" i="3"/>
  <c r="N19" i="3"/>
  <c r="O19" i="3"/>
  <c r="O59" i="3" l="1"/>
  <c r="L55" i="3"/>
  <c r="L59" i="3" s="1"/>
  <c r="L62" i="3" s="1"/>
  <c r="K58" i="3"/>
  <c r="K59" i="3" s="1"/>
  <c r="L58" i="3"/>
  <c r="K55" i="3"/>
  <c r="K43" i="3"/>
  <c r="L43" i="3"/>
  <c r="K31" i="3"/>
  <c r="L31" i="3"/>
  <c r="K19" i="3"/>
  <c r="L19" i="3"/>
  <c r="K35" i="3"/>
  <c r="L35" i="3"/>
  <c r="I55" i="3"/>
  <c r="J54" i="3"/>
  <c r="J49" i="3"/>
  <c r="J42" i="3"/>
  <c r="J38" i="3"/>
  <c r="J5" i="3"/>
  <c r="I5" i="3"/>
  <c r="I6" i="3"/>
  <c r="J6" i="3" s="1"/>
  <c r="I7" i="3"/>
  <c r="I19" i="3" s="1"/>
  <c r="I8" i="3"/>
  <c r="J8" i="3" s="1"/>
  <c r="I9" i="3"/>
  <c r="J9" i="3" s="1"/>
  <c r="I10" i="3"/>
  <c r="J10" i="3" s="1"/>
  <c r="I11" i="3"/>
  <c r="J11" i="3" s="1"/>
  <c r="I13" i="3"/>
  <c r="J13" i="3" s="1"/>
  <c r="I14" i="3"/>
  <c r="J14" i="3" s="1"/>
  <c r="I15" i="3"/>
  <c r="J15" i="3" s="1"/>
  <c r="I16" i="3"/>
  <c r="J16" i="3" s="1"/>
  <c r="I17" i="3"/>
  <c r="J17" i="3" s="1"/>
  <c r="I18" i="3"/>
  <c r="J18" i="3" s="1"/>
  <c r="I20" i="3"/>
  <c r="I31" i="3" s="1"/>
  <c r="I21" i="3"/>
  <c r="J21" i="3" s="1"/>
  <c r="I22" i="3"/>
  <c r="J22" i="3" s="1"/>
  <c r="I23" i="3"/>
  <c r="J23" i="3" s="1"/>
  <c r="I24" i="3"/>
  <c r="J24" i="3" s="1"/>
  <c r="I25" i="3"/>
  <c r="J25" i="3" s="1"/>
  <c r="I26" i="3"/>
  <c r="J26" i="3" s="1"/>
  <c r="I27" i="3"/>
  <c r="J27" i="3" s="1"/>
  <c r="I28" i="3"/>
  <c r="J28" i="3" s="1"/>
  <c r="I30" i="3"/>
  <c r="J30" i="3" s="1"/>
  <c r="I32" i="3"/>
  <c r="J32" i="3" s="1"/>
  <c r="J35" i="3" s="1"/>
  <c r="I33" i="3"/>
  <c r="I34" i="3"/>
  <c r="I36" i="3"/>
  <c r="I43" i="3" s="1"/>
  <c r="I37" i="3"/>
  <c r="J37" i="3" s="1"/>
  <c r="I38" i="3"/>
  <c r="I39" i="3"/>
  <c r="J39" i="3" s="1"/>
  <c r="I40" i="3"/>
  <c r="J40" i="3" s="1"/>
  <c r="I41" i="3"/>
  <c r="J41" i="3" s="1"/>
  <c r="I42" i="3"/>
  <c r="I45" i="3"/>
  <c r="J45" i="3" s="1"/>
  <c r="J55" i="3" s="1"/>
  <c r="I46" i="3"/>
  <c r="J46" i="3" s="1"/>
  <c r="I47" i="3"/>
  <c r="J47" i="3" s="1"/>
  <c r="I49" i="3"/>
  <c r="I50" i="3"/>
  <c r="J50" i="3" s="1"/>
  <c r="I51" i="3"/>
  <c r="J51" i="3" s="1"/>
  <c r="I53" i="3"/>
  <c r="J53" i="3" s="1"/>
  <c r="I54" i="3"/>
  <c r="I56" i="3"/>
  <c r="I58" i="3" s="1"/>
  <c r="I57" i="3"/>
  <c r="J57" i="3" s="1"/>
  <c r="I3" i="3"/>
  <c r="J3" i="3" s="1"/>
  <c r="J33" i="3"/>
  <c r="J34" i="3"/>
  <c r="J7" i="3" l="1"/>
  <c r="J19" i="3" s="1"/>
  <c r="J59" i="3" s="1"/>
  <c r="I35" i="3"/>
  <c r="J20" i="3"/>
  <c r="J31" i="3" s="1"/>
  <c r="J56" i="3"/>
  <c r="J58" i="3" s="1"/>
  <c r="J36" i="3"/>
  <c r="J43" i="3" s="1"/>
  <c r="I59" i="3"/>
</calcChain>
</file>

<file path=xl/sharedStrings.xml><?xml version="1.0" encoding="utf-8"?>
<sst xmlns="http://schemas.openxmlformats.org/spreadsheetml/2006/main" count="219" uniqueCount="170">
  <si>
    <t>Metering East</t>
  </si>
  <si>
    <t>MCA 2</t>
  </si>
  <si>
    <t>Procurement and installation of centrifugal pump and Fiscal Metering System.</t>
  </si>
  <si>
    <t>APPROVED OP16 F$</t>
  </si>
  <si>
    <t>PROPOSED NAPIMS BUDGET F$</t>
  </si>
  <si>
    <t>PROPOSED Q1 FYLE F$</t>
  </si>
  <si>
    <t>PROJECT</t>
  </si>
  <si>
    <t>Pipelines/ Corp Matrix/ Civil</t>
  </si>
  <si>
    <t>NOGI</t>
  </si>
  <si>
    <t>Shoreline and Jetty</t>
  </si>
  <si>
    <t>Roads and Bridges</t>
  </si>
  <si>
    <t>Asset Eng</t>
  </si>
  <si>
    <t>IG-IA Conversion</t>
  </si>
  <si>
    <t>Fac Mech Upgrade</t>
  </si>
  <si>
    <t>Corp Saver pit</t>
  </si>
  <si>
    <t>Elect. Fac. Upgrade</t>
  </si>
  <si>
    <t>Bundwall</t>
  </si>
  <si>
    <t>Swamp F/S repairs</t>
  </si>
  <si>
    <t>Instrument Upgrade</t>
  </si>
  <si>
    <t>Fac Intergrity Improv</t>
  </si>
  <si>
    <t>Other Capex</t>
  </si>
  <si>
    <t>Flowlines</t>
  </si>
  <si>
    <t>Flares</t>
  </si>
  <si>
    <t>AGG Improvement</t>
  </si>
  <si>
    <t>Bonny Terminal works</t>
  </si>
  <si>
    <t>Forcados Terminal</t>
  </si>
  <si>
    <t>NLNG</t>
  </si>
  <si>
    <t>GU 2A</t>
  </si>
  <si>
    <t>GU 2B</t>
  </si>
  <si>
    <t>Gbaran Northbank</t>
  </si>
  <si>
    <t xml:space="preserve">48" Export line repairs in Forcados </t>
  </si>
  <si>
    <t>FODA</t>
  </si>
  <si>
    <t xml:space="preserve">OGGS-ELPS-RPA </t>
  </si>
  <si>
    <t>SPM REVAMP &amp; CHANGE OUT</t>
  </si>
  <si>
    <t>AGS Adibawa</t>
  </si>
  <si>
    <t>AGS Adibawa-PMT</t>
  </si>
  <si>
    <t>AGS Otumara</t>
  </si>
  <si>
    <t>AGS Otumara-PMT</t>
  </si>
  <si>
    <t>East Domgas Agbada NAG-PMT</t>
  </si>
  <si>
    <t>East Domgas Agbada NAG</t>
  </si>
  <si>
    <t>SSAGS</t>
  </si>
  <si>
    <t>SSAGS-PMT</t>
  </si>
  <si>
    <t>FLB East</t>
  </si>
  <si>
    <t>FYIP</t>
  </si>
  <si>
    <t>FYIP-PMT</t>
  </si>
  <si>
    <t>Gbaran Domgas</t>
  </si>
  <si>
    <t>GBARAN Nodal</t>
  </si>
  <si>
    <t>GU 3A</t>
  </si>
  <si>
    <t>EA FOD</t>
  </si>
  <si>
    <t>Gbaran SOS</t>
  </si>
  <si>
    <t>Assa North</t>
  </si>
  <si>
    <t>ANOH</t>
  </si>
  <si>
    <t>NGC</t>
  </si>
  <si>
    <t>36" Forcados Water Disposal Line</t>
  </si>
  <si>
    <t>Iseni Early HU</t>
  </si>
  <si>
    <t>Project slipped to 2017 due to non completion of Escravos Beach NGC station in 2016 due to prolonged community shutdown of site. NAPIMS engaged on 2017 budget requirement.</t>
  </si>
  <si>
    <t xml:space="preserve">NUN RIVER FLB 2017 Project close out/supervision cost estimate. Work to be executed includes: Completion of shoreline protection; Horticulture and tree planting; Review of As-built drawings </t>
  </si>
  <si>
    <t>Claim Settlement as approved by CRB</t>
  </si>
  <si>
    <t>Reduction in NPT and EOT cost as projects is getting close to completion and good efforts to minimize VO/Claims.</t>
  </si>
  <si>
    <t>Variance (PROPOSED Q1 FYLE F$ vs TGT F$0</t>
  </si>
  <si>
    <t>Assa North Total</t>
  </si>
  <si>
    <t>Asset Eng Total</t>
  </si>
  <si>
    <t>FODA Total</t>
  </si>
  <si>
    <t>MCA 2 Total</t>
  </si>
  <si>
    <t>NLNG Total</t>
  </si>
  <si>
    <t>Pipelines/ Corp Matrix/ Civil Total</t>
  </si>
  <si>
    <t>SSAGS Total</t>
  </si>
  <si>
    <t>Capex Total</t>
  </si>
  <si>
    <t>Variance Remarks</t>
  </si>
  <si>
    <t>Team/Funding</t>
  </si>
  <si>
    <t xml:space="preserve">Variance due to ncreased workscope from further deterioration in other sections of the Imo river road due to flooding.  </t>
  </si>
  <si>
    <t>Reduced to level of scope agreed with GM projects</t>
  </si>
  <si>
    <t>Partial re-phasing of FLB scope agreed with GM Projectspost OP16.</t>
  </si>
  <si>
    <t>Budget for activity now with Production finance</t>
  </si>
  <si>
    <t xml:space="preserve">EVACUATION PIPELINE:  Delayed mobilization of Evacuation Line Onshore Leg and accelerated scope from 2016. </t>
  </si>
  <si>
    <t>Cadence Savings Shell Share</t>
  </si>
  <si>
    <t>Cadence Savings 100% JV</t>
  </si>
  <si>
    <t>OGI savings</t>
  </si>
  <si>
    <t>Target by Toyin SS</t>
  </si>
  <si>
    <t>Achieved Target by Toyin SS</t>
  </si>
  <si>
    <t>FX Impact</t>
  </si>
  <si>
    <t>opex</t>
  </si>
  <si>
    <t>Savings per Cost Improvement Staircase SS</t>
  </si>
  <si>
    <t>2017 Re-phasings</t>
  </si>
  <si>
    <t>Total CSD Adjust</t>
  </si>
  <si>
    <t>Savings Initiatives</t>
  </si>
  <si>
    <t>$'m SS</t>
  </si>
  <si>
    <t>Agbada Nag</t>
  </si>
  <si>
    <t>Gbaran Infill</t>
  </si>
  <si>
    <t>Kolocreek to soku</t>
  </si>
  <si>
    <t>Gbaran Nodal</t>
  </si>
  <si>
    <t>OGI Projects</t>
  </si>
  <si>
    <t>NOGI Projects</t>
  </si>
  <si>
    <t>Rephasing to 2018</t>
  </si>
  <si>
    <t>GU 3A - Enwhe</t>
  </si>
  <si>
    <t>Sub-total Savings intiatives</t>
  </si>
  <si>
    <t>Sub-total Rephasing</t>
  </si>
  <si>
    <t>2017 TP CSD Impact</t>
  </si>
  <si>
    <t>Remark</t>
  </si>
  <si>
    <t>SCT: Source compressor package from Chinese plant</t>
  </si>
  <si>
    <t>Application of the re-negotiated contract rates, savings on AGO and scope optimisation of flowlines from 8" to 6".</t>
  </si>
  <si>
    <t>SCT: Reduction of rig rates by $19k per day for wells.</t>
  </si>
  <si>
    <t>EE: Optimisation of brownfield works and contractor manpower resources.</t>
  </si>
  <si>
    <t>EE: Alignment of EPC contractor site deployment with gas availability.</t>
  </si>
  <si>
    <t>Early Production</t>
  </si>
  <si>
    <t xml:space="preserve">Gbaran Infill 6 mths early delivery </t>
  </si>
  <si>
    <t>Sub-total Early delivery</t>
  </si>
  <si>
    <t>work in progress</t>
  </si>
  <si>
    <t>Description</t>
  </si>
  <si>
    <t>Status</t>
  </si>
  <si>
    <t>Reduce site accommodation cost by replacing with portacabins.</t>
  </si>
  <si>
    <t>Release of contingency by proactive management of identified project risks.</t>
  </si>
  <si>
    <t>Focused scope challenge to avoid scope creep.</t>
  </si>
  <si>
    <t xml:space="preserve">Scope optimisation from various warehouses upgrade works, </t>
  </si>
  <si>
    <t>Negotiate award price for evacuation pipeline and continuous saving on owners cost.</t>
  </si>
  <si>
    <t>Re-phasing of Bonny Tank works as per reduced scope.</t>
  </si>
  <si>
    <t>Delayed FID will lead to reduced execution scope in 2017</t>
  </si>
  <si>
    <t>Rephasing of VO settlement planned for 2017 in OP16 but executed in 2016.</t>
  </si>
  <si>
    <t>Capex Reduction Workstream Savings/CSD Template - 2017</t>
  </si>
  <si>
    <t>Sponsor Report (Jan) $'m SS</t>
  </si>
  <si>
    <t>Status (Green- Completed/Red - Uncompleted/Blank - Not Due)</t>
  </si>
  <si>
    <t>Staircase Report (Feb) $'m SS</t>
  </si>
  <si>
    <t>Agbada NAG</t>
  </si>
  <si>
    <r>
      <t xml:space="preserve">EE: Alignment of EPC contractor site deployment with gas availability. </t>
    </r>
    <r>
      <rPr>
        <b/>
        <sz val="11"/>
        <color rgb="FFFF0000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 xml:space="preserve">
1. Keep communities calm                   </t>
    </r>
    <r>
      <rPr>
        <b/>
        <sz val="11"/>
        <color rgb="FFFF0000"/>
        <rFont val="Calibri"/>
        <family val="2"/>
        <scheme val="minor"/>
      </rPr>
      <t>continuous</t>
    </r>
    <r>
      <rPr>
        <sz val="11"/>
        <color theme="1"/>
        <rFont val="Calibri"/>
        <family val="2"/>
        <scheme val="minor"/>
      </rPr>
      <t xml:space="preserve">
2. Resolve flowstation availability.   </t>
    </r>
    <r>
      <rPr>
        <b/>
        <sz val="11"/>
        <color rgb="FFFF0000"/>
        <rFont val="Calibri"/>
        <family val="2"/>
        <scheme val="minor"/>
      </rPr>
      <t>30-05-17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</si>
  <si>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EE: Optimisation of brownfield works and contractor manpower resources. </t>
    </r>
    <r>
      <rPr>
        <b/>
        <sz val="11"/>
        <color rgb="FFFF0000"/>
        <rFont val="Calibri"/>
        <family val="2"/>
        <scheme val="minor"/>
      </rPr>
      <t>Q2</t>
    </r>
  </si>
  <si>
    <r>
      <t xml:space="preserve">Application of the re-negotiated contract rates, savings on AGO and scope optimisation of flowlines from 8" to 6". </t>
    </r>
    <r>
      <rPr>
        <b/>
        <sz val="11"/>
        <color rgb="FFFF0000"/>
        <rFont val="Calibri"/>
        <family val="2"/>
        <scheme val="minor"/>
      </rPr>
      <t>Q4</t>
    </r>
  </si>
  <si>
    <r>
      <t xml:space="preserve">Release of contingency by proactive management of identified project risks. </t>
    </r>
    <r>
      <rPr>
        <b/>
        <sz val="11"/>
        <color rgb="FFFF0000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1. Updated LV to P50 budget in Addendum </t>
    </r>
    <r>
      <rPr>
        <b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00B050"/>
        <rFont val="Calibri"/>
        <family val="2"/>
        <scheme val="minor"/>
      </rPr>
      <t>26-01-17</t>
    </r>
  </si>
  <si>
    <r>
      <t xml:space="preserve">Release of contingency by proactive management of identified project risks. </t>
    </r>
    <r>
      <rPr>
        <b/>
        <sz val="11"/>
        <color rgb="FFFF0000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1. Ensure coating of alternative pipes completed.            31-01-17
</t>
    </r>
    <r>
      <rPr>
        <sz val="11"/>
        <rFont val="Calibri"/>
        <family val="2"/>
        <scheme val="minor"/>
      </rPr>
      <t xml:space="preserve">2. Manage community shut-down to xdays Q1/2 2017.    </t>
    </r>
    <r>
      <rPr>
        <b/>
        <sz val="11"/>
        <color rgb="FFFF0000"/>
        <rFont val="Calibri"/>
        <family val="2"/>
        <scheme val="minor"/>
      </rPr>
      <t>Weekly Review</t>
    </r>
    <r>
      <rPr>
        <sz val="11"/>
        <rFont val="Calibri"/>
        <family val="2"/>
        <scheme val="minor"/>
      </rPr>
      <t xml:space="preserve">
3. Proactively manage security                                                    </t>
    </r>
    <r>
      <rPr>
        <b/>
        <sz val="11"/>
        <color rgb="FFFF0000"/>
        <rFont val="Calibri"/>
        <family val="2"/>
        <scheme val="minor"/>
      </rPr>
      <t>Weekly Review</t>
    </r>
    <r>
      <rPr>
        <sz val="11"/>
        <rFont val="Calibri"/>
        <family val="2"/>
        <scheme val="minor"/>
      </rPr>
      <t xml:space="preserve">
4. Revalidate previous CSRA to confirm savings                                </t>
    </r>
    <r>
      <rPr>
        <b/>
        <sz val="11"/>
        <color rgb="FFFF0000"/>
        <rFont val="Calibri"/>
        <family val="2"/>
        <scheme val="minor"/>
      </rPr>
      <t>28-02-17</t>
    </r>
    <r>
      <rPr>
        <sz val="11"/>
        <rFont val="Calibri"/>
        <family val="2"/>
        <scheme val="minor"/>
      </rPr>
      <t xml:space="preserve">
5. Reduced risk exposure of project NPT &amp; EOT cost in 2017 plan </t>
    </r>
    <r>
      <rPr>
        <b/>
        <sz val="11"/>
        <color rgb="FFFF0000"/>
        <rFont val="Calibri"/>
        <family val="2"/>
        <scheme val="minor"/>
      </rPr>
      <t>Weekly review</t>
    </r>
    <r>
      <rPr>
        <sz val="11"/>
        <rFont val="Calibri"/>
        <family val="2"/>
        <scheme val="minor"/>
      </rPr>
      <t xml:space="preserve">
6. Optimise Taylor Creek shore protection scope                              </t>
    </r>
    <r>
      <rPr>
        <b/>
        <sz val="11"/>
        <color rgb="FFFF0000"/>
        <rFont val="Calibri"/>
        <family val="2"/>
        <scheme val="minor"/>
      </rPr>
      <t>28-02-2017</t>
    </r>
  </si>
  <si>
    <r>
      <t xml:space="preserve">Release of contingency by proactive management of identified project risks. </t>
    </r>
    <r>
      <rPr>
        <b/>
        <sz val="11"/>
        <color rgb="FFFF0000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 xml:space="preserve">
1. Provide funding for Nestoil (AP)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31-Jan-17
</t>
    </r>
    <r>
      <rPr>
        <b/>
        <sz val="11"/>
        <rFont val="Calibri"/>
        <family val="2"/>
        <scheme val="minor"/>
      </rPr>
      <t>2.</t>
    </r>
    <r>
      <rPr>
        <sz val="11"/>
        <rFont val="Calibri"/>
        <family val="2"/>
        <scheme val="minor"/>
      </rPr>
      <t xml:space="preserve"> Pay Alcon/Daewoo within due date</t>
    </r>
    <r>
      <rPr>
        <b/>
        <sz val="11"/>
        <color rgb="FFFF0000"/>
        <rFont val="Calibri"/>
        <family val="2"/>
        <scheme val="minor"/>
      </rPr>
      <t xml:space="preserve">                                                 Weekly
</t>
    </r>
    <r>
      <rPr>
        <sz val="11"/>
        <rFont val="Calibri"/>
        <family val="2"/>
        <scheme val="minor"/>
      </rPr>
      <t xml:space="preserve">3. Resolve acceleration incentive for Daewoo      </t>
    </r>
    <r>
      <rPr>
        <b/>
        <sz val="11"/>
        <color rgb="FFFF0000"/>
        <rFont val="Calibri"/>
        <family val="2"/>
        <scheme val="minor"/>
      </rPr>
      <t xml:space="preserve">                             15-02-17
</t>
    </r>
    <r>
      <rPr>
        <sz val="11"/>
        <rFont val="Calibri"/>
        <family val="2"/>
        <scheme val="minor"/>
      </rPr>
      <t xml:space="preserve">4. Revalidate previous CSRA to confirm savings </t>
    </r>
    <r>
      <rPr>
        <b/>
        <sz val="11"/>
        <color rgb="FFFF0000"/>
        <rFont val="Calibri"/>
        <family val="2"/>
        <scheme val="minor"/>
      </rPr>
      <t xml:space="preserve">                               28-02-17
</t>
    </r>
    <r>
      <rPr>
        <sz val="11"/>
        <rFont val="Calibri"/>
        <family val="2"/>
        <scheme val="minor"/>
      </rPr>
      <t>5. Reduced risk exposure of project NPT &amp; EOT cost in 2017 plan</t>
    </r>
    <r>
      <rPr>
        <b/>
        <sz val="11"/>
        <color rgb="FFFF0000"/>
        <rFont val="Calibri"/>
        <family val="2"/>
        <scheme val="minor"/>
      </rPr>
      <t xml:space="preserve"> Weekly review
</t>
    </r>
    <r>
      <rPr>
        <sz val="11"/>
        <rFont val="Calibri"/>
        <family val="2"/>
        <scheme val="minor"/>
      </rPr>
      <t>6. Additional proposal on competitive scoping of comm/backup gen scope</t>
    </r>
    <r>
      <rPr>
        <b/>
        <sz val="11"/>
        <color rgb="FFFF0000"/>
        <rFont val="Calibri"/>
        <family val="2"/>
        <scheme val="minor"/>
      </rPr>
      <t xml:space="preserve"> 31-01-17</t>
    </r>
  </si>
  <si>
    <r>
      <t xml:space="preserve">Focused scope challenge to avoid scope creep. </t>
    </r>
    <r>
      <rPr>
        <b/>
        <sz val="11"/>
        <color rgb="FFFF0000"/>
        <rFont val="Calibri"/>
        <family val="2"/>
        <scheme val="minor"/>
      </rPr>
      <t>Q4</t>
    </r>
  </si>
  <si>
    <r>
      <t xml:space="preserve">Scope optimisation from various warehouses upgrade works. </t>
    </r>
    <r>
      <rPr>
        <b/>
        <sz val="11"/>
        <color rgb="FFFF0000"/>
        <rFont val="Calibri"/>
        <family val="2"/>
        <scheme val="minor"/>
      </rPr>
      <t>Q4</t>
    </r>
  </si>
  <si>
    <r>
      <t xml:space="preserve">SCT: Reduction of rig rates by $19k per day for wells. </t>
    </r>
    <r>
      <rPr>
        <b/>
        <sz val="11"/>
        <color rgb="FFFF0000"/>
        <rFont val="Calibri"/>
        <family val="2"/>
        <scheme val="minor"/>
      </rPr>
      <t>Q1</t>
    </r>
  </si>
  <si>
    <r>
      <t xml:space="preserve">Negotiate award price for evacuation pipeline and continuous saving on owners cost. </t>
    </r>
    <r>
      <rPr>
        <b/>
        <sz val="11"/>
        <color rgb="FFFF0000"/>
        <rFont val="Calibri"/>
        <family val="2"/>
        <scheme val="minor"/>
      </rPr>
      <t>Q1</t>
    </r>
  </si>
  <si>
    <t>Delayed FID will lead to reduced execution scope in 2017. Q1</t>
  </si>
  <si>
    <t>Rephasing of VO settlement planned for 2017 in OP16 but executed in 2016. Q1</t>
  </si>
  <si>
    <t>Completion of Yokri flowstation is rephased to 2018. Q1</t>
  </si>
  <si>
    <t>OP16 Add Update</t>
  </si>
  <si>
    <t>Total Savings/ CSD Impact</t>
  </si>
  <si>
    <r>
      <rPr>
        <b/>
        <sz val="11"/>
        <color rgb="FF00B050"/>
        <rFont val="Calibri"/>
        <family val="2"/>
        <scheme val="minor"/>
      </rPr>
      <t>1. Re-phasing of Bonny Tank works as per reduced scope. Q1</t>
    </r>
    <r>
      <rPr>
        <sz val="11"/>
        <color theme="1"/>
        <rFont val="Calibri"/>
        <family val="2"/>
        <scheme val="minor"/>
      </rPr>
      <t xml:space="preserve">
</t>
    </r>
  </si>
  <si>
    <t>Milestones</t>
  </si>
  <si>
    <t>Actions from Sponsor's Review</t>
  </si>
  <si>
    <r>
      <t xml:space="preserve">Reduce site accommodation cost by replacing with portacabins. </t>
    </r>
    <r>
      <rPr>
        <b/>
        <sz val="11"/>
        <color rgb="FFFF0000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 xml:space="preserve">
1. </t>
    </r>
    <r>
      <rPr>
        <sz val="11"/>
        <color rgb="FF00B050"/>
        <rFont val="Calibri"/>
        <family val="2"/>
        <scheme val="minor"/>
      </rPr>
      <t xml:space="preserve">Resolve passing valves                    </t>
    </r>
    <r>
      <rPr>
        <b/>
        <sz val="11"/>
        <color rgb="FF00B050"/>
        <rFont val="Calibri"/>
        <family val="2"/>
        <scheme val="minor"/>
      </rPr>
      <t>06-Feb-17</t>
    </r>
    <r>
      <rPr>
        <sz val="11"/>
        <color theme="1"/>
        <rFont val="Calibri"/>
        <family val="2"/>
        <scheme val="minor"/>
      </rPr>
      <t xml:space="preserve">
2. Keep communities calm                  </t>
    </r>
    <r>
      <rPr>
        <b/>
        <sz val="11"/>
        <color rgb="FFFF0000"/>
        <rFont val="Calibri"/>
        <family val="2"/>
        <scheme val="minor"/>
      </rPr>
      <t>Continuous</t>
    </r>
    <r>
      <rPr>
        <sz val="11"/>
        <color theme="1"/>
        <rFont val="Calibri"/>
        <family val="2"/>
        <scheme val="minor"/>
      </rPr>
      <t xml:space="preserve">
3. Resolve DPR approval of permit to introduce hydrocarbon  </t>
    </r>
    <r>
      <rPr>
        <b/>
        <sz val="11"/>
        <color rgb="FFFF0000"/>
        <rFont val="Calibri"/>
        <family val="2"/>
        <scheme val="minor"/>
      </rPr>
      <t>28-Feb-17</t>
    </r>
    <r>
      <rPr>
        <sz val="11"/>
        <color theme="1"/>
        <rFont val="Calibri"/>
        <family val="2"/>
        <scheme val="minor"/>
      </rPr>
      <t xml:space="preserve">
</t>
    </r>
  </si>
  <si>
    <t>A. Major Projects</t>
  </si>
  <si>
    <t>B. Portfolio Projects</t>
  </si>
  <si>
    <t>C. Wells</t>
  </si>
  <si>
    <t>D. Rephasing to 2018</t>
  </si>
  <si>
    <t>E. Early Production</t>
  </si>
  <si>
    <t>Sub-total SavingsMajor Project</t>
  </si>
  <si>
    <t>Sub-total Savings Portfolio Project</t>
  </si>
  <si>
    <t>Sub-total Savings Wells</t>
  </si>
  <si>
    <r>
      <t xml:space="preserve">1. Capture in the milestones, completion of utility commissioning in end March: </t>
    </r>
    <r>
      <rPr>
        <b/>
        <sz val="11"/>
        <color rgb="FFFF0000"/>
        <rFont val="Calibri"/>
        <family val="2"/>
        <scheme val="minor"/>
      </rPr>
      <t>Ranti - 22 Feb</t>
    </r>
  </si>
  <si>
    <r>
      <t xml:space="preserve">1. Update Otmara savings to include OP16 re-baseline ($2.1m)
2. Create an action on resolution of outstanding VOs. Secure negotiation mandate for SAIPEM by next week  and Daewoo in Q2: </t>
    </r>
    <r>
      <rPr>
        <b/>
        <sz val="11"/>
        <color rgb="FFFF0000"/>
        <rFont val="Calibri"/>
        <family val="2"/>
        <scheme val="minor"/>
      </rPr>
      <t xml:space="preserve">Ranti - 27 Feb
</t>
    </r>
    <r>
      <rPr>
        <sz val="11"/>
        <rFont val="Calibri"/>
        <family val="2"/>
        <scheme val="minor"/>
      </rPr>
      <t>3.  The CADENCE Workstream available to support with  “deep-dives” when required</t>
    </r>
  </si>
  <si>
    <r>
      <t xml:space="preserve">1. Check for possible &gt;$2mln cost avoidance for 2017: </t>
    </r>
    <r>
      <rPr>
        <b/>
        <sz val="11"/>
        <color rgb="FFFF0000"/>
        <rFont val="Calibri"/>
        <family val="2"/>
        <scheme val="minor"/>
      </rPr>
      <t xml:space="preserve">Princewill/Ranti - 27 Feb
</t>
    </r>
    <r>
      <rPr>
        <sz val="11"/>
        <rFont val="Calibri"/>
        <family val="2"/>
        <scheme val="minor"/>
      </rPr>
      <t xml:space="preserve">2. Advise actions that will deliver on NAPIMS proposed budget: </t>
    </r>
    <r>
      <rPr>
        <b/>
        <sz val="11"/>
        <color rgb="FFFF0000"/>
        <rFont val="Calibri"/>
        <family val="2"/>
        <scheme val="minor"/>
      </rPr>
      <t>Ranti - 28 Feb</t>
    </r>
  </si>
  <si>
    <r>
      <t xml:space="preserve">1. Comment on Yokri being the contributor for $45mln (100%) not valid. Update. </t>
    </r>
    <r>
      <rPr>
        <b/>
        <sz val="11"/>
        <color rgb="FFFF0000"/>
        <rFont val="Calibri"/>
        <family val="2"/>
        <scheme val="minor"/>
      </rPr>
      <t>Muntaka/Princewill - 17 Feb</t>
    </r>
    <r>
      <rPr>
        <sz val="11"/>
        <color theme="1"/>
        <rFont val="Calibri"/>
        <family val="2"/>
        <scheme val="minor"/>
      </rPr>
      <t xml:space="preserve">
2. Advise how to use NAPIMS proposed budget to execute Odidi loop line in 2017. Consider deferring some offshore scope to accommodate Odidi loop line:</t>
    </r>
    <r>
      <rPr>
        <b/>
        <sz val="11"/>
        <color rgb="FFFF0000"/>
        <rFont val="Calibri"/>
        <family val="2"/>
        <scheme val="minor"/>
      </rPr>
      <t xml:space="preserve"> Muntaka - 28 Feb</t>
    </r>
    <r>
      <rPr>
        <sz val="11"/>
        <color theme="1"/>
        <rFont val="Calibri"/>
        <family val="2"/>
        <scheme val="minor"/>
      </rPr>
      <t xml:space="preserve">
3. Revisit the $45mln re-phasing (it could be more)</t>
    </r>
    <r>
      <rPr>
        <b/>
        <sz val="11"/>
        <color rgb="FFFF0000"/>
        <rFont val="Calibri"/>
        <family val="2"/>
        <scheme val="minor"/>
      </rPr>
      <t>: Muntaka/Princewill - 28 Feb</t>
    </r>
    <r>
      <rPr>
        <sz val="11"/>
        <color theme="1"/>
        <rFont val="Calibri"/>
        <family val="2"/>
        <scheme val="minor"/>
      </rPr>
      <t xml:space="preserve">
4. Include FYIP critical milestones (leading indicators)  in the CAPEX reduction tracker  to enhance the chances of achieving OSD:</t>
    </r>
    <r>
      <rPr>
        <b/>
        <sz val="11"/>
        <color rgb="FFFF0000"/>
        <rFont val="Calibri"/>
        <family val="2"/>
        <scheme val="minor"/>
      </rPr>
      <t xml:space="preserve"> Muntaka/Dumga - 28 Feb</t>
    </r>
  </si>
  <si>
    <r>
      <t xml:space="preserve">1. $30mln (SS) banked from contingency. Balance contingency of $39mln (100%) to be retained to cater for:
(a) Emerging exploration issue at Epu
(b) Koma2 balance activities
2. Confer with exploration on status of emerging well issue at Epu: </t>
    </r>
    <r>
      <rPr>
        <b/>
        <sz val="11"/>
        <color rgb="FFFF0000"/>
        <rFont val="Calibri"/>
        <family val="2"/>
        <scheme val="minor"/>
      </rPr>
      <t>Afo/Chikezie - 22 Feb</t>
    </r>
    <r>
      <rPr>
        <sz val="11"/>
        <color theme="1"/>
        <rFont val="Calibri"/>
        <family val="2"/>
        <scheme val="minor"/>
      </rPr>
      <t xml:space="preserve">
3. Establish maximum community shutdown duration threshold beyond which the project (Koma &amp; Epu) gets impacted: </t>
    </r>
    <r>
      <rPr>
        <b/>
        <sz val="11"/>
        <color rgb="FFFF0000"/>
        <rFont val="Calibri"/>
        <family val="2"/>
        <scheme val="minor"/>
      </rPr>
      <t>Afo/Chikezie - 23 Feb</t>
    </r>
  </si>
  <si>
    <r>
      <t>1. Bank $15mln (SS) from contingency . Review for more savings (say, additional $3mln) by end of March’17 from balance contingency of $36mln (100%): P</t>
    </r>
    <r>
      <rPr>
        <b/>
        <sz val="11"/>
        <color rgb="FFFF0000"/>
        <rFont val="Calibri"/>
        <family val="2"/>
        <scheme val="minor"/>
      </rPr>
      <t>rincewill - 30 March</t>
    </r>
    <r>
      <rPr>
        <sz val="11"/>
        <color theme="1"/>
        <rFont val="Calibri"/>
        <family val="2"/>
        <scheme val="minor"/>
      </rPr>
      <t xml:space="preserve">
2. Advance payment to contractor will facilitate uninterrupted work at site. Secure MTB approval for running approval for advance payment:</t>
    </r>
    <r>
      <rPr>
        <b/>
        <sz val="11"/>
        <color rgb="FFFF0000"/>
        <rFont val="Calibri"/>
        <family val="2"/>
        <scheme val="minor"/>
      </rPr>
      <t xml:space="preserve"> Lanre - 20 Feb</t>
    </r>
    <r>
      <rPr>
        <sz val="11"/>
        <color theme="1"/>
        <rFont val="Calibri"/>
        <family val="2"/>
        <scheme val="minor"/>
      </rPr>
      <t xml:space="preserve">
3. SE to be checked weekly to ensure not lagging.: </t>
    </r>
    <r>
      <rPr>
        <b/>
        <sz val="11"/>
        <color rgb="FFFF0000"/>
        <rFont val="Calibri"/>
        <family val="2"/>
        <scheme val="minor"/>
      </rPr>
      <t>Lanre/Princewill - Continuous</t>
    </r>
    <r>
      <rPr>
        <sz val="11"/>
        <color theme="1"/>
        <rFont val="Calibri"/>
        <family val="2"/>
        <scheme val="minor"/>
      </rPr>
      <t xml:space="preserve">
4. Establish maximum community shutdown duration threshold beyond which the project gets impacted: </t>
    </r>
    <r>
      <rPr>
        <b/>
        <sz val="11"/>
        <color rgb="FFFF0000"/>
        <rFont val="Calibri"/>
        <family val="2"/>
        <scheme val="minor"/>
      </rPr>
      <t>Lanre - 23 Feb</t>
    </r>
  </si>
  <si>
    <r>
      <t xml:space="preserve">1. Banked $2.2 (SS) from de-scoping of tank rehab. </t>
    </r>
    <r>
      <rPr>
        <b/>
        <sz val="11"/>
        <color rgb="FFFF0000"/>
        <rFont val="Calibri"/>
        <family val="2"/>
        <scheme val="minor"/>
      </rPr>
      <t xml:space="preserve"> Info</t>
    </r>
    <r>
      <rPr>
        <sz val="11"/>
        <color theme="1"/>
        <rFont val="Calibri"/>
        <family val="2"/>
        <scheme val="minor"/>
      </rPr>
      <t xml:space="preserve">
2.</t>
    </r>
    <r>
      <rPr>
        <b/>
        <sz val="11"/>
        <color rgb="FF00B050"/>
        <rFont val="Calibri"/>
        <family val="2"/>
        <scheme val="minor"/>
      </rPr>
      <t xml:space="preserve"> Statement on DPR not relevant for the savings – update comment: Cyril - 17 Feb</t>
    </r>
  </si>
  <si>
    <r>
      <t xml:space="preserve">1. Decompose components of the NOGI/OGI savings and discuss separately in NOGI/OGI forum. Report/capture output in CAPEX savings tracker: </t>
    </r>
    <r>
      <rPr>
        <b/>
        <sz val="11"/>
        <color rgb="FFFF0000"/>
        <rFont val="Calibri"/>
        <family val="2"/>
        <scheme val="minor"/>
      </rPr>
      <t>Dumga/Cyril - 24 Feb</t>
    </r>
  </si>
  <si>
    <r>
      <t>1. An emerging issue on possible need for 2 new wells at circa $60mln(100%): Discuss and capture</t>
    </r>
    <r>
      <rPr>
        <b/>
        <sz val="11"/>
        <color rgb="FFFF0000"/>
        <rFont val="Calibri"/>
        <family val="2"/>
        <scheme val="minor"/>
      </rPr>
      <t>.Chris/Cyril - 27 Feb</t>
    </r>
  </si>
  <si>
    <t>Summary of Capex Reduction Work Stream</t>
  </si>
  <si>
    <t>Description $'mln</t>
  </si>
  <si>
    <t>Banked @ Q1 LE Review</t>
  </si>
  <si>
    <t>In Progress @ 17th Feb.</t>
  </si>
  <si>
    <t>New opportunities</t>
  </si>
  <si>
    <t>Total</t>
  </si>
  <si>
    <t>Major Project</t>
  </si>
  <si>
    <t>Portfolio Projects</t>
  </si>
  <si>
    <t>Wells</t>
  </si>
  <si>
    <t>Rephased to 2018</t>
  </si>
  <si>
    <t>Early Production (WIP)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</si>
</sst>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141">
    <xf numFmtId="0" fontId="0" fillId="0" borderId="0" xfId="0"/>
    <xf numFmtId="0" fontId="5" fillId="0" borderId="0" xfId="0" applyFont="1"/>
    <xf numFmtId="38" fontId="5" fillId="0" borderId="0" xfId="0" applyNumberFormat="1" applyFont="1"/>
    <xf numFmtId="0" fontId="6" fillId="4" borderId="1" xfId="0" applyFont="1" applyFill="1" applyBorder="1" applyAlignment="1">
      <alignment wrapText="1"/>
    </xf>
    <xf numFmtId="38" fontId="6" fillId="4" borderId="1" xfId="0" applyNumberFormat="1" applyFont="1" applyFill="1" applyBorder="1" applyAlignment="1">
      <alignment horizontal="center" wrapText="1"/>
    </xf>
    <xf numFmtId="38" fontId="6" fillId="4" borderId="2" xfId="0" applyNumberFormat="1" applyFont="1" applyFill="1" applyBorder="1" applyAlignment="1">
      <alignment horizontal="center" wrapText="1"/>
    </xf>
    <xf numFmtId="38" fontId="6" fillId="4" borderId="3" xfId="0" applyNumberFormat="1" applyFont="1" applyFill="1" applyBorder="1" applyAlignment="1">
      <alignment horizontal="center" wrapText="1"/>
    </xf>
    <xf numFmtId="0" fontId="6" fillId="0" borderId="1" xfId="0" applyFont="1" applyBorder="1"/>
    <xf numFmtId="38" fontId="6" fillId="0" borderId="1" xfId="0" applyNumberFormat="1" applyFont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0" fontId="6" fillId="0" borderId="4" xfId="0" applyFont="1" applyBorder="1"/>
    <xf numFmtId="38" fontId="6" fillId="0" borderId="5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6" fillId="4" borderId="8" xfId="0" applyFont="1" applyFill="1" applyBorder="1"/>
    <xf numFmtId="0" fontId="6" fillId="0" borderId="8" xfId="0" applyFont="1" applyBorder="1"/>
    <xf numFmtId="0" fontId="6" fillId="2" borderId="8" xfId="0" applyFont="1" applyFill="1" applyBorder="1"/>
    <xf numFmtId="0" fontId="6" fillId="0" borderId="9" xfId="0" applyFont="1" applyBorder="1"/>
    <xf numFmtId="0" fontId="6" fillId="4" borderId="6" xfId="0" applyFont="1" applyFill="1" applyBorder="1"/>
    <xf numFmtId="0" fontId="6" fillId="4" borderId="7" xfId="0" applyFont="1" applyFill="1" applyBorder="1"/>
    <xf numFmtId="38" fontId="6" fillId="4" borderId="6" xfId="0" applyNumberFormat="1" applyFont="1" applyFill="1" applyBorder="1" applyAlignment="1">
      <alignment horizontal="center"/>
    </xf>
    <xf numFmtId="0" fontId="6" fillId="0" borderId="9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5" fillId="0" borderId="0" xfId="0" applyFont="1" applyAlignment="1">
      <alignment wrapText="1"/>
    </xf>
    <xf numFmtId="43" fontId="5" fillId="0" borderId="0" xfId="1" applyFont="1"/>
    <xf numFmtId="43" fontId="5" fillId="0" borderId="0" xfId="1" applyFont="1" applyAlignment="1">
      <alignment wrapText="1"/>
    </xf>
    <xf numFmtId="43" fontId="5" fillId="2" borderId="0" xfId="1" applyFont="1" applyFill="1"/>
    <xf numFmtId="43" fontId="5" fillId="5" borderId="0" xfId="1" applyFont="1" applyFill="1"/>
    <xf numFmtId="0" fontId="5" fillId="3" borderId="0" xfId="0" applyFont="1" applyFill="1" applyAlignment="1">
      <alignment wrapText="1"/>
    </xf>
    <xf numFmtId="0" fontId="5" fillId="3" borderId="0" xfId="0" applyFont="1" applyFill="1"/>
    <xf numFmtId="43" fontId="5" fillId="0" borderId="0" xfId="0" applyNumberFormat="1" applyFont="1"/>
    <xf numFmtId="0" fontId="5" fillId="6" borderId="0" xfId="0" applyFont="1" applyFill="1"/>
    <xf numFmtId="0" fontId="6" fillId="6" borderId="8" xfId="0" applyFont="1" applyFill="1" applyBorder="1"/>
    <xf numFmtId="43" fontId="5" fillId="6" borderId="0" xfId="1" applyFont="1" applyFill="1"/>
    <xf numFmtId="0" fontId="5" fillId="7" borderId="0" xfId="0" applyFont="1" applyFill="1"/>
    <xf numFmtId="0" fontId="6" fillId="6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43" fontId="0" fillId="0" borderId="0" xfId="1" applyFont="1"/>
    <xf numFmtId="43" fontId="0" fillId="0" borderId="10" xfId="1" applyFont="1" applyBorder="1"/>
    <xf numFmtId="0" fontId="0" fillId="0" borderId="10" xfId="0" applyBorder="1"/>
    <xf numFmtId="43" fontId="2" fillId="8" borderId="10" xfId="1" applyFont="1" applyFill="1" applyBorder="1"/>
    <xf numFmtId="43" fontId="2" fillId="8" borderId="10" xfId="0" applyNumberFormat="1" applyFont="1" applyFill="1" applyBorder="1"/>
    <xf numFmtId="43" fontId="2" fillId="9" borderId="10" xfId="1" applyFont="1" applyFill="1" applyBorder="1"/>
    <xf numFmtId="43" fontId="2" fillId="9" borderId="10" xfId="0" applyNumberFormat="1" applyFont="1" applyFill="1" applyBorder="1"/>
    <xf numFmtId="0" fontId="2" fillId="2" borderId="11" xfId="0" applyFont="1" applyFill="1" applyBorder="1"/>
    <xf numFmtId="43" fontId="2" fillId="2" borderId="12" xfId="1" applyFont="1" applyFill="1" applyBorder="1"/>
    <xf numFmtId="0" fontId="2" fillId="11" borderId="14" xfId="0" applyFont="1" applyFill="1" applyBorder="1"/>
    <xf numFmtId="0" fontId="0" fillId="0" borderId="15" xfId="0" applyBorder="1"/>
    <xf numFmtId="0" fontId="0" fillId="0" borderId="14" xfId="0" applyBorder="1"/>
    <xf numFmtId="0" fontId="2" fillId="8" borderId="14" xfId="0" applyFont="1" applyFill="1" applyBorder="1"/>
    <xf numFmtId="0" fontId="0" fillId="0" borderId="17" xfId="0" applyBorder="1"/>
    <xf numFmtId="0" fontId="0" fillId="0" borderId="18" xfId="0" applyBorder="1"/>
    <xf numFmtId="0" fontId="2" fillId="2" borderId="13" xfId="0" applyFont="1" applyFill="1" applyBorder="1"/>
    <xf numFmtId="0" fontId="0" fillId="0" borderId="15" xfId="0" applyBorder="1" applyAlignment="1">
      <alignment wrapText="1"/>
    </xf>
    <xf numFmtId="0" fontId="2" fillId="9" borderId="14" xfId="0" applyFont="1" applyFill="1" applyBorder="1"/>
    <xf numFmtId="0" fontId="0" fillId="0" borderId="16" xfId="0" applyBorder="1"/>
    <xf numFmtId="43" fontId="0" fillId="0" borderId="17" xfId="1" applyFont="1" applyBorder="1"/>
    <xf numFmtId="43" fontId="2" fillId="2" borderId="19" xfId="1" applyFont="1" applyFill="1" applyBorder="1"/>
    <xf numFmtId="0" fontId="0" fillId="0" borderId="20" xfId="0" applyBorder="1"/>
    <xf numFmtId="43" fontId="2" fillId="8" borderId="20" xfId="1" applyFont="1" applyFill="1" applyBorder="1"/>
    <xf numFmtId="43" fontId="2" fillId="8" borderId="20" xfId="0" applyNumberFormat="1" applyFont="1" applyFill="1" applyBorder="1"/>
    <xf numFmtId="43" fontId="2" fillId="9" borderId="20" xfId="0" applyNumberFormat="1" applyFont="1" applyFill="1" applyBorder="1"/>
    <xf numFmtId="0" fontId="0" fillId="0" borderId="21" xfId="0" applyBorder="1"/>
    <xf numFmtId="43" fontId="0" fillId="10" borderId="10" xfId="1" applyFont="1" applyFill="1" applyBorder="1"/>
    <xf numFmtId="0" fontId="2" fillId="10" borderId="14" xfId="0" applyFont="1" applyFill="1" applyBorder="1"/>
    <xf numFmtId="0" fontId="0" fillId="10" borderId="0" xfId="0" applyFill="1"/>
    <xf numFmtId="43" fontId="2" fillId="2" borderId="19" xfId="1" applyFont="1" applyFill="1" applyBorder="1" applyAlignment="1">
      <alignment wrapText="1"/>
    </xf>
    <xf numFmtId="43" fontId="2" fillId="2" borderId="12" xfId="1" applyFont="1" applyFill="1" applyBorder="1" applyAlignment="1">
      <alignment wrapText="1"/>
    </xf>
    <xf numFmtId="0" fontId="0" fillId="0" borderId="20" xfId="0" applyBorder="1" applyAlignment="1">
      <alignment wrapText="1"/>
    </xf>
    <xf numFmtId="43" fontId="0" fillId="0" borderId="10" xfId="1" applyFont="1" applyBorder="1" applyAlignment="1">
      <alignment wrapText="1"/>
    </xf>
    <xf numFmtId="43" fontId="0" fillId="10" borderId="10" xfId="1" applyFont="1" applyFill="1" applyBorder="1" applyAlignment="1">
      <alignment wrapText="1"/>
    </xf>
    <xf numFmtId="43" fontId="2" fillId="8" borderId="10" xfId="1" applyFont="1" applyFill="1" applyBorder="1" applyAlignment="1">
      <alignment wrapText="1"/>
    </xf>
    <xf numFmtId="0" fontId="0" fillId="0" borderId="10" xfId="0" applyBorder="1" applyAlignment="1">
      <alignment wrapText="1"/>
    </xf>
    <xf numFmtId="43" fontId="2" fillId="8" borderId="20" xfId="0" applyNumberFormat="1" applyFont="1" applyFill="1" applyBorder="1" applyAlignment="1">
      <alignment wrapText="1"/>
    </xf>
    <xf numFmtId="43" fontId="2" fillId="10" borderId="20" xfId="0" applyNumberFormat="1" applyFont="1" applyFill="1" applyBorder="1" applyAlignment="1">
      <alignment wrapText="1"/>
    </xf>
    <xf numFmtId="43" fontId="2" fillId="10" borderId="10" xfId="1" applyFont="1" applyFill="1" applyBorder="1" applyAlignment="1">
      <alignment wrapText="1"/>
    </xf>
    <xf numFmtId="43" fontId="2" fillId="9" borderId="10" xfId="1" applyFont="1" applyFill="1" applyBorder="1" applyAlignment="1">
      <alignment wrapText="1"/>
    </xf>
    <xf numFmtId="0" fontId="0" fillId="0" borderId="21" xfId="0" applyBorder="1" applyAlignment="1">
      <alignment wrapText="1"/>
    </xf>
    <xf numFmtId="43" fontId="0" fillId="0" borderId="17" xfId="1" applyFont="1" applyBorder="1" applyAlignment="1">
      <alignment wrapText="1"/>
    </xf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2" fillId="8" borderId="20" xfId="1" applyFont="1" applyFill="1" applyBorder="1" applyAlignment="1">
      <alignment wrapText="1"/>
    </xf>
    <xf numFmtId="0" fontId="0" fillId="12" borderId="20" xfId="0" applyFill="1" applyBorder="1" applyAlignment="1">
      <alignment wrapText="1"/>
    </xf>
    <xf numFmtId="0" fontId="11" fillId="12" borderId="20" xfId="0" applyFont="1" applyFill="1" applyBorder="1" applyAlignment="1">
      <alignment wrapText="1"/>
    </xf>
    <xf numFmtId="43" fontId="2" fillId="9" borderId="20" xfId="0" applyNumberFormat="1" applyFont="1" applyFill="1" applyBorder="1" applyAlignment="1">
      <alignment wrapText="1"/>
    </xf>
    <xf numFmtId="0" fontId="0" fillId="13" borderId="20" xfId="0" applyFill="1" applyBorder="1" applyAlignment="1">
      <alignment wrapText="1"/>
    </xf>
    <xf numFmtId="43" fontId="0" fillId="0" borderId="20" xfId="1" applyFont="1" applyBorder="1" applyAlignment="1">
      <alignment wrapText="1"/>
    </xf>
    <xf numFmtId="43" fontId="2" fillId="10" borderId="20" xfId="1" applyFont="1" applyFill="1" applyBorder="1" applyAlignment="1">
      <alignment wrapText="1"/>
    </xf>
    <xf numFmtId="43" fontId="0" fillId="0" borderId="21" xfId="1" applyFont="1" applyBorder="1" applyAlignment="1">
      <alignment wrapText="1"/>
    </xf>
    <xf numFmtId="43" fontId="2" fillId="4" borderId="19" xfId="1" applyFont="1" applyFill="1" applyBorder="1" applyAlignment="1">
      <alignment wrapText="1"/>
    </xf>
    <xf numFmtId="43" fontId="2" fillId="12" borderId="19" xfId="1" applyFont="1" applyFill="1" applyBorder="1" applyAlignment="1">
      <alignment wrapText="1"/>
    </xf>
    <xf numFmtId="0" fontId="8" fillId="0" borderId="22" xfId="0" applyFon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11" borderId="20" xfId="0" applyFill="1" applyBorder="1" applyAlignment="1">
      <alignment wrapText="1"/>
    </xf>
    <xf numFmtId="43" fontId="0" fillId="11" borderId="10" xfId="1" applyFont="1" applyFill="1" applyBorder="1" applyAlignment="1">
      <alignment wrapText="1"/>
    </xf>
    <xf numFmtId="43" fontId="0" fillId="11" borderId="20" xfId="1" applyFont="1" applyFill="1" applyBorder="1" applyAlignment="1">
      <alignment wrapText="1"/>
    </xf>
    <xf numFmtId="0" fontId="0" fillId="11" borderId="20" xfId="0" applyFill="1" applyBorder="1"/>
    <xf numFmtId="0" fontId="0" fillId="11" borderId="10" xfId="0" applyFill="1" applyBorder="1" applyAlignment="1">
      <alignment wrapText="1"/>
    </xf>
    <xf numFmtId="43" fontId="2" fillId="14" borderId="10" xfId="1" applyFont="1" applyFill="1" applyBorder="1" applyAlignment="1">
      <alignment wrapText="1"/>
    </xf>
    <xf numFmtId="0" fontId="0" fillId="14" borderId="20" xfId="0" applyFill="1" applyBorder="1" applyAlignment="1">
      <alignment wrapText="1"/>
    </xf>
    <xf numFmtId="43" fontId="2" fillId="14" borderId="20" xfId="0" applyNumberFormat="1" applyFont="1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2" fillId="2" borderId="13" xfId="0" applyFont="1" applyFill="1" applyBorder="1" applyAlignment="1">
      <alignment horizontal="center" wrapText="1"/>
    </xf>
    <xf numFmtId="0" fontId="0" fillId="11" borderId="15" xfId="0" applyFill="1" applyBorder="1"/>
    <xf numFmtId="43" fontId="0" fillId="0" borderId="0" xfId="1" applyFont="1" applyBorder="1" applyAlignment="1">
      <alignment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vertical="top"/>
    </xf>
    <xf numFmtId="0" fontId="0" fillId="14" borderId="15" xfId="0" applyFill="1" applyBorder="1" applyAlignment="1">
      <alignment vertical="top"/>
    </xf>
    <xf numFmtId="0" fontId="0" fillId="11" borderId="15" xfId="0" applyFill="1" applyBorder="1" applyAlignment="1">
      <alignment vertical="top"/>
    </xf>
    <xf numFmtId="0" fontId="0" fillId="10" borderId="15" xfId="0" applyFill="1" applyBorder="1" applyAlignment="1">
      <alignment vertical="top"/>
    </xf>
    <xf numFmtId="0" fontId="0" fillId="9" borderId="15" xfId="0" applyFill="1" applyBorder="1" applyAlignment="1">
      <alignment vertical="top"/>
    </xf>
    <xf numFmtId="0" fontId="0" fillId="0" borderId="20" xfId="0" applyBorder="1" applyAlignment="1">
      <alignment vertical="top" wrapText="1"/>
    </xf>
    <xf numFmtId="0" fontId="0" fillId="14" borderId="20" xfId="0" applyFill="1" applyBorder="1" applyAlignment="1">
      <alignment vertical="top"/>
    </xf>
    <xf numFmtId="0" fontId="0" fillId="11" borderId="20" xfId="0" applyFill="1" applyBorder="1" applyAlignment="1">
      <alignment vertical="top"/>
    </xf>
    <xf numFmtId="0" fontId="0" fillId="0" borderId="20" xfId="0" applyBorder="1" applyAlignment="1">
      <alignment vertical="top"/>
    </xf>
    <xf numFmtId="0" fontId="9" fillId="0" borderId="20" xfId="0" applyFont="1" applyBorder="1" applyAlignment="1">
      <alignment vertical="top"/>
    </xf>
    <xf numFmtId="0" fontId="10" fillId="0" borderId="20" xfId="0" applyFont="1" applyBorder="1" applyAlignment="1">
      <alignment vertical="top"/>
    </xf>
    <xf numFmtId="0" fontId="0" fillId="10" borderId="20" xfId="0" applyFill="1" applyBorder="1" applyAlignment="1">
      <alignment vertical="top"/>
    </xf>
    <xf numFmtId="0" fontId="0" fillId="9" borderId="20" xfId="0" applyFill="1" applyBorder="1" applyAlignment="1">
      <alignment vertical="top"/>
    </xf>
    <xf numFmtId="0" fontId="10" fillId="0" borderId="14" xfId="0" applyFont="1" applyBorder="1"/>
    <xf numFmtId="0" fontId="2" fillId="8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 wrapText="1"/>
    </xf>
    <xf numFmtId="0" fontId="13" fillId="2" borderId="19" xfId="0" applyFont="1" applyFill="1" applyBorder="1" applyAlignment="1">
      <alignment horizontal="center" wrapText="1"/>
    </xf>
    <xf numFmtId="0" fontId="13" fillId="2" borderId="13" xfId="0" applyFont="1" applyFill="1" applyBorder="1" applyAlignment="1">
      <alignment horizontal="center"/>
    </xf>
    <xf numFmtId="0" fontId="14" fillId="0" borderId="14" xfId="0" applyFont="1" applyBorder="1"/>
    <xf numFmtId="43" fontId="14" fillId="0" borderId="10" xfId="1" applyFont="1" applyBorder="1"/>
    <xf numFmtId="43" fontId="14" fillId="0" borderId="20" xfId="1" applyFont="1" applyBorder="1"/>
    <xf numFmtId="43" fontId="14" fillId="0" borderId="15" xfId="1" applyFont="1" applyBorder="1"/>
    <xf numFmtId="0" fontId="15" fillId="3" borderId="16" xfId="0" applyFont="1" applyFill="1" applyBorder="1"/>
    <xf numFmtId="43" fontId="15" fillId="3" borderId="17" xfId="1" applyFont="1" applyFill="1" applyBorder="1"/>
    <xf numFmtId="43" fontId="15" fillId="3" borderId="21" xfId="1" applyFont="1" applyFill="1" applyBorder="1"/>
    <xf numFmtId="43" fontId="15" fillId="3" borderId="18" xfId="1" applyFont="1" applyFill="1" applyBorder="1"/>
  </cellXfs>
  <cellStyles count="5">
    <cellStyle name="Comma" xfId="1" builtinId="3"/>
    <cellStyle name="Comma 2" xfId="2"/>
    <cellStyle name="Comma 2 2" xfId="3"/>
    <cellStyle name="Normal" xfId="0" builtinId="0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zoh.onyemeh.AFRICA-ME\AppData\Local\Microsoft\Windows\Temporary%20Internet%20Files\Content.Outlook\9I342MTF\Q1%20LE%20Cadence%20File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"/>
      <sheetName val="Cadence smry"/>
      <sheetName val="cadence smry2"/>
      <sheetName val="summary"/>
    </sheetNames>
    <sheetDataSet>
      <sheetData sheetId="0"/>
      <sheetData sheetId="1"/>
      <sheetData sheetId="2">
        <row r="13">
          <cell r="F13">
            <v>-56.650000000000006</v>
          </cell>
        </row>
        <row r="19">
          <cell r="F19">
            <v>-5.2</v>
          </cell>
        </row>
        <row r="28">
          <cell r="F28">
            <v>-2.4</v>
          </cell>
        </row>
        <row r="34">
          <cell r="F34">
            <v>-30.782399999999999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62"/>
  <sheetViews>
    <sheetView zoomScale="70" zoomScaleNormal="7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C40" activeCellId="1" sqref="C33 C40"/>
    </sheetView>
  </sheetViews>
  <sheetFormatPr defaultColWidth="9.109375" defaultRowHeight="15.6" x14ac:dyDescent="0.3"/>
  <cols>
    <col min="1" max="1" width="31.5546875" style="1" bestFit="1" customWidth="1"/>
    <col min="2" max="2" width="32" style="1" bestFit="1" customWidth="1"/>
    <col min="3" max="6" width="19.6640625" style="2" customWidth="1"/>
    <col min="7" max="7" width="54.6640625" style="1" customWidth="1"/>
    <col min="8" max="8" width="9.109375" style="1"/>
    <col min="9" max="9" width="11.44140625" style="26" customWidth="1"/>
    <col min="10" max="10" width="14.88671875" style="1" bestFit="1" customWidth="1"/>
    <col min="11" max="12" width="9.109375" style="1"/>
    <col min="13" max="13" width="10.44140625" style="31" customWidth="1"/>
    <col min="14" max="14" width="11.88671875" style="1" customWidth="1"/>
    <col min="15" max="15" width="17.88671875" style="33" customWidth="1"/>
    <col min="16" max="16" width="16.33203125" style="1" customWidth="1"/>
    <col min="17" max="18" width="9.109375" style="1"/>
    <col min="19" max="19" width="17.44140625" style="1" bestFit="1" customWidth="1"/>
    <col min="20" max="16384" width="9.109375" style="1"/>
  </cols>
  <sheetData>
    <row r="2" spans="1:17" ht="47.25" customHeight="1" x14ac:dyDescent="0.25">
      <c r="A2" s="3" t="s">
        <v>69</v>
      </c>
      <c r="B2" s="16" t="s">
        <v>6</v>
      </c>
      <c r="C2" s="4" t="s">
        <v>3</v>
      </c>
      <c r="D2" s="5" t="s">
        <v>5</v>
      </c>
      <c r="E2" s="5" t="s">
        <v>4</v>
      </c>
      <c r="F2" s="6" t="s">
        <v>59</v>
      </c>
      <c r="G2" s="16" t="s">
        <v>68</v>
      </c>
      <c r="I2" s="27" t="s">
        <v>76</v>
      </c>
      <c r="J2" s="25" t="s">
        <v>75</v>
      </c>
      <c r="L2" s="25" t="s">
        <v>78</v>
      </c>
      <c r="M2" s="30" t="s">
        <v>79</v>
      </c>
      <c r="O2" s="37" t="s">
        <v>82</v>
      </c>
      <c r="P2" s="38" t="s">
        <v>83</v>
      </c>
      <c r="Q2" s="25" t="s">
        <v>84</v>
      </c>
    </row>
    <row r="3" spans="1:17" ht="15.75" x14ac:dyDescent="0.25">
      <c r="A3" s="7" t="s">
        <v>50</v>
      </c>
      <c r="B3" s="17" t="s">
        <v>51</v>
      </c>
      <c r="C3" s="8">
        <v>64165999.999999993</v>
      </c>
      <c r="D3" s="9">
        <v>64165999.999999993</v>
      </c>
      <c r="E3" s="9">
        <v>153393050.45029438</v>
      </c>
      <c r="F3" s="10">
        <f>D3-C3</f>
        <v>0</v>
      </c>
      <c r="G3" s="17"/>
      <c r="I3" s="26">
        <f>(D3-C3)/1000000</f>
        <v>0</v>
      </c>
      <c r="J3" s="26">
        <f t="shared" ref="J3" si="0">I3*0.3</f>
        <v>0</v>
      </c>
      <c r="O3" s="33">
        <v>0</v>
      </c>
      <c r="Q3" s="1">
        <f t="shared" ref="Q3:Q42" si="1">P3+O3</f>
        <v>0</v>
      </c>
    </row>
    <row r="4" spans="1:17" ht="15.75" x14ac:dyDescent="0.25">
      <c r="A4" s="14" t="s">
        <v>60</v>
      </c>
      <c r="B4" s="18"/>
      <c r="C4" s="15">
        <f>SUM(C3)</f>
        <v>64165999.999999993</v>
      </c>
      <c r="D4" s="15">
        <f t="shared" ref="D4:F4" si="2">SUM(D3)</f>
        <v>64165999.999999993</v>
      </c>
      <c r="E4" s="15">
        <f t="shared" si="2"/>
        <v>153393050.45029438</v>
      </c>
      <c r="F4" s="15">
        <f t="shared" si="2"/>
        <v>0</v>
      </c>
      <c r="G4" s="18"/>
      <c r="H4" s="18"/>
      <c r="I4" s="18"/>
      <c r="J4" s="18"/>
      <c r="K4" s="18"/>
      <c r="L4" s="18"/>
      <c r="M4" s="18"/>
      <c r="N4" s="18"/>
      <c r="O4" s="34"/>
      <c r="P4" s="34"/>
      <c r="Q4" s="34"/>
    </row>
    <row r="5" spans="1:17" ht="15.75" x14ac:dyDescent="0.25">
      <c r="A5" s="7" t="s">
        <v>11</v>
      </c>
      <c r="B5" s="17" t="s">
        <v>24</v>
      </c>
      <c r="C5" s="8">
        <v>17550000</v>
      </c>
      <c r="D5" s="9">
        <v>10250000</v>
      </c>
      <c r="E5" s="9">
        <v>17684482.758620691</v>
      </c>
      <c r="F5" s="10">
        <f t="shared" ref="F5:F18" si="3">D5-C5</f>
        <v>-7300000</v>
      </c>
      <c r="G5" s="17" t="s">
        <v>71</v>
      </c>
      <c r="I5" s="26">
        <f t="shared" ref="I5:I57" si="4">(D5-C5)/1000000</f>
        <v>-7.3</v>
      </c>
      <c r="J5" s="26">
        <f>I5*0.3</f>
        <v>-2.19</v>
      </c>
      <c r="L5" s="1">
        <v>-2.2000000000000002</v>
      </c>
      <c r="O5" s="36">
        <v>-2.2000000000000002</v>
      </c>
      <c r="Q5" s="1">
        <f t="shared" si="1"/>
        <v>-2.2000000000000002</v>
      </c>
    </row>
    <row r="6" spans="1:17" ht="15.75" x14ac:dyDescent="0.25">
      <c r="A6" s="11"/>
      <c r="B6" s="19" t="s">
        <v>16</v>
      </c>
      <c r="C6" s="12">
        <v>810000</v>
      </c>
      <c r="D6" s="13">
        <v>810000</v>
      </c>
      <c r="E6" s="13">
        <v>816206.89655172417</v>
      </c>
      <c r="F6" s="10">
        <f t="shared" si="3"/>
        <v>0</v>
      </c>
      <c r="G6" s="19"/>
      <c r="I6" s="26">
        <f t="shared" si="4"/>
        <v>0</v>
      </c>
      <c r="J6" s="26">
        <f t="shared" ref="J6:J30" si="5">I6*0.3</f>
        <v>0</v>
      </c>
      <c r="Q6" s="1">
        <f t="shared" si="1"/>
        <v>0</v>
      </c>
    </row>
    <row r="7" spans="1:17" ht="15.75" x14ac:dyDescent="0.25">
      <c r="A7" s="11"/>
      <c r="B7" s="19" t="s">
        <v>14</v>
      </c>
      <c r="C7" s="12">
        <v>1885500</v>
      </c>
      <c r="D7" s="13">
        <v>1885500</v>
      </c>
      <c r="E7" s="13">
        <v>1899948.2758620693</v>
      </c>
      <c r="F7" s="10">
        <f t="shared" si="3"/>
        <v>0</v>
      </c>
      <c r="G7" s="19"/>
      <c r="I7" s="26">
        <f t="shared" si="4"/>
        <v>0</v>
      </c>
      <c r="J7" s="26">
        <f t="shared" si="5"/>
        <v>0</v>
      </c>
      <c r="Q7" s="1">
        <f t="shared" si="1"/>
        <v>0</v>
      </c>
    </row>
    <row r="8" spans="1:17" ht="15.75" x14ac:dyDescent="0.25">
      <c r="A8" s="11"/>
      <c r="B8" s="19" t="s">
        <v>15</v>
      </c>
      <c r="C8" s="12">
        <v>1062000</v>
      </c>
      <c r="D8" s="13">
        <v>1062000</v>
      </c>
      <c r="E8" s="13">
        <v>1070137.9310344828</v>
      </c>
      <c r="F8" s="10">
        <f t="shared" si="3"/>
        <v>0</v>
      </c>
      <c r="G8" s="19"/>
      <c r="I8" s="26">
        <f t="shared" si="4"/>
        <v>0</v>
      </c>
      <c r="J8" s="26">
        <f t="shared" si="5"/>
        <v>0</v>
      </c>
      <c r="Q8" s="1">
        <f t="shared" si="1"/>
        <v>0</v>
      </c>
    </row>
    <row r="9" spans="1:17" ht="15.75" x14ac:dyDescent="0.25">
      <c r="A9" s="11"/>
      <c r="B9" s="19" t="s">
        <v>19</v>
      </c>
      <c r="C9" s="12">
        <v>3240000</v>
      </c>
      <c r="D9" s="13">
        <v>3240000</v>
      </c>
      <c r="E9" s="13">
        <v>3264827.5862068967</v>
      </c>
      <c r="F9" s="10">
        <f t="shared" si="3"/>
        <v>0</v>
      </c>
      <c r="G9" s="19"/>
      <c r="I9" s="26">
        <f t="shared" si="4"/>
        <v>0</v>
      </c>
      <c r="J9" s="26">
        <f t="shared" si="5"/>
        <v>0</v>
      </c>
      <c r="Q9" s="1">
        <f t="shared" si="1"/>
        <v>0</v>
      </c>
    </row>
    <row r="10" spans="1:17" ht="15.75" x14ac:dyDescent="0.25">
      <c r="A10" s="11"/>
      <c r="B10" s="19" t="s">
        <v>13</v>
      </c>
      <c r="C10" s="12">
        <v>9459000</v>
      </c>
      <c r="D10" s="13">
        <v>9459000</v>
      </c>
      <c r="E10" s="13">
        <v>9531482.7586206887</v>
      </c>
      <c r="F10" s="10">
        <f t="shared" si="3"/>
        <v>0</v>
      </c>
      <c r="G10" s="19"/>
      <c r="I10" s="26">
        <f t="shared" si="4"/>
        <v>0</v>
      </c>
      <c r="J10" s="26">
        <f t="shared" si="5"/>
        <v>0</v>
      </c>
      <c r="Q10" s="1">
        <f t="shared" si="1"/>
        <v>0</v>
      </c>
    </row>
    <row r="11" spans="1:17" ht="15.75" x14ac:dyDescent="0.25">
      <c r="A11" s="11"/>
      <c r="B11" s="19" t="s">
        <v>22</v>
      </c>
      <c r="C11" s="12">
        <v>720000</v>
      </c>
      <c r="D11" s="13">
        <v>720000</v>
      </c>
      <c r="E11" s="13">
        <v>725517.24137931026</v>
      </c>
      <c r="F11" s="10">
        <f t="shared" si="3"/>
        <v>0</v>
      </c>
      <c r="G11" s="19"/>
      <c r="I11" s="26">
        <f t="shared" si="4"/>
        <v>0</v>
      </c>
      <c r="J11" s="26">
        <f t="shared" si="5"/>
        <v>0</v>
      </c>
      <c r="Q11" s="1">
        <f t="shared" si="1"/>
        <v>0</v>
      </c>
    </row>
    <row r="12" spans="1:17" ht="15.75" x14ac:dyDescent="0.25">
      <c r="A12" s="11"/>
      <c r="B12" s="19" t="s">
        <v>21</v>
      </c>
      <c r="C12" s="12">
        <v>9702000</v>
      </c>
      <c r="D12" s="13">
        <v>9702000</v>
      </c>
      <c r="E12" s="13">
        <v>12978487.72413793</v>
      </c>
      <c r="F12" s="10">
        <f t="shared" si="3"/>
        <v>0</v>
      </c>
      <c r="G12" s="23"/>
      <c r="I12" s="29"/>
      <c r="J12" s="29"/>
      <c r="Q12" s="1">
        <f t="shared" si="1"/>
        <v>0</v>
      </c>
    </row>
    <row r="13" spans="1:17" ht="15.75" x14ac:dyDescent="0.25">
      <c r="A13" s="11"/>
      <c r="B13" s="19" t="s">
        <v>25</v>
      </c>
      <c r="C13" s="12">
        <v>13500000</v>
      </c>
      <c r="D13" s="13">
        <v>13500000</v>
      </c>
      <c r="E13" s="13">
        <v>13603448.275862068</v>
      </c>
      <c r="F13" s="10">
        <f t="shared" si="3"/>
        <v>0</v>
      </c>
      <c r="G13" s="19"/>
      <c r="I13" s="26">
        <f t="shared" si="4"/>
        <v>0</v>
      </c>
      <c r="J13" s="26">
        <f t="shared" si="5"/>
        <v>0</v>
      </c>
      <c r="Q13" s="1">
        <f t="shared" si="1"/>
        <v>0</v>
      </c>
    </row>
    <row r="14" spans="1:17" ht="15.75" x14ac:dyDescent="0.25">
      <c r="A14" s="11"/>
      <c r="B14" s="19" t="s">
        <v>12</v>
      </c>
      <c r="C14" s="12">
        <v>135000</v>
      </c>
      <c r="D14" s="13">
        <v>135000</v>
      </c>
      <c r="E14" s="13">
        <v>136034.4827586207</v>
      </c>
      <c r="F14" s="10">
        <f t="shared" si="3"/>
        <v>0</v>
      </c>
      <c r="G14" s="19"/>
      <c r="I14" s="26">
        <f t="shared" si="4"/>
        <v>0</v>
      </c>
      <c r="J14" s="26">
        <f t="shared" si="5"/>
        <v>0</v>
      </c>
      <c r="Q14" s="1">
        <f t="shared" si="1"/>
        <v>0</v>
      </c>
    </row>
    <row r="15" spans="1:17" ht="15.75" x14ac:dyDescent="0.25">
      <c r="A15" s="11"/>
      <c r="B15" s="19" t="s">
        <v>18</v>
      </c>
      <c r="C15" s="12">
        <v>874800</v>
      </c>
      <c r="D15" s="13">
        <v>874800</v>
      </c>
      <c r="E15" s="13">
        <v>881503.44827586215</v>
      </c>
      <c r="F15" s="10">
        <f t="shared" si="3"/>
        <v>0</v>
      </c>
      <c r="G15" s="19"/>
      <c r="I15" s="26">
        <f t="shared" si="4"/>
        <v>0</v>
      </c>
      <c r="J15" s="26">
        <f t="shared" si="5"/>
        <v>0</v>
      </c>
      <c r="Q15" s="1">
        <f t="shared" si="1"/>
        <v>0</v>
      </c>
    </row>
    <row r="16" spans="1:17" ht="15.75" x14ac:dyDescent="0.25">
      <c r="A16" s="11"/>
      <c r="B16" s="19" t="s">
        <v>20</v>
      </c>
      <c r="C16" s="12">
        <v>1485000</v>
      </c>
      <c r="D16" s="13">
        <v>1485000</v>
      </c>
      <c r="E16" s="13">
        <v>1496379.3103448278</v>
      </c>
      <c r="F16" s="10">
        <f t="shared" si="3"/>
        <v>0</v>
      </c>
      <c r="G16" s="19"/>
      <c r="I16" s="26">
        <f t="shared" si="4"/>
        <v>0</v>
      </c>
      <c r="J16" s="26">
        <f t="shared" si="5"/>
        <v>0</v>
      </c>
      <c r="Q16" s="1">
        <f t="shared" si="1"/>
        <v>0</v>
      </c>
    </row>
    <row r="17" spans="1:19" ht="15.75" x14ac:dyDescent="0.25">
      <c r="A17" s="11"/>
      <c r="B17" s="19" t="s">
        <v>10</v>
      </c>
      <c r="C17" s="12">
        <v>3195000</v>
      </c>
      <c r="D17" s="13">
        <v>3195000</v>
      </c>
      <c r="E17" s="13">
        <v>3219482.7586206896</v>
      </c>
      <c r="F17" s="10">
        <f t="shared" si="3"/>
        <v>0</v>
      </c>
      <c r="G17" s="19"/>
      <c r="I17" s="26">
        <f t="shared" si="4"/>
        <v>0</v>
      </c>
      <c r="J17" s="26">
        <f t="shared" si="5"/>
        <v>0</v>
      </c>
      <c r="Q17" s="1">
        <f t="shared" si="1"/>
        <v>0</v>
      </c>
    </row>
    <row r="18" spans="1:19" ht="15.75" x14ac:dyDescent="0.25">
      <c r="A18" s="11"/>
      <c r="B18" s="19" t="s">
        <v>17</v>
      </c>
      <c r="C18" s="12">
        <v>6579000</v>
      </c>
      <c r="D18" s="13">
        <v>6579000</v>
      </c>
      <c r="E18" s="13">
        <v>6629413.793103449</v>
      </c>
      <c r="F18" s="10">
        <f t="shared" si="3"/>
        <v>0</v>
      </c>
      <c r="G18" s="19"/>
      <c r="I18" s="26">
        <f t="shared" si="4"/>
        <v>0</v>
      </c>
      <c r="J18" s="26">
        <f t="shared" si="5"/>
        <v>0</v>
      </c>
      <c r="Q18" s="1">
        <f t="shared" si="1"/>
        <v>0</v>
      </c>
    </row>
    <row r="19" spans="1:19" ht="15.75" x14ac:dyDescent="0.25">
      <c r="A19" s="14" t="s">
        <v>61</v>
      </c>
      <c r="B19" s="18"/>
      <c r="C19" s="15">
        <f>SUM(C5:C18)</f>
        <v>70197300</v>
      </c>
      <c r="D19" s="15">
        <f t="shared" ref="D19:F19" si="6">SUM(D5:D18)</f>
        <v>62897300</v>
      </c>
      <c r="E19" s="15">
        <f t="shared" si="6"/>
        <v>73937353.241379321</v>
      </c>
      <c r="F19" s="15">
        <f t="shared" si="6"/>
        <v>-7300000</v>
      </c>
      <c r="G19" s="18"/>
      <c r="I19" s="28">
        <f>SUM(I5:I18)</f>
        <v>-7.3</v>
      </c>
      <c r="J19" s="28">
        <f>SUM(J5:J18)</f>
        <v>-2.19</v>
      </c>
      <c r="K19" s="28">
        <f t="shared" ref="K19:Q19" si="7">SUM(K5:K18)</f>
        <v>0</v>
      </c>
      <c r="L19" s="28">
        <f t="shared" si="7"/>
        <v>-2.2000000000000002</v>
      </c>
      <c r="M19" s="28">
        <f t="shared" si="7"/>
        <v>0</v>
      </c>
      <c r="N19" s="28">
        <f t="shared" si="7"/>
        <v>0</v>
      </c>
      <c r="O19" s="35">
        <f t="shared" si="7"/>
        <v>-2.2000000000000002</v>
      </c>
      <c r="P19" s="35">
        <f t="shared" si="7"/>
        <v>0</v>
      </c>
      <c r="Q19" s="35">
        <f t="shared" si="7"/>
        <v>-2.2000000000000002</v>
      </c>
    </row>
    <row r="20" spans="1:19" ht="15.75" x14ac:dyDescent="0.25">
      <c r="A20" s="7" t="s">
        <v>31</v>
      </c>
      <c r="B20" s="17" t="s">
        <v>34</v>
      </c>
      <c r="C20" s="8">
        <v>900000</v>
      </c>
      <c r="D20" s="9">
        <v>900000</v>
      </c>
      <c r="E20" s="9">
        <v>789000</v>
      </c>
      <c r="F20" s="10">
        <f t="shared" ref="F20:F30" si="8">D20-C20</f>
        <v>0</v>
      </c>
      <c r="G20" s="17"/>
      <c r="I20" s="26">
        <f t="shared" si="4"/>
        <v>0</v>
      </c>
      <c r="J20" s="26">
        <f t="shared" si="5"/>
        <v>0</v>
      </c>
      <c r="O20" s="33">
        <v>-0.2</v>
      </c>
      <c r="Q20" s="1">
        <f t="shared" si="1"/>
        <v>-0.2</v>
      </c>
    </row>
    <row r="21" spans="1:19" ht="15.75" x14ac:dyDescent="0.25">
      <c r="A21" s="11"/>
      <c r="B21" s="19" t="s">
        <v>35</v>
      </c>
      <c r="C21" s="12">
        <v>360000</v>
      </c>
      <c r="D21" s="13">
        <v>360000</v>
      </c>
      <c r="E21" s="13">
        <v>0</v>
      </c>
      <c r="F21" s="10">
        <f t="shared" si="8"/>
        <v>0</v>
      </c>
      <c r="G21" s="19"/>
      <c r="I21" s="26">
        <f t="shared" si="4"/>
        <v>0</v>
      </c>
      <c r="J21" s="26">
        <f t="shared" si="5"/>
        <v>0</v>
      </c>
      <c r="Q21" s="1">
        <f t="shared" si="1"/>
        <v>0</v>
      </c>
    </row>
    <row r="22" spans="1:19" ht="31.5" x14ac:dyDescent="0.25">
      <c r="A22" s="11"/>
      <c r="B22" s="19" t="s">
        <v>36</v>
      </c>
      <c r="C22" s="12">
        <v>27900000</v>
      </c>
      <c r="D22" s="13">
        <v>20900000</v>
      </c>
      <c r="E22" s="13">
        <v>24585965.517241381</v>
      </c>
      <c r="F22" s="10">
        <f t="shared" si="8"/>
        <v>-7000000</v>
      </c>
      <c r="G22" s="23" t="s">
        <v>72</v>
      </c>
      <c r="I22" s="26">
        <f t="shared" si="4"/>
        <v>-7</v>
      </c>
      <c r="J22" s="26">
        <f t="shared" si="5"/>
        <v>-2.1</v>
      </c>
      <c r="L22" s="1">
        <v>-2</v>
      </c>
      <c r="O22" s="33">
        <f>-0.5</f>
        <v>-0.5</v>
      </c>
      <c r="Q22" s="1">
        <f t="shared" si="1"/>
        <v>-0.5</v>
      </c>
    </row>
    <row r="23" spans="1:19" ht="15.75" x14ac:dyDescent="0.25">
      <c r="A23" s="11"/>
      <c r="B23" s="19" t="s">
        <v>37</v>
      </c>
      <c r="C23" s="12">
        <v>2700000</v>
      </c>
      <c r="D23" s="13">
        <v>2700000</v>
      </c>
      <c r="E23" s="13">
        <v>348000</v>
      </c>
      <c r="F23" s="10">
        <f t="shared" si="8"/>
        <v>0</v>
      </c>
      <c r="G23" s="19"/>
      <c r="I23" s="26">
        <f t="shared" si="4"/>
        <v>0</v>
      </c>
      <c r="J23" s="26">
        <f t="shared" si="5"/>
        <v>0</v>
      </c>
      <c r="Q23" s="1">
        <f t="shared" si="1"/>
        <v>0</v>
      </c>
    </row>
    <row r="24" spans="1:19" ht="15.75" x14ac:dyDescent="0.25">
      <c r="A24" s="11"/>
      <c r="B24" s="19" t="s">
        <v>39</v>
      </c>
      <c r="C24" s="12">
        <v>36720000</v>
      </c>
      <c r="D24" s="13">
        <v>36720000</v>
      </c>
      <c r="E24" s="13">
        <v>32358068.965517242</v>
      </c>
      <c r="F24" s="10">
        <f t="shared" si="8"/>
        <v>0</v>
      </c>
      <c r="G24" s="19"/>
      <c r="I24" s="26">
        <f t="shared" si="4"/>
        <v>0</v>
      </c>
      <c r="J24" s="26">
        <f t="shared" si="5"/>
        <v>0</v>
      </c>
      <c r="O24" s="33">
        <v>-0.3</v>
      </c>
      <c r="Q24" s="1">
        <f t="shared" si="1"/>
        <v>-0.3</v>
      </c>
    </row>
    <row r="25" spans="1:19" ht="15.75" x14ac:dyDescent="0.25">
      <c r="A25" s="11"/>
      <c r="B25" s="19" t="s">
        <v>38</v>
      </c>
      <c r="C25" s="12">
        <v>4320000</v>
      </c>
      <c r="D25" s="13">
        <v>4320000</v>
      </c>
      <c r="E25" s="13">
        <v>3519000</v>
      </c>
      <c r="F25" s="10">
        <f t="shared" si="8"/>
        <v>0</v>
      </c>
      <c r="G25" s="19"/>
      <c r="I25" s="26">
        <f t="shared" si="4"/>
        <v>0</v>
      </c>
      <c r="J25" s="26">
        <f t="shared" si="5"/>
        <v>0</v>
      </c>
      <c r="Q25" s="1">
        <f t="shared" si="1"/>
        <v>0</v>
      </c>
    </row>
    <row r="26" spans="1:19" ht="15.75" x14ac:dyDescent="0.25">
      <c r="A26" s="11"/>
      <c r="B26" s="19" t="s">
        <v>43</v>
      </c>
      <c r="C26" s="12">
        <v>192582000</v>
      </c>
      <c r="D26" s="13">
        <v>147582000</v>
      </c>
      <c r="E26" s="13">
        <v>174078793.10344827</v>
      </c>
      <c r="F26" s="10">
        <f t="shared" si="8"/>
        <v>-45000000</v>
      </c>
      <c r="G26" s="19"/>
      <c r="I26" s="26">
        <f t="shared" si="4"/>
        <v>-45</v>
      </c>
      <c r="J26" s="26">
        <f t="shared" si="5"/>
        <v>-13.5</v>
      </c>
      <c r="O26" s="33">
        <v>-1.9</v>
      </c>
      <c r="P26" s="1">
        <f>0.3*-45</f>
        <v>-13.5</v>
      </c>
      <c r="Q26" s="1">
        <f t="shared" si="1"/>
        <v>-15.4</v>
      </c>
    </row>
    <row r="27" spans="1:19" ht="15.75" x14ac:dyDescent="0.25">
      <c r="A27" s="11"/>
      <c r="B27" s="19" t="s">
        <v>44</v>
      </c>
      <c r="C27" s="12">
        <v>15066000.000000002</v>
      </c>
      <c r="D27" s="13">
        <v>15066000.000000002</v>
      </c>
      <c r="E27" s="13">
        <v>10603660.356609851</v>
      </c>
      <c r="F27" s="10">
        <f t="shared" si="8"/>
        <v>0</v>
      </c>
      <c r="G27" s="19"/>
      <c r="I27" s="26">
        <f t="shared" si="4"/>
        <v>0</v>
      </c>
      <c r="J27" s="26">
        <f t="shared" si="5"/>
        <v>0</v>
      </c>
      <c r="Q27" s="1">
        <f t="shared" si="1"/>
        <v>0</v>
      </c>
    </row>
    <row r="28" spans="1:19" ht="15.75" x14ac:dyDescent="0.25">
      <c r="A28" s="11"/>
      <c r="B28" s="19" t="s">
        <v>54</v>
      </c>
      <c r="C28" s="12">
        <v>14910000</v>
      </c>
      <c r="D28" s="13">
        <v>14910000</v>
      </c>
      <c r="E28" s="13">
        <v>13521827.586206896</v>
      </c>
      <c r="F28" s="10">
        <f t="shared" si="8"/>
        <v>0</v>
      </c>
      <c r="G28" s="19"/>
      <c r="I28" s="26">
        <f t="shared" si="4"/>
        <v>0</v>
      </c>
      <c r="J28" s="26">
        <f t="shared" si="5"/>
        <v>0</v>
      </c>
      <c r="Q28" s="1">
        <f t="shared" si="1"/>
        <v>0</v>
      </c>
    </row>
    <row r="29" spans="1:19" ht="70.5" customHeight="1" x14ac:dyDescent="0.25">
      <c r="A29" s="11"/>
      <c r="B29" s="19" t="s">
        <v>52</v>
      </c>
      <c r="C29" s="12">
        <v>0</v>
      </c>
      <c r="D29" s="13">
        <v>2290919.7749333335</v>
      </c>
      <c r="E29" s="13"/>
      <c r="F29" s="10">
        <f t="shared" si="8"/>
        <v>2290919.7749333335</v>
      </c>
      <c r="G29" s="23" t="s">
        <v>55</v>
      </c>
      <c r="I29" s="29"/>
      <c r="J29" s="29"/>
      <c r="Q29" s="1">
        <f t="shared" si="1"/>
        <v>0</v>
      </c>
    </row>
    <row r="30" spans="1:19" ht="15.75" x14ac:dyDescent="0.25">
      <c r="A30" s="11"/>
      <c r="B30" s="19" t="s">
        <v>32</v>
      </c>
      <c r="C30" s="12">
        <v>3144600</v>
      </c>
      <c r="D30" s="13">
        <v>3144600</v>
      </c>
      <c r="E30" s="13">
        <v>3168696.5517241377</v>
      </c>
      <c r="F30" s="10">
        <f t="shared" si="8"/>
        <v>0</v>
      </c>
      <c r="G30" s="19"/>
      <c r="I30" s="26">
        <f t="shared" si="4"/>
        <v>0</v>
      </c>
      <c r="J30" s="26">
        <f t="shared" si="5"/>
        <v>0</v>
      </c>
      <c r="Q30" s="1">
        <f t="shared" si="1"/>
        <v>0</v>
      </c>
    </row>
    <row r="31" spans="1:19" ht="15.75" x14ac:dyDescent="0.25">
      <c r="A31" s="14" t="s">
        <v>62</v>
      </c>
      <c r="B31" s="18"/>
      <c r="C31" s="15">
        <f>SUM(C20:C30)</f>
        <v>298602600</v>
      </c>
      <c r="D31" s="15">
        <f t="shared" ref="D31:F31" si="9">SUM(D20:D30)</f>
        <v>248893519.77493334</v>
      </c>
      <c r="E31" s="15">
        <f t="shared" si="9"/>
        <v>262973012.08074778</v>
      </c>
      <c r="F31" s="15">
        <f t="shared" si="9"/>
        <v>-49709080.225066669</v>
      </c>
      <c r="G31" s="18"/>
      <c r="I31" s="28">
        <f>SUM(I20:I30)</f>
        <v>-52</v>
      </c>
      <c r="J31" s="28">
        <f>SUM(J20:J30)</f>
        <v>-15.6</v>
      </c>
      <c r="K31" s="28">
        <f t="shared" ref="K31:Q31" si="10">SUM(K20:K30)</f>
        <v>0</v>
      </c>
      <c r="L31" s="28">
        <f t="shared" si="10"/>
        <v>-2</v>
      </c>
      <c r="M31" s="28">
        <f t="shared" si="10"/>
        <v>0</v>
      </c>
      <c r="N31" s="28">
        <f t="shared" si="10"/>
        <v>0</v>
      </c>
      <c r="O31" s="35">
        <f t="shared" si="10"/>
        <v>-2.9</v>
      </c>
      <c r="P31" s="35">
        <f t="shared" si="10"/>
        <v>-13.5</v>
      </c>
      <c r="Q31" s="35">
        <f t="shared" si="10"/>
        <v>-16.399999999999999</v>
      </c>
    </row>
    <row r="32" spans="1:19" ht="47.25" x14ac:dyDescent="0.25">
      <c r="A32" s="7" t="s">
        <v>1</v>
      </c>
      <c r="B32" s="17" t="s">
        <v>29</v>
      </c>
      <c r="C32" s="8">
        <v>27036000</v>
      </c>
      <c r="D32" s="9">
        <v>23824000.002326824</v>
      </c>
      <c r="E32" s="9">
        <v>23824172.413793102</v>
      </c>
      <c r="F32" s="10">
        <f t="shared" ref="F32:F34" si="11">D32-C32</f>
        <v>-3211999.9976731762</v>
      </c>
      <c r="G32" s="24" t="s">
        <v>58</v>
      </c>
      <c r="I32" s="26">
        <f t="shared" si="4"/>
        <v>-3.2119999976731761</v>
      </c>
      <c r="J32" s="26">
        <f>0.6667*I32</f>
        <v>-2.1414403984487063</v>
      </c>
      <c r="L32" s="1">
        <v>-3.7</v>
      </c>
      <c r="O32" s="33">
        <v>-2.5</v>
      </c>
      <c r="Q32" s="1">
        <f t="shared" si="1"/>
        <v>-2.5</v>
      </c>
      <c r="S32" s="26"/>
    </row>
    <row r="33" spans="1:19" ht="47.25" x14ac:dyDescent="0.25">
      <c r="A33" s="11"/>
      <c r="B33" s="19" t="s">
        <v>27</v>
      </c>
      <c r="C33" s="12">
        <v>85221000</v>
      </c>
      <c r="D33" s="13">
        <v>40336114.558105111</v>
      </c>
      <c r="E33" s="13">
        <v>75091034.482758611</v>
      </c>
      <c r="F33" s="10">
        <f t="shared" si="11"/>
        <v>-44884885.441894889</v>
      </c>
      <c r="G33" s="23" t="s">
        <v>58</v>
      </c>
      <c r="I33" s="26">
        <f t="shared" si="4"/>
        <v>-44.884885441894887</v>
      </c>
      <c r="J33" s="26">
        <f t="shared" ref="J33:J34" si="12">0.6667*I33</f>
        <v>-29.924753124111319</v>
      </c>
      <c r="L33" s="1">
        <v>-27</v>
      </c>
      <c r="O33" s="33">
        <v>-30</v>
      </c>
      <c r="Q33" s="1">
        <f t="shared" si="1"/>
        <v>-30</v>
      </c>
      <c r="S33" s="26"/>
    </row>
    <row r="34" spans="1:19" ht="47.25" x14ac:dyDescent="0.25">
      <c r="A34" s="11"/>
      <c r="B34" s="19" t="s">
        <v>28</v>
      </c>
      <c r="C34" s="12">
        <v>90369000</v>
      </c>
      <c r="D34" s="13">
        <v>67547697.873286635</v>
      </c>
      <c r="E34" s="13">
        <v>79634586.206896544</v>
      </c>
      <c r="F34" s="10">
        <f t="shared" si="11"/>
        <v>-22821302.126713365</v>
      </c>
      <c r="G34" s="23" t="s">
        <v>58</v>
      </c>
      <c r="I34" s="26">
        <f t="shared" si="4"/>
        <v>-22.821302126713366</v>
      </c>
      <c r="J34" s="26">
        <f t="shared" si="12"/>
        <v>-15.214962127879801</v>
      </c>
      <c r="L34" s="1">
        <v>-18</v>
      </c>
      <c r="O34" s="33">
        <v>-15</v>
      </c>
      <c r="Q34" s="1">
        <f t="shared" si="1"/>
        <v>-15</v>
      </c>
      <c r="S34" s="26"/>
    </row>
    <row r="35" spans="1:19" ht="15.75" x14ac:dyDescent="0.25">
      <c r="A35" s="14" t="s">
        <v>63</v>
      </c>
      <c r="B35" s="18"/>
      <c r="C35" s="15">
        <f>SUM(C32:C34)</f>
        <v>202626000</v>
      </c>
      <c r="D35" s="15">
        <f t="shared" ref="D35:F35" si="13">SUM(D32:D34)</f>
        <v>131707812.43371856</v>
      </c>
      <c r="E35" s="15">
        <f t="shared" si="13"/>
        <v>178549793.10344827</v>
      </c>
      <c r="F35" s="15">
        <f t="shared" si="13"/>
        <v>-70918187.566281438</v>
      </c>
      <c r="G35" s="18"/>
      <c r="I35" s="28">
        <f>SUM(I32:I34)</f>
        <v>-70.918187566281432</v>
      </c>
      <c r="J35" s="28">
        <f>SUM(J32:J34)</f>
        <v>-47.281155650439828</v>
      </c>
      <c r="K35" s="28">
        <f t="shared" ref="K35:Q35" si="14">SUM(K32:K34)</f>
        <v>0</v>
      </c>
      <c r="L35" s="28">
        <f t="shared" si="14"/>
        <v>-48.7</v>
      </c>
      <c r="M35" s="28">
        <f t="shared" si="14"/>
        <v>0</v>
      </c>
      <c r="N35" s="28">
        <f t="shared" si="14"/>
        <v>0</v>
      </c>
      <c r="O35" s="35">
        <f t="shared" si="14"/>
        <v>-47.5</v>
      </c>
      <c r="P35" s="35">
        <f t="shared" si="14"/>
        <v>0</v>
      </c>
      <c r="Q35" s="35">
        <f t="shared" si="14"/>
        <v>-47.5</v>
      </c>
    </row>
    <row r="36" spans="1:19" ht="15.75" x14ac:dyDescent="0.25">
      <c r="A36" s="7" t="s">
        <v>26</v>
      </c>
      <c r="B36" s="17" t="s">
        <v>45</v>
      </c>
      <c r="C36" s="8">
        <v>2250000</v>
      </c>
      <c r="D36" s="9">
        <v>2250000</v>
      </c>
      <c r="E36" s="9">
        <v>1986103.448275862</v>
      </c>
      <c r="F36" s="10">
        <f t="shared" ref="F36:F42" si="15">D36-C36</f>
        <v>0</v>
      </c>
      <c r="G36" s="17"/>
      <c r="I36" s="26">
        <f t="shared" si="4"/>
        <v>0</v>
      </c>
      <c r="J36" s="26">
        <f t="shared" ref="J36:J57" si="16">I36*0.3</f>
        <v>0</v>
      </c>
      <c r="Q36" s="1">
        <f t="shared" si="1"/>
        <v>0</v>
      </c>
    </row>
    <row r="37" spans="1:19" ht="15.75" x14ac:dyDescent="0.25">
      <c r="A37" s="11"/>
      <c r="B37" s="19" t="s">
        <v>46</v>
      </c>
      <c r="C37" s="12">
        <v>24273000</v>
      </c>
      <c r="D37" s="13">
        <v>18429000</v>
      </c>
      <c r="E37" s="13">
        <v>22496063.369951796</v>
      </c>
      <c r="F37" s="10">
        <f t="shared" si="15"/>
        <v>-5844000</v>
      </c>
      <c r="G37" s="19"/>
      <c r="I37" s="26">
        <f t="shared" si="4"/>
        <v>-5.8440000000000003</v>
      </c>
      <c r="J37" s="26">
        <f t="shared" si="16"/>
        <v>-1.7532000000000001</v>
      </c>
      <c r="O37" s="33">
        <v>-1.2</v>
      </c>
      <c r="P37" s="26">
        <f>F37/(1000000)*0.3</f>
        <v>-1.7532000000000001</v>
      </c>
      <c r="Q37" s="26">
        <f t="shared" si="1"/>
        <v>-2.9531999999999998</v>
      </c>
    </row>
    <row r="38" spans="1:19" ht="15.75" x14ac:dyDescent="0.25">
      <c r="A38" s="11"/>
      <c r="B38" s="19" t="s">
        <v>29</v>
      </c>
      <c r="C38" s="12">
        <v>1467000</v>
      </c>
      <c r="D38" s="13">
        <v>1467000</v>
      </c>
      <c r="E38" s="13">
        <v>767652.74091636599</v>
      </c>
      <c r="F38" s="10">
        <f t="shared" si="15"/>
        <v>0</v>
      </c>
      <c r="G38" s="19"/>
      <c r="I38" s="26">
        <f t="shared" si="4"/>
        <v>0</v>
      </c>
      <c r="J38" s="26">
        <f t="shared" si="16"/>
        <v>0</v>
      </c>
      <c r="Q38" s="1">
        <f t="shared" si="1"/>
        <v>0</v>
      </c>
    </row>
    <row r="39" spans="1:19" ht="31.5" x14ac:dyDescent="0.25">
      <c r="A39" s="11"/>
      <c r="B39" s="19" t="s">
        <v>49</v>
      </c>
      <c r="C39" s="12">
        <v>0</v>
      </c>
      <c r="D39" s="13">
        <v>0</v>
      </c>
      <c r="E39" s="13">
        <v>5220137.931034483</v>
      </c>
      <c r="F39" s="10">
        <f t="shared" si="15"/>
        <v>0</v>
      </c>
      <c r="G39" s="23" t="s">
        <v>2</v>
      </c>
      <c r="I39" s="26">
        <f t="shared" si="4"/>
        <v>0</v>
      </c>
      <c r="J39" s="26">
        <f t="shared" si="16"/>
        <v>0</v>
      </c>
      <c r="Q39" s="1">
        <f t="shared" si="1"/>
        <v>0</v>
      </c>
    </row>
    <row r="40" spans="1:19" ht="15.75" x14ac:dyDescent="0.25">
      <c r="A40" s="11"/>
      <c r="B40" s="19" t="s">
        <v>27</v>
      </c>
      <c r="C40" s="12">
        <v>4509000</v>
      </c>
      <c r="D40" s="13">
        <v>4509000</v>
      </c>
      <c r="E40" s="13">
        <v>2358148.9426842611</v>
      </c>
      <c r="F40" s="10">
        <f t="shared" si="15"/>
        <v>0</v>
      </c>
      <c r="G40" s="19"/>
      <c r="I40" s="26">
        <f t="shared" si="4"/>
        <v>0</v>
      </c>
      <c r="J40" s="26">
        <f t="shared" si="16"/>
        <v>0</v>
      </c>
      <c r="Q40" s="1">
        <f t="shared" si="1"/>
        <v>0</v>
      </c>
    </row>
    <row r="41" spans="1:19" ht="15.75" x14ac:dyDescent="0.25">
      <c r="A41" s="11"/>
      <c r="B41" s="19" t="s">
        <v>28</v>
      </c>
      <c r="C41" s="12">
        <v>7029000</v>
      </c>
      <c r="D41" s="13">
        <v>7029000</v>
      </c>
      <c r="E41" s="13">
        <v>3672691.5447763382</v>
      </c>
      <c r="F41" s="10">
        <f t="shared" si="15"/>
        <v>0</v>
      </c>
      <c r="G41" s="19"/>
      <c r="I41" s="26">
        <f t="shared" si="4"/>
        <v>0</v>
      </c>
      <c r="J41" s="26">
        <f t="shared" si="16"/>
        <v>0</v>
      </c>
      <c r="Q41" s="1">
        <f t="shared" si="1"/>
        <v>0</v>
      </c>
    </row>
    <row r="42" spans="1:19" ht="15.75" x14ac:dyDescent="0.25">
      <c r="A42" s="11"/>
      <c r="B42" s="19" t="s">
        <v>47</v>
      </c>
      <c r="C42" s="12">
        <v>42160000</v>
      </c>
      <c r="D42" s="13">
        <v>26396000</v>
      </c>
      <c r="E42" s="13">
        <v>35833408.918912619</v>
      </c>
      <c r="F42" s="10">
        <f t="shared" si="15"/>
        <v>-15764000</v>
      </c>
      <c r="G42" s="19"/>
      <c r="I42" s="26">
        <f t="shared" si="4"/>
        <v>-15.763999999999999</v>
      </c>
      <c r="J42" s="26">
        <f t="shared" si="16"/>
        <v>-4.7291999999999996</v>
      </c>
      <c r="P42" s="26">
        <f>F42/(1000000)*0.3</f>
        <v>-4.7291999999999996</v>
      </c>
      <c r="Q42" s="26">
        <f t="shared" si="1"/>
        <v>-4.7291999999999996</v>
      </c>
    </row>
    <row r="43" spans="1:19" ht="15.75" x14ac:dyDescent="0.25">
      <c r="A43" s="14" t="s">
        <v>64</v>
      </c>
      <c r="B43" s="18"/>
      <c r="C43" s="15">
        <f>SUM(C36:C42)</f>
        <v>81688000</v>
      </c>
      <c r="D43" s="15">
        <f t="shared" ref="D43:F43" si="17">SUM(D36:D42)</f>
        <v>60080000</v>
      </c>
      <c r="E43" s="15">
        <f t="shared" si="17"/>
        <v>72334206.896551728</v>
      </c>
      <c r="F43" s="15">
        <f t="shared" si="17"/>
        <v>-21608000</v>
      </c>
      <c r="G43" s="18"/>
      <c r="I43" s="28">
        <f>SUM(I36:I42)</f>
        <v>-21.608000000000001</v>
      </c>
      <c r="J43" s="28">
        <f>SUM(J36:J42)</f>
        <v>-6.4824000000000002</v>
      </c>
      <c r="K43" s="28">
        <f t="shared" ref="K43:Q43" si="18">SUM(K36:K42)</f>
        <v>0</v>
      </c>
      <c r="L43" s="28">
        <f t="shared" si="18"/>
        <v>0</v>
      </c>
      <c r="M43" s="28">
        <f t="shared" si="18"/>
        <v>0</v>
      </c>
      <c r="N43" s="28">
        <f t="shared" si="18"/>
        <v>0</v>
      </c>
      <c r="O43" s="35">
        <f t="shared" si="18"/>
        <v>-1.2</v>
      </c>
      <c r="P43" s="35">
        <f t="shared" si="18"/>
        <v>-6.4824000000000002</v>
      </c>
      <c r="Q43" s="35">
        <f t="shared" si="18"/>
        <v>-7.6823999999999995</v>
      </c>
    </row>
    <row r="44" spans="1:19" ht="15.75" x14ac:dyDescent="0.25">
      <c r="A44" s="7" t="s">
        <v>7</v>
      </c>
      <c r="B44" s="17" t="s">
        <v>53</v>
      </c>
      <c r="C44" s="8">
        <v>0</v>
      </c>
      <c r="D44" s="9">
        <v>8120000</v>
      </c>
      <c r="E44" s="9"/>
      <c r="F44" s="10">
        <f t="shared" ref="F44:F54" si="19">D44-C44</f>
        <v>8120000</v>
      </c>
      <c r="G44" s="17" t="s">
        <v>57</v>
      </c>
      <c r="I44" s="29"/>
      <c r="J44" s="29"/>
      <c r="L44" s="1">
        <v>-2</v>
      </c>
      <c r="N44" s="1" t="s">
        <v>77</v>
      </c>
      <c r="O44" s="36">
        <v>-2</v>
      </c>
      <c r="Q44" s="1">
        <f t="shared" ref="Q44:Q54" si="20">P44+O44</f>
        <v>-2</v>
      </c>
    </row>
    <row r="45" spans="1:19" ht="15.75" x14ac:dyDescent="0.25">
      <c r="A45" s="11"/>
      <c r="B45" s="19" t="s">
        <v>30</v>
      </c>
      <c r="C45" s="12">
        <v>2250000</v>
      </c>
      <c r="D45" s="13">
        <v>0</v>
      </c>
      <c r="E45" s="13">
        <v>2267241.3793103448</v>
      </c>
      <c r="F45" s="10">
        <f t="shared" si="19"/>
        <v>-2250000</v>
      </c>
      <c r="G45" s="19" t="s">
        <v>73</v>
      </c>
      <c r="I45" s="26">
        <f t="shared" si="4"/>
        <v>-2.25</v>
      </c>
      <c r="J45" s="26">
        <f t="shared" si="16"/>
        <v>-0.67499999999999993</v>
      </c>
      <c r="L45" s="1">
        <v>-3</v>
      </c>
      <c r="N45" s="1" t="s">
        <v>81</v>
      </c>
      <c r="Q45" s="1">
        <f t="shared" si="20"/>
        <v>0</v>
      </c>
    </row>
    <row r="46" spans="1:19" ht="15.75" x14ac:dyDescent="0.25">
      <c r="A46" s="11"/>
      <c r="B46" s="19" t="s">
        <v>23</v>
      </c>
      <c r="C46" s="12">
        <v>810000</v>
      </c>
      <c r="D46" s="13">
        <v>810000</v>
      </c>
      <c r="E46" s="13">
        <v>0</v>
      </c>
      <c r="F46" s="10">
        <f t="shared" si="19"/>
        <v>0</v>
      </c>
      <c r="G46" s="19"/>
      <c r="I46" s="26">
        <f t="shared" si="4"/>
        <v>0</v>
      </c>
      <c r="J46" s="26">
        <f t="shared" si="16"/>
        <v>0</v>
      </c>
      <c r="Q46" s="1">
        <f t="shared" si="20"/>
        <v>0</v>
      </c>
    </row>
    <row r="47" spans="1:19" ht="15.75" x14ac:dyDescent="0.25">
      <c r="A47" s="11"/>
      <c r="B47" s="19" t="s">
        <v>48</v>
      </c>
      <c r="C47" s="12">
        <v>2340000</v>
      </c>
      <c r="D47" s="13">
        <v>2340000</v>
      </c>
      <c r="E47" s="13">
        <v>1909344.8275862068</v>
      </c>
      <c r="F47" s="10">
        <f t="shared" si="19"/>
        <v>0</v>
      </c>
      <c r="G47" s="19"/>
      <c r="I47" s="26">
        <f t="shared" si="4"/>
        <v>0</v>
      </c>
      <c r="J47" s="26">
        <f t="shared" si="16"/>
        <v>0</v>
      </c>
      <c r="O47" s="33">
        <v>-2.4</v>
      </c>
      <c r="Q47" s="1">
        <f t="shared" si="20"/>
        <v>-2.4</v>
      </c>
    </row>
    <row r="48" spans="1:19" ht="63" x14ac:dyDescent="0.25">
      <c r="A48" s="11"/>
      <c r="B48" s="19" t="s">
        <v>42</v>
      </c>
      <c r="C48" s="12">
        <v>9000000</v>
      </c>
      <c r="D48" s="13">
        <v>9038757.1888733339</v>
      </c>
      <c r="E48" s="13">
        <v>9068965.5172413792</v>
      </c>
      <c r="F48" s="10">
        <f t="shared" si="19"/>
        <v>38757.188873333856</v>
      </c>
      <c r="G48" s="23" t="s">
        <v>56</v>
      </c>
      <c r="I48" s="29"/>
      <c r="J48" s="29"/>
      <c r="Q48" s="1">
        <f t="shared" si="20"/>
        <v>0</v>
      </c>
    </row>
    <row r="49" spans="1:17" ht="15.75" x14ac:dyDescent="0.25">
      <c r="A49" s="11"/>
      <c r="B49" s="19" t="s">
        <v>0</v>
      </c>
      <c r="C49" s="12">
        <v>5652000</v>
      </c>
      <c r="D49" s="13">
        <v>5652000</v>
      </c>
      <c r="E49" s="13">
        <v>3776896.5517241382</v>
      </c>
      <c r="F49" s="10">
        <f t="shared" si="19"/>
        <v>0</v>
      </c>
      <c r="G49" s="19"/>
      <c r="I49" s="26">
        <f t="shared" si="4"/>
        <v>0</v>
      </c>
      <c r="J49" s="26">
        <f t="shared" si="16"/>
        <v>0</v>
      </c>
      <c r="Q49" s="1">
        <f t="shared" si="20"/>
        <v>0</v>
      </c>
    </row>
    <row r="50" spans="1:17" ht="15.75" x14ac:dyDescent="0.25">
      <c r="A50" s="11"/>
      <c r="B50" s="19" t="s">
        <v>8</v>
      </c>
      <c r="C50" s="12">
        <v>1170000</v>
      </c>
      <c r="D50" s="13">
        <v>1170000</v>
      </c>
      <c r="E50" s="13">
        <v>128000</v>
      </c>
      <c r="F50" s="10">
        <f t="shared" si="19"/>
        <v>0</v>
      </c>
      <c r="G50" s="19"/>
      <c r="I50" s="26">
        <f t="shared" si="4"/>
        <v>0</v>
      </c>
      <c r="J50" s="26">
        <f t="shared" si="16"/>
        <v>0</v>
      </c>
      <c r="L50" s="1">
        <v>-1</v>
      </c>
      <c r="O50" s="36">
        <v>-1</v>
      </c>
      <c r="Q50" s="1">
        <f t="shared" si="20"/>
        <v>-1</v>
      </c>
    </row>
    <row r="51" spans="1:17" ht="15.75" x14ac:dyDescent="0.25">
      <c r="A51" s="11"/>
      <c r="B51" s="19" t="s">
        <v>20</v>
      </c>
      <c r="C51" s="12">
        <v>10080000</v>
      </c>
      <c r="D51" s="13">
        <v>10080000</v>
      </c>
      <c r="E51" s="13">
        <v>8671206.8965517245</v>
      </c>
      <c r="F51" s="10">
        <f t="shared" si="19"/>
        <v>0</v>
      </c>
      <c r="G51" s="19"/>
      <c r="I51" s="26">
        <f t="shared" si="4"/>
        <v>0</v>
      </c>
      <c r="J51" s="26">
        <f t="shared" si="16"/>
        <v>0</v>
      </c>
      <c r="Q51" s="1">
        <f t="shared" si="20"/>
        <v>0</v>
      </c>
    </row>
    <row r="52" spans="1:17" ht="47.25" x14ac:dyDescent="0.25">
      <c r="A52" s="11"/>
      <c r="B52" s="19" t="s">
        <v>10</v>
      </c>
      <c r="C52" s="12">
        <v>1260000</v>
      </c>
      <c r="D52" s="13">
        <v>1416177.3553650151</v>
      </c>
      <c r="E52" s="13">
        <v>1269655.1724137932</v>
      </c>
      <c r="F52" s="10">
        <f t="shared" si="19"/>
        <v>156177.3553650151</v>
      </c>
      <c r="G52" s="23" t="s">
        <v>70</v>
      </c>
      <c r="I52" s="29"/>
      <c r="J52" s="29"/>
      <c r="Q52" s="1">
        <f t="shared" si="20"/>
        <v>0</v>
      </c>
    </row>
    <row r="53" spans="1:17" x14ac:dyDescent="0.3">
      <c r="A53" s="11"/>
      <c r="B53" s="19" t="s">
        <v>9</v>
      </c>
      <c r="C53" s="12">
        <v>2619000</v>
      </c>
      <c r="D53" s="13">
        <v>2619000</v>
      </c>
      <c r="E53" s="13">
        <v>2639068.9655172415</v>
      </c>
      <c r="F53" s="10">
        <f t="shared" si="19"/>
        <v>0</v>
      </c>
      <c r="G53" s="19"/>
      <c r="I53" s="26">
        <f t="shared" si="4"/>
        <v>0</v>
      </c>
      <c r="J53" s="26">
        <f t="shared" si="16"/>
        <v>0</v>
      </c>
      <c r="Q53" s="1">
        <f t="shared" si="20"/>
        <v>0</v>
      </c>
    </row>
    <row r="54" spans="1:17" x14ac:dyDescent="0.3">
      <c r="A54" s="11"/>
      <c r="B54" s="19" t="s">
        <v>33</v>
      </c>
      <c r="C54" s="12">
        <v>9000000</v>
      </c>
      <c r="D54" s="13">
        <v>9000000</v>
      </c>
      <c r="E54" s="13">
        <v>6919068.9655172415</v>
      </c>
      <c r="F54" s="10">
        <f t="shared" si="19"/>
        <v>0</v>
      </c>
      <c r="G54" s="19"/>
      <c r="I54" s="26">
        <f t="shared" si="4"/>
        <v>0</v>
      </c>
      <c r="J54" s="26">
        <f t="shared" si="16"/>
        <v>0</v>
      </c>
      <c r="Q54" s="1">
        <f t="shared" si="20"/>
        <v>0</v>
      </c>
    </row>
    <row r="55" spans="1:17" x14ac:dyDescent="0.3">
      <c r="A55" s="14" t="s">
        <v>65</v>
      </c>
      <c r="B55" s="18"/>
      <c r="C55" s="15">
        <f>SUM(C44:C54)</f>
        <v>44181000</v>
      </c>
      <c r="D55" s="15">
        <f t="shared" ref="D55:F55" si="21">SUM(D44:D54)</f>
        <v>50245934.544238351</v>
      </c>
      <c r="E55" s="15">
        <f t="shared" si="21"/>
        <v>36649448.275862068</v>
      </c>
      <c r="F55" s="15">
        <f t="shared" si="21"/>
        <v>6064934.5442383494</v>
      </c>
      <c r="G55" s="18"/>
      <c r="I55" s="28">
        <f>SUM(I44:I54)</f>
        <v>-2.25</v>
      </c>
      <c r="J55" s="28">
        <f>SUM(J44:J54)</f>
        <v>-0.67499999999999993</v>
      </c>
      <c r="K55" s="28">
        <f t="shared" ref="K55" si="22">SUM(K44:K54)</f>
        <v>0</v>
      </c>
      <c r="L55" s="28">
        <f>SUM(L44:L54)-L45</f>
        <v>-3</v>
      </c>
      <c r="M55" s="28">
        <f t="shared" ref="M55:O55" si="23">SUM(M44:M54)-M45</f>
        <v>0</v>
      </c>
      <c r="N55" s="28"/>
      <c r="O55" s="35">
        <f t="shared" si="23"/>
        <v>-5.4</v>
      </c>
      <c r="P55" s="35">
        <f t="shared" ref="P55" si="24">SUM(P44:P54)-P45</f>
        <v>0</v>
      </c>
      <c r="Q55" s="35">
        <f t="shared" ref="Q55" si="25">SUM(Q44:Q54)-Q45</f>
        <v>-5.4</v>
      </c>
    </row>
    <row r="56" spans="1:17" ht="46.8" x14ac:dyDescent="0.3">
      <c r="A56" s="7" t="s">
        <v>40</v>
      </c>
      <c r="B56" s="17" t="s">
        <v>40</v>
      </c>
      <c r="C56" s="8">
        <v>282061000</v>
      </c>
      <c r="D56" s="9">
        <v>252061000.00000006</v>
      </c>
      <c r="E56" s="9">
        <v>294016172.41379309</v>
      </c>
      <c r="F56" s="10">
        <f t="shared" ref="F56:F57" si="26">D56-C56</f>
        <v>-29999999.99999994</v>
      </c>
      <c r="G56" s="24" t="s">
        <v>74</v>
      </c>
      <c r="I56" s="26">
        <f t="shared" si="4"/>
        <v>-29.99999999999994</v>
      </c>
      <c r="J56" s="26">
        <f t="shared" si="16"/>
        <v>-8.9999999999999822</v>
      </c>
      <c r="L56" s="1">
        <v>-28</v>
      </c>
      <c r="O56" s="33">
        <v>-3</v>
      </c>
      <c r="P56" s="1">
        <f>-30*0.3</f>
        <v>-9</v>
      </c>
      <c r="Q56" s="1">
        <f>P56+O56</f>
        <v>-12</v>
      </c>
    </row>
    <row r="57" spans="1:17" x14ac:dyDescent="0.3">
      <c r="A57" s="11"/>
      <c r="B57" s="19" t="s">
        <v>41</v>
      </c>
      <c r="C57" s="12">
        <v>27000000</v>
      </c>
      <c r="D57" s="13">
        <v>21000000</v>
      </c>
      <c r="E57" s="13">
        <v>23264931.034482758</v>
      </c>
      <c r="F57" s="10">
        <f t="shared" si="26"/>
        <v>-6000000</v>
      </c>
      <c r="G57" s="19"/>
      <c r="I57" s="26">
        <f t="shared" si="4"/>
        <v>-6</v>
      </c>
      <c r="J57" s="26">
        <f t="shared" si="16"/>
        <v>-1.7999999999999998</v>
      </c>
      <c r="P57" s="1">
        <f>-6*0.3</f>
        <v>-1.7999999999999998</v>
      </c>
      <c r="Q57" s="1">
        <f>P57+O57</f>
        <v>-1.7999999999999998</v>
      </c>
    </row>
    <row r="58" spans="1:17" x14ac:dyDescent="0.3">
      <c r="A58" s="14" t="s">
        <v>66</v>
      </c>
      <c r="B58" s="18"/>
      <c r="C58" s="15">
        <f>SUM(C56:C57)</f>
        <v>309061000</v>
      </c>
      <c r="D58" s="15">
        <f t="shared" ref="D58:F58" si="27">SUM(D56:D57)</f>
        <v>273061000.00000006</v>
      </c>
      <c r="E58" s="15">
        <f t="shared" si="27"/>
        <v>317281103.44827586</v>
      </c>
      <c r="F58" s="15">
        <f t="shared" si="27"/>
        <v>-35999999.99999994</v>
      </c>
      <c r="G58" s="18"/>
      <c r="I58" s="28">
        <f>SUM(I56:I57)</f>
        <v>-35.999999999999943</v>
      </c>
      <c r="J58" s="28">
        <f>SUM(J56:J57)</f>
        <v>-10.799999999999983</v>
      </c>
      <c r="K58" s="28">
        <f t="shared" ref="K58:L58" si="28">SUM(K56:K57)</f>
        <v>0</v>
      </c>
      <c r="L58" s="28">
        <f t="shared" si="28"/>
        <v>-28</v>
      </c>
      <c r="M58" s="28">
        <f t="shared" ref="M58:O58" si="29">SUM(M56:M57)</f>
        <v>0</v>
      </c>
      <c r="N58" s="28">
        <f t="shared" si="29"/>
        <v>0</v>
      </c>
      <c r="O58" s="35">
        <f t="shared" si="29"/>
        <v>-3</v>
      </c>
      <c r="P58" s="35">
        <f t="shared" ref="P58:Q58" si="30">SUM(P56:P57)</f>
        <v>-10.8</v>
      </c>
      <c r="Q58" s="35">
        <f t="shared" si="30"/>
        <v>-13.8</v>
      </c>
    </row>
    <row r="59" spans="1:17" x14ac:dyDescent="0.3">
      <c r="A59" s="20" t="s">
        <v>67</v>
      </c>
      <c r="B59" s="21"/>
      <c r="C59" s="22">
        <f>C58+C55+C43+C35+C31+C19+C4</f>
        <v>1070521900</v>
      </c>
      <c r="D59" s="22">
        <f t="shared" ref="D59:F59" si="31">D58+D55+D43+D35+D31+D19+D4</f>
        <v>891051566.75289035</v>
      </c>
      <c r="E59" s="22">
        <f t="shared" si="31"/>
        <v>1095117967.4965591</v>
      </c>
      <c r="F59" s="22">
        <f t="shared" si="31"/>
        <v>-179470333.24710968</v>
      </c>
      <c r="G59" s="21"/>
      <c r="I59" s="28">
        <f>I58+I55+I43+I35+I31+I19+I4</f>
        <v>-190.07618756628139</v>
      </c>
      <c r="J59" s="28">
        <f>J58+J55+J43+J35+J31+J19+J4</f>
        <v>-83.028555650439813</v>
      </c>
      <c r="K59" s="28">
        <f t="shared" ref="K59:L59" si="32">K58+K55+K43+K35+K31+K19+K4</f>
        <v>0</v>
      </c>
      <c r="L59" s="28">
        <f t="shared" si="32"/>
        <v>-83.9</v>
      </c>
      <c r="M59" s="28">
        <f t="shared" ref="M59:O59" si="33">M58+M55+M43+M35+M31+M19+M4</f>
        <v>0</v>
      </c>
      <c r="N59" s="28">
        <f t="shared" si="33"/>
        <v>0</v>
      </c>
      <c r="O59" s="35">
        <f t="shared" si="33"/>
        <v>-62.2</v>
      </c>
      <c r="P59" s="35">
        <f t="shared" ref="P59:Q59" si="34">P58+P55+P43+P35+P31+P19+P4</f>
        <v>-30.782400000000003</v>
      </c>
      <c r="Q59" s="35">
        <f t="shared" si="34"/>
        <v>-92.982399999999998</v>
      </c>
    </row>
    <row r="61" spans="1:17" x14ac:dyDescent="0.3">
      <c r="B61" s="1" t="s">
        <v>80</v>
      </c>
      <c r="L61" s="1">
        <v>-6</v>
      </c>
    </row>
    <row r="62" spans="1:17" x14ac:dyDescent="0.3">
      <c r="F62" s="2">
        <f>C56-D56</f>
        <v>29999999.99999994</v>
      </c>
      <c r="L62" s="32">
        <f>L59+L61</f>
        <v>-89.9</v>
      </c>
    </row>
  </sheetData>
  <pageMargins left="0.7" right="0.7" top="0.75" bottom="0.75" header="0.3" footer="0.3"/>
  <pageSetup paperSize="8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workbookViewId="0">
      <selection activeCell="F45" sqref="F45"/>
    </sheetView>
  </sheetViews>
  <sheetFormatPr defaultRowHeight="14.4" x14ac:dyDescent="0.3"/>
  <cols>
    <col min="2" max="2" width="34" customWidth="1"/>
    <col min="3" max="3" width="9.88671875" style="40" customWidth="1"/>
    <col min="6" max="6" width="68.5546875" customWidth="1"/>
  </cols>
  <sheetData>
    <row r="1" spans="2:6" ht="27.75" customHeight="1" thickBot="1" x14ac:dyDescent="0.35">
      <c r="B1" s="94" t="s">
        <v>118</v>
      </c>
      <c r="C1" s="94"/>
      <c r="D1" s="94"/>
      <c r="E1" s="94"/>
      <c r="F1" s="94"/>
    </row>
    <row r="2" spans="2:6" s="39" customFormat="1" ht="15" x14ac:dyDescent="0.25">
      <c r="B2" s="47" t="s">
        <v>108</v>
      </c>
      <c r="C2" s="48" t="s">
        <v>86</v>
      </c>
      <c r="D2" s="48" t="s">
        <v>86</v>
      </c>
      <c r="E2" s="60" t="s">
        <v>109</v>
      </c>
      <c r="F2" s="55" t="s">
        <v>98</v>
      </c>
    </row>
    <row r="3" spans="2:6" ht="15" x14ac:dyDescent="0.25">
      <c r="B3" s="49" t="s">
        <v>85</v>
      </c>
      <c r="C3" s="41"/>
      <c r="D3" s="42"/>
      <c r="E3" s="61"/>
      <c r="F3" s="50"/>
    </row>
    <row r="4" spans="2:6" ht="25.5" customHeight="1" x14ac:dyDescent="0.25">
      <c r="B4" s="51" t="s">
        <v>34</v>
      </c>
      <c r="C4" s="41">
        <f>Capex!O20</f>
        <v>-0.2</v>
      </c>
      <c r="D4" s="42"/>
      <c r="E4" s="61"/>
      <c r="F4" s="56" t="s">
        <v>103</v>
      </c>
    </row>
    <row r="5" spans="2:6" ht="18" customHeight="1" x14ac:dyDescent="0.25">
      <c r="B5" s="51" t="s">
        <v>36</v>
      </c>
      <c r="C5" s="66">
        <f>Capex!O22</f>
        <v>-0.5</v>
      </c>
      <c r="D5" s="42"/>
      <c r="E5" s="61"/>
      <c r="F5" s="50" t="s">
        <v>110</v>
      </c>
    </row>
    <row r="6" spans="2:6" ht="17.25" customHeight="1" x14ac:dyDescent="0.25">
      <c r="B6" s="51" t="s">
        <v>87</v>
      </c>
      <c r="C6" s="41">
        <v>-0.25</v>
      </c>
      <c r="D6" s="42"/>
      <c r="E6" s="61"/>
      <c r="F6" s="56" t="s">
        <v>102</v>
      </c>
    </row>
    <row r="7" spans="2:6" ht="30" x14ac:dyDescent="0.25">
      <c r="B7" s="51" t="s">
        <v>43</v>
      </c>
      <c r="C7" s="41">
        <f>Capex!O26</f>
        <v>-1.9</v>
      </c>
      <c r="D7" s="42"/>
      <c r="E7" s="61"/>
      <c r="F7" s="56" t="s">
        <v>100</v>
      </c>
    </row>
    <row r="8" spans="2:6" ht="30" x14ac:dyDescent="0.25">
      <c r="B8" s="51" t="s">
        <v>29</v>
      </c>
      <c r="C8" s="41">
        <f>Capex!O32</f>
        <v>-2.5</v>
      </c>
      <c r="D8" s="42"/>
      <c r="E8" s="61"/>
      <c r="F8" s="56" t="s">
        <v>111</v>
      </c>
    </row>
    <row r="9" spans="2:6" ht="30" x14ac:dyDescent="0.25">
      <c r="B9" s="51" t="s">
        <v>88</v>
      </c>
      <c r="C9" s="41">
        <f>Capex!O33</f>
        <v>-30</v>
      </c>
      <c r="D9" s="42"/>
      <c r="E9" s="61"/>
      <c r="F9" s="56" t="s">
        <v>111</v>
      </c>
    </row>
    <row r="10" spans="2:6" ht="30" x14ac:dyDescent="0.25">
      <c r="B10" s="51" t="s">
        <v>89</v>
      </c>
      <c r="C10" s="41">
        <f>Capex!O34</f>
        <v>-15</v>
      </c>
      <c r="D10" s="42"/>
      <c r="E10" s="61"/>
      <c r="F10" s="56" t="s">
        <v>111</v>
      </c>
    </row>
    <row r="11" spans="2:6" ht="17.25" customHeight="1" x14ac:dyDescent="0.25">
      <c r="B11" s="51" t="s">
        <v>90</v>
      </c>
      <c r="C11" s="41">
        <f>Capex!O37</f>
        <v>-1.2</v>
      </c>
      <c r="D11" s="42"/>
      <c r="E11" s="61"/>
      <c r="F11" s="56" t="s">
        <v>99</v>
      </c>
    </row>
    <row r="12" spans="2:6" x14ac:dyDescent="0.3">
      <c r="B12" s="51" t="s">
        <v>91</v>
      </c>
      <c r="C12" s="41">
        <v>-2</v>
      </c>
      <c r="D12" s="42"/>
      <c r="E12" s="61"/>
      <c r="F12" s="50" t="s">
        <v>112</v>
      </c>
    </row>
    <row r="13" spans="2:6" ht="16.5" customHeight="1" x14ac:dyDescent="0.3">
      <c r="B13" s="51" t="s">
        <v>92</v>
      </c>
      <c r="C13" s="41">
        <v>-1</v>
      </c>
      <c r="D13" s="42"/>
      <c r="E13" s="61"/>
      <c r="F13" s="50" t="s">
        <v>113</v>
      </c>
    </row>
    <row r="14" spans="2:6" x14ac:dyDescent="0.3">
      <c r="B14" s="51" t="s">
        <v>48</v>
      </c>
      <c r="C14" s="41">
        <f>Capex!O47</f>
        <v>-2.4</v>
      </c>
      <c r="D14" s="42"/>
      <c r="E14" s="61"/>
      <c r="F14" s="56" t="s">
        <v>101</v>
      </c>
    </row>
    <row r="15" spans="2:6" ht="30" x14ac:dyDescent="0.25">
      <c r="B15" s="51" t="s">
        <v>40</v>
      </c>
      <c r="C15" s="41">
        <f>Capex!O56</f>
        <v>-3</v>
      </c>
      <c r="D15" s="42"/>
      <c r="E15" s="61"/>
      <c r="F15" s="56" t="s">
        <v>114</v>
      </c>
    </row>
    <row r="16" spans="2:6" ht="15" x14ac:dyDescent="0.25">
      <c r="B16" s="52" t="s">
        <v>95</v>
      </c>
      <c r="C16" s="43"/>
      <c r="D16" s="43">
        <f>SUM(C4:C15)</f>
        <v>-59.95</v>
      </c>
      <c r="E16" s="62"/>
      <c r="F16" s="50"/>
    </row>
    <row r="17" spans="2:6" ht="10.5" customHeight="1" x14ac:dyDescent="0.25">
      <c r="B17" s="51"/>
      <c r="C17" s="42"/>
      <c r="D17" s="42"/>
      <c r="E17" s="61"/>
      <c r="F17" s="50"/>
    </row>
    <row r="18" spans="2:6" ht="15" x14ac:dyDescent="0.25">
      <c r="B18" s="49" t="s">
        <v>93</v>
      </c>
      <c r="C18" s="41"/>
      <c r="D18" s="42"/>
      <c r="E18" s="61"/>
      <c r="F18" s="50"/>
    </row>
    <row r="19" spans="2:6" ht="15" x14ac:dyDescent="0.25">
      <c r="B19" s="51" t="s">
        <v>24</v>
      </c>
      <c r="C19" s="41">
        <f>Capex!O5</f>
        <v>-2.2000000000000002</v>
      </c>
      <c r="D19" s="42"/>
      <c r="E19" s="61"/>
      <c r="F19" s="50" t="s">
        <v>115</v>
      </c>
    </row>
    <row r="20" spans="2:6" ht="15" x14ac:dyDescent="0.25">
      <c r="B20" s="51" t="s">
        <v>43</v>
      </c>
      <c r="C20" s="41">
        <f>Capex!P26</f>
        <v>-13.5</v>
      </c>
      <c r="D20" s="42"/>
      <c r="E20" s="61"/>
      <c r="F20" s="50"/>
    </row>
    <row r="21" spans="2:6" ht="15" x14ac:dyDescent="0.25">
      <c r="B21" s="51" t="s">
        <v>90</v>
      </c>
      <c r="C21" s="41">
        <f>Capex!P37</f>
        <v>-1.7532000000000001</v>
      </c>
      <c r="D21" s="42"/>
      <c r="E21" s="61"/>
      <c r="F21" s="50" t="s">
        <v>116</v>
      </c>
    </row>
    <row r="22" spans="2:6" ht="15" x14ac:dyDescent="0.25">
      <c r="B22" s="51" t="s">
        <v>94</v>
      </c>
      <c r="C22" s="41">
        <f>Capex!P42</f>
        <v>-4.7291999999999996</v>
      </c>
      <c r="D22" s="42"/>
      <c r="E22" s="61"/>
      <c r="F22" s="50" t="s">
        <v>116</v>
      </c>
    </row>
    <row r="23" spans="2:6" ht="15" x14ac:dyDescent="0.25">
      <c r="B23" s="51" t="s">
        <v>40</v>
      </c>
      <c r="C23" s="41">
        <f>Capex!P56+Capex!P57</f>
        <v>-10.8</v>
      </c>
      <c r="D23" s="42"/>
      <c r="E23" s="61"/>
      <c r="F23" s="50" t="s">
        <v>117</v>
      </c>
    </row>
    <row r="24" spans="2:6" ht="15" x14ac:dyDescent="0.25">
      <c r="B24" s="52" t="s">
        <v>96</v>
      </c>
      <c r="C24" s="43"/>
      <c r="D24" s="44">
        <f>SUM(C20:C23)</f>
        <v>-30.782399999999999</v>
      </c>
      <c r="E24" s="63"/>
      <c r="F24" s="50"/>
    </row>
    <row r="25" spans="2:6" ht="7.5" customHeight="1" x14ac:dyDescent="0.25">
      <c r="B25" s="51"/>
      <c r="C25" s="41"/>
      <c r="D25" s="42"/>
      <c r="E25" s="61"/>
      <c r="F25" s="50"/>
    </row>
    <row r="26" spans="2:6" ht="15" x14ac:dyDescent="0.25">
      <c r="B26" s="49" t="s">
        <v>104</v>
      </c>
      <c r="C26" s="41"/>
      <c r="D26" s="42"/>
      <c r="E26" s="61"/>
      <c r="F26" s="50"/>
    </row>
    <row r="27" spans="2:6" ht="15" x14ac:dyDescent="0.25">
      <c r="B27" s="51" t="s">
        <v>105</v>
      </c>
      <c r="C27" s="41"/>
      <c r="D27" s="42"/>
      <c r="E27" s="61"/>
      <c r="F27" s="50" t="s">
        <v>107</v>
      </c>
    </row>
    <row r="28" spans="2:6" ht="15" x14ac:dyDescent="0.25">
      <c r="B28" s="51"/>
      <c r="C28" s="41"/>
      <c r="D28" s="42"/>
      <c r="E28" s="61"/>
      <c r="F28" s="50"/>
    </row>
    <row r="29" spans="2:6" ht="15" x14ac:dyDescent="0.25">
      <c r="B29" s="52" t="s">
        <v>106</v>
      </c>
      <c r="C29" s="43"/>
      <c r="D29" s="44">
        <f>SUM(C26:C28)</f>
        <v>0</v>
      </c>
      <c r="E29" s="63"/>
      <c r="F29" s="50"/>
    </row>
    <row r="30" spans="2:6" ht="15" x14ac:dyDescent="0.25">
      <c r="B30" s="51"/>
      <c r="C30" s="41"/>
      <c r="D30" s="42"/>
      <c r="E30" s="61"/>
      <c r="F30" s="50"/>
    </row>
    <row r="31" spans="2:6" ht="15" x14ac:dyDescent="0.25">
      <c r="B31" s="57" t="s">
        <v>97</v>
      </c>
      <c r="C31" s="45"/>
      <c r="D31" s="46">
        <f>D16+D24</f>
        <v>-90.732399999999998</v>
      </c>
      <c r="E31" s="64"/>
      <c r="F31" s="50"/>
    </row>
    <row r="32" spans="2:6" ht="7.5" customHeight="1" thickBot="1" x14ac:dyDescent="0.3">
      <c r="B32" s="58"/>
      <c r="C32" s="59"/>
      <c r="D32" s="53"/>
      <c r="E32" s="65"/>
      <c r="F32" s="54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abSelected="1" workbookViewId="0">
      <selection activeCell="H7" sqref="H7"/>
    </sheetView>
  </sheetViews>
  <sheetFormatPr defaultRowHeight="14.4" x14ac:dyDescent="0.3"/>
  <cols>
    <col min="1" max="1" width="4.44140625" customWidth="1"/>
    <col min="2" max="2" width="20.77734375" customWidth="1"/>
    <col min="3" max="3" width="14" style="82" hidden="1" customWidth="1"/>
    <col min="4" max="5" width="11.6640625" style="83" hidden="1" customWidth="1"/>
    <col min="6" max="6" width="11.6640625" style="83" customWidth="1"/>
    <col min="7" max="7" width="19.33203125" style="82" customWidth="1"/>
    <col min="8" max="8" width="71.88671875" customWidth="1"/>
    <col min="9" max="9" width="51" customWidth="1"/>
  </cols>
  <sheetData>
    <row r="1" spans="2:9" ht="27.75" customHeight="1" thickBot="1" x14ac:dyDescent="0.4">
      <c r="B1" s="104" t="s">
        <v>118</v>
      </c>
      <c r="C1" s="104"/>
      <c r="D1" s="104"/>
      <c r="E1" s="104"/>
      <c r="F1" s="104"/>
      <c r="G1" s="104"/>
      <c r="H1" s="104"/>
    </row>
    <row r="2" spans="2:9" s="39" customFormat="1" ht="57.6" x14ac:dyDescent="0.3">
      <c r="B2" s="47" t="s">
        <v>108</v>
      </c>
      <c r="C2" s="69" t="s">
        <v>119</v>
      </c>
      <c r="D2" s="70" t="s">
        <v>121</v>
      </c>
      <c r="E2" s="92" t="s">
        <v>136</v>
      </c>
      <c r="F2" s="93" t="s">
        <v>137</v>
      </c>
      <c r="G2" s="69" t="s">
        <v>120</v>
      </c>
      <c r="H2" s="95" t="s">
        <v>139</v>
      </c>
      <c r="I2" s="105" t="s">
        <v>140</v>
      </c>
    </row>
    <row r="3" spans="2:9" x14ac:dyDescent="0.3">
      <c r="B3" s="49" t="s">
        <v>142</v>
      </c>
      <c r="C3" s="96"/>
      <c r="D3" s="97"/>
      <c r="E3" s="98"/>
      <c r="F3" s="98"/>
      <c r="G3" s="96"/>
      <c r="H3" s="99"/>
      <c r="I3" s="106"/>
    </row>
    <row r="4" spans="2:9" ht="70.8" customHeight="1" x14ac:dyDescent="0.3">
      <c r="B4" s="51" t="s">
        <v>34</v>
      </c>
      <c r="C4" s="71"/>
      <c r="D4" s="72">
        <f>Capex!O20</f>
        <v>-0.2</v>
      </c>
      <c r="E4" s="107"/>
      <c r="F4" s="89">
        <f>D4+E4</f>
        <v>-0.2</v>
      </c>
      <c r="G4" s="71"/>
      <c r="H4" s="115" t="s">
        <v>123</v>
      </c>
      <c r="I4" s="108" t="s">
        <v>150</v>
      </c>
    </row>
    <row r="5" spans="2:9" ht="91.8" customHeight="1" x14ac:dyDescent="0.3">
      <c r="B5" s="51" t="s">
        <v>36</v>
      </c>
      <c r="C5" s="71">
        <f>Capex!L22</f>
        <v>-2</v>
      </c>
      <c r="D5" s="73">
        <f>Capex!O22+E5</f>
        <v>-2.6</v>
      </c>
      <c r="E5" s="89">
        <f>Capex!F22/1000000*0.3</f>
        <v>-2.1</v>
      </c>
      <c r="F5" s="89">
        <f>D5</f>
        <v>-2.6</v>
      </c>
      <c r="G5" s="88"/>
      <c r="H5" s="115" t="s">
        <v>141</v>
      </c>
      <c r="I5" s="108" t="s">
        <v>151</v>
      </c>
    </row>
    <row r="6" spans="2:9" ht="57.6" x14ac:dyDescent="0.3">
      <c r="B6" s="51" t="s">
        <v>122</v>
      </c>
      <c r="C6" s="71"/>
      <c r="D6" s="72">
        <v>-0.25</v>
      </c>
      <c r="E6" s="89"/>
      <c r="F6" s="89">
        <f t="shared" ref="F6:F13" si="0">D6+E6</f>
        <v>-0.25</v>
      </c>
      <c r="G6" s="71"/>
      <c r="H6" s="115" t="s">
        <v>124</v>
      </c>
      <c r="I6" s="109" t="s">
        <v>152</v>
      </c>
    </row>
    <row r="7" spans="2:9" ht="144" x14ac:dyDescent="0.3">
      <c r="B7" s="51" t="s">
        <v>43</v>
      </c>
      <c r="C7" s="71"/>
      <c r="D7" s="72">
        <f>Capex!O26</f>
        <v>-1.9</v>
      </c>
      <c r="E7" s="89"/>
      <c r="F7" s="89">
        <f t="shared" si="0"/>
        <v>-1.9</v>
      </c>
      <c r="G7" s="71"/>
      <c r="H7" s="115" t="s">
        <v>125</v>
      </c>
      <c r="I7" s="108" t="s">
        <v>153</v>
      </c>
    </row>
    <row r="8" spans="2:9" ht="28.8" x14ac:dyDescent="0.3">
      <c r="B8" s="123" t="s">
        <v>29</v>
      </c>
      <c r="C8" s="71">
        <f>Capex!L32</f>
        <v>-3.7</v>
      </c>
      <c r="D8" s="72">
        <f>Capex!O32</f>
        <v>-2.5</v>
      </c>
      <c r="E8" s="89"/>
      <c r="F8" s="89">
        <f t="shared" si="0"/>
        <v>-2.5</v>
      </c>
      <c r="G8" s="86"/>
      <c r="H8" s="115" t="s">
        <v>126</v>
      </c>
      <c r="I8" s="109"/>
    </row>
    <row r="9" spans="2:9" ht="129.6" x14ac:dyDescent="0.3">
      <c r="B9" s="123" t="s">
        <v>88</v>
      </c>
      <c r="C9" s="71">
        <f>Capex!L33</f>
        <v>-27</v>
      </c>
      <c r="D9" s="72">
        <f>Capex!O33</f>
        <v>-30</v>
      </c>
      <c r="E9" s="89"/>
      <c r="F9" s="89">
        <f t="shared" si="0"/>
        <v>-30</v>
      </c>
      <c r="G9" s="71"/>
      <c r="H9" s="115" t="s">
        <v>127</v>
      </c>
      <c r="I9" s="108" t="s">
        <v>154</v>
      </c>
    </row>
    <row r="10" spans="2:9" ht="114.75" customHeight="1" x14ac:dyDescent="0.3">
      <c r="B10" s="123" t="s">
        <v>89</v>
      </c>
      <c r="C10" s="71">
        <f>Capex!L34</f>
        <v>-18</v>
      </c>
      <c r="D10" s="72">
        <f>Capex!O34</f>
        <v>-15</v>
      </c>
      <c r="E10" s="89"/>
      <c r="F10" s="89">
        <f t="shared" si="0"/>
        <v>-15</v>
      </c>
      <c r="G10" s="71"/>
      <c r="H10" s="115" t="s">
        <v>128</v>
      </c>
      <c r="I10" s="109" t="s">
        <v>155</v>
      </c>
    </row>
    <row r="11" spans="2:9" ht="17.25" customHeight="1" x14ac:dyDescent="0.3">
      <c r="B11" s="51" t="s">
        <v>90</v>
      </c>
      <c r="C11" s="71"/>
      <c r="D11" s="72">
        <f>Capex!O37</f>
        <v>-1.2</v>
      </c>
      <c r="E11" s="89"/>
      <c r="F11" s="89">
        <f t="shared" si="0"/>
        <v>-1.2</v>
      </c>
      <c r="G11" s="71"/>
      <c r="H11" s="115" t="s">
        <v>99</v>
      </c>
      <c r="I11" s="110"/>
    </row>
    <row r="12" spans="2:9" x14ac:dyDescent="0.3">
      <c r="B12" s="51" t="s">
        <v>48</v>
      </c>
      <c r="C12" s="71"/>
      <c r="D12" s="72">
        <f>Capex!O47</f>
        <v>-2.4</v>
      </c>
      <c r="E12" s="89"/>
      <c r="F12" s="89">
        <f t="shared" si="0"/>
        <v>-2.4</v>
      </c>
      <c r="G12" s="71"/>
      <c r="H12" s="115" t="s">
        <v>131</v>
      </c>
      <c r="I12" s="110"/>
    </row>
    <row r="13" spans="2:9" ht="27" customHeight="1" x14ac:dyDescent="0.3">
      <c r="B13" s="51" t="s">
        <v>40</v>
      </c>
      <c r="C13" s="71"/>
      <c r="D13" s="72">
        <f>Capex!O56</f>
        <v>-3</v>
      </c>
      <c r="E13" s="89"/>
      <c r="F13" s="89">
        <f t="shared" si="0"/>
        <v>-3</v>
      </c>
      <c r="G13" s="71"/>
      <c r="H13" s="115" t="s">
        <v>132</v>
      </c>
      <c r="I13" s="108" t="s">
        <v>158</v>
      </c>
    </row>
    <row r="14" spans="2:9" ht="33.6" customHeight="1" x14ac:dyDescent="0.3">
      <c r="B14" s="124" t="s">
        <v>147</v>
      </c>
      <c r="C14" s="74">
        <f>SUM(C4:C13)</f>
        <v>-50.7</v>
      </c>
      <c r="D14" s="74">
        <f>SUM(D4:D13)</f>
        <v>-59.050000000000004</v>
      </c>
      <c r="E14" s="74">
        <f t="shared" ref="E14" si="1">SUM(E4:E13)</f>
        <v>-2.1</v>
      </c>
      <c r="F14" s="74">
        <f>SUM(F4:F13)</f>
        <v>-59.050000000000004</v>
      </c>
      <c r="G14" s="84"/>
      <c r="H14" s="116"/>
      <c r="I14" s="111"/>
    </row>
    <row r="15" spans="2:9" x14ac:dyDescent="0.3">
      <c r="B15" s="49" t="s">
        <v>143</v>
      </c>
      <c r="C15" s="96"/>
      <c r="D15" s="100"/>
      <c r="E15" s="96"/>
      <c r="F15" s="96"/>
      <c r="G15" s="96"/>
      <c r="H15" s="117"/>
      <c r="I15" s="112"/>
    </row>
    <row r="16" spans="2:9" ht="43.2" x14ac:dyDescent="0.3">
      <c r="B16" s="123" t="s">
        <v>24</v>
      </c>
      <c r="C16" s="71">
        <f>Capex!L5</f>
        <v>-2.2000000000000002</v>
      </c>
      <c r="D16" s="72">
        <f>Capex!O5</f>
        <v>-2.2000000000000002</v>
      </c>
      <c r="E16" s="89"/>
      <c r="F16" s="89">
        <f>D16+E16</f>
        <v>-2.2000000000000002</v>
      </c>
      <c r="G16" s="71"/>
      <c r="H16" s="115" t="s">
        <v>138</v>
      </c>
      <c r="I16" s="108" t="s">
        <v>156</v>
      </c>
    </row>
    <row r="17" spans="2:9" ht="43.2" x14ac:dyDescent="0.3">
      <c r="B17" s="51" t="s">
        <v>91</v>
      </c>
      <c r="C17" s="71">
        <f>Capex!L44</f>
        <v>-2</v>
      </c>
      <c r="D17" s="72">
        <v>-2</v>
      </c>
      <c r="E17" s="89"/>
      <c r="F17" s="89">
        <f>D17+E17</f>
        <v>-2</v>
      </c>
      <c r="G17" s="71"/>
      <c r="H17" s="118" t="s">
        <v>129</v>
      </c>
      <c r="I17" s="108" t="s">
        <v>157</v>
      </c>
    </row>
    <row r="18" spans="2:9" ht="16.5" customHeight="1" x14ac:dyDescent="0.3">
      <c r="B18" s="51" t="s">
        <v>92</v>
      </c>
      <c r="C18" s="71">
        <f>Capex!L50</f>
        <v>-1</v>
      </c>
      <c r="D18" s="72">
        <v>-1</v>
      </c>
      <c r="E18" s="89"/>
      <c r="F18" s="89">
        <f>D18+E18</f>
        <v>-1</v>
      </c>
      <c r="G18" s="71"/>
      <c r="H18" s="118" t="s">
        <v>130</v>
      </c>
      <c r="I18" s="110"/>
    </row>
    <row r="19" spans="2:9" ht="10.5" customHeight="1" x14ac:dyDescent="0.3">
      <c r="B19" s="51"/>
      <c r="C19" s="71"/>
      <c r="D19" s="75"/>
      <c r="E19" s="71"/>
      <c r="F19" s="71"/>
      <c r="G19" s="71"/>
      <c r="H19" s="118"/>
      <c r="I19" s="110"/>
    </row>
    <row r="20" spans="2:9" ht="10.5" customHeight="1" x14ac:dyDescent="0.3">
      <c r="B20" s="51"/>
      <c r="C20" s="71"/>
      <c r="D20" s="75"/>
      <c r="E20" s="71"/>
      <c r="F20" s="71"/>
      <c r="G20" s="71"/>
      <c r="H20" s="118"/>
      <c r="I20" s="110"/>
    </row>
    <row r="21" spans="2:9" ht="32.4" customHeight="1" x14ac:dyDescent="0.3">
      <c r="B21" s="124" t="s">
        <v>148</v>
      </c>
      <c r="C21" s="74">
        <f>SUM(C13:C20)</f>
        <v>-55.900000000000006</v>
      </c>
      <c r="D21" s="74">
        <f>SUM(D13:D20)</f>
        <v>-67.25</v>
      </c>
      <c r="E21" s="74">
        <f>SUM(E13:E20)</f>
        <v>-2.1</v>
      </c>
      <c r="F21" s="74">
        <f>SUM(F16:F20)</f>
        <v>-5.2</v>
      </c>
      <c r="G21" s="102"/>
      <c r="H21" s="116"/>
      <c r="I21" s="111"/>
    </row>
    <row r="22" spans="2:9" ht="10.5" customHeight="1" x14ac:dyDescent="0.3">
      <c r="B22" s="49" t="s">
        <v>144</v>
      </c>
      <c r="C22" s="96"/>
      <c r="D22" s="100"/>
      <c r="E22" s="96"/>
      <c r="F22" s="96"/>
      <c r="G22" s="96"/>
      <c r="H22" s="117"/>
      <c r="I22" s="112"/>
    </row>
    <row r="23" spans="2:9" ht="10.5" customHeight="1" x14ac:dyDescent="0.3">
      <c r="B23" s="51"/>
      <c r="C23" s="71"/>
      <c r="D23" s="75"/>
      <c r="E23" s="71"/>
      <c r="F23" s="71"/>
      <c r="G23" s="71"/>
      <c r="H23" s="118"/>
      <c r="I23" s="110"/>
    </row>
    <row r="24" spans="2:9" ht="10.5" customHeight="1" x14ac:dyDescent="0.3">
      <c r="B24" s="51"/>
      <c r="C24" s="71"/>
      <c r="D24" s="75"/>
      <c r="E24" s="71"/>
      <c r="F24" s="71"/>
      <c r="G24" s="71"/>
      <c r="H24" s="118"/>
      <c r="I24" s="110"/>
    </row>
    <row r="25" spans="2:9" ht="10.5" customHeight="1" x14ac:dyDescent="0.3">
      <c r="B25" s="51"/>
      <c r="C25" s="71"/>
      <c r="D25" s="75"/>
      <c r="E25" s="71"/>
      <c r="F25" s="71"/>
      <c r="G25" s="71"/>
      <c r="H25" s="118"/>
      <c r="I25" s="110"/>
    </row>
    <row r="26" spans="2:9" ht="10.5" customHeight="1" x14ac:dyDescent="0.3">
      <c r="B26" s="51"/>
      <c r="C26" s="71"/>
      <c r="D26" s="75"/>
      <c r="E26" s="71"/>
      <c r="F26" s="71"/>
      <c r="G26" s="71"/>
      <c r="H26" s="118"/>
      <c r="I26" s="110"/>
    </row>
    <row r="27" spans="2:9" ht="10.5" customHeight="1" x14ac:dyDescent="0.3">
      <c r="B27" s="51"/>
      <c r="C27" s="71"/>
      <c r="D27" s="75"/>
      <c r="E27" s="71"/>
      <c r="F27" s="71"/>
      <c r="G27" s="71"/>
      <c r="H27" s="118"/>
      <c r="I27" s="110"/>
    </row>
    <row r="28" spans="2:9" ht="10.5" customHeight="1" x14ac:dyDescent="0.3">
      <c r="B28" s="51"/>
      <c r="C28" s="71"/>
      <c r="D28" s="75"/>
      <c r="E28" s="71"/>
      <c r="F28" s="71"/>
      <c r="G28" s="71"/>
      <c r="H28" s="118"/>
      <c r="I28" s="110"/>
    </row>
    <row r="29" spans="2:9" ht="10.5" customHeight="1" x14ac:dyDescent="0.3">
      <c r="B29" s="51"/>
      <c r="C29" s="71"/>
      <c r="D29" s="75"/>
      <c r="E29" s="71"/>
      <c r="F29" s="71"/>
      <c r="G29" s="71"/>
      <c r="H29" s="118"/>
      <c r="I29" s="110"/>
    </row>
    <row r="30" spans="2:9" ht="20.25" customHeight="1" x14ac:dyDescent="0.3">
      <c r="B30" s="124" t="s">
        <v>149</v>
      </c>
      <c r="C30" s="74">
        <f>SUM(C20:C29)</f>
        <v>-55.900000000000006</v>
      </c>
      <c r="D30" s="74">
        <f>SUM(D20:D29)</f>
        <v>-67.25</v>
      </c>
      <c r="E30" s="74">
        <f t="shared" ref="E30" si="2">SUM(E20:E29)</f>
        <v>-2.1</v>
      </c>
      <c r="F30" s="101">
        <f>SUM(F23:F29)</f>
        <v>0</v>
      </c>
      <c r="G30" s="102"/>
      <c r="H30" s="116"/>
      <c r="I30" s="111"/>
    </row>
    <row r="31" spans="2:9" x14ac:dyDescent="0.3">
      <c r="B31" s="49" t="s">
        <v>145</v>
      </c>
      <c r="C31" s="96"/>
      <c r="D31" s="97"/>
      <c r="E31" s="98"/>
      <c r="F31" s="98"/>
      <c r="G31" s="96"/>
      <c r="H31" s="117"/>
      <c r="I31" s="112"/>
    </row>
    <row r="32" spans="2:9" x14ac:dyDescent="0.3">
      <c r="B32" s="51" t="s">
        <v>43</v>
      </c>
      <c r="C32" s="71"/>
      <c r="D32" s="72">
        <f>Capex!P26</f>
        <v>-13.5</v>
      </c>
      <c r="E32" s="89"/>
      <c r="F32" s="89">
        <f t="shared" ref="F32:F35" si="3">D32+E32</f>
        <v>-13.5</v>
      </c>
      <c r="G32" s="85"/>
      <c r="H32" s="119" t="s">
        <v>135</v>
      </c>
      <c r="I32" s="110"/>
    </row>
    <row r="33" spans="2:9" x14ac:dyDescent="0.3">
      <c r="B33" s="51" t="s">
        <v>90</v>
      </c>
      <c r="C33" s="71"/>
      <c r="D33" s="72">
        <f>Capex!P37</f>
        <v>-1.7532000000000001</v>
      </c>
      <c r="E33" s="89"/>
      <c r="F33" s="89">
        <f t="shared" si="3"/>
        <v>-1.7532000000000001</v>
      </c>
      <c r="G33" s="86"/>
      <c r="H33" s="120" t="s">
        <v>133</v>
      </c>
      <c r="I33" s="110"/>
    </row>
    <row r="34" spans="2:9" x14ac:dyDescent="0.3">
      <c r="B34" s="51" t="s">
        <v>94</v>
      </c>
      <c r="C34" s="71"/>
      <c r="D34" s="72">
        <f>Capex!P42</f>
        <v>-4.7291999999999996</v>
      </c>
      <c r="E34" s="89"/>
      <c r="F34" s="89">
        <f t="shared" si="3"/>
        <v>-4.7291999999999996</v>
      </c>
      <c r="G34" s="86"/>
      <c r="H34" s="120" t="s">
        <v>133</v>
      </c>
      <c r="I34" s="110"/>
    </row>
    <row r="35" spans="2:9" x14ac:dyDescent="0.3">
      <c r="B35" s="51" t="s">
        <v>40</v>
      </c>
      <c r="C35" s="71">
        <f>Capex!L56</f>
        <v>-28</v>
      </c>
      <c r="D35" s="72">
        <f>Capex!P56+Capex!P57</f>
        <v>-10.8</v>
      </c>
      <c r="E35" s="89"/>
      <c r="F35" s="89">
        <f t="shared" si="3"/>
        <v>-10.8</v>
      </c>
      <c r="G35" s="86"/>
      <c r="H35" s="120" t="s">
        <v>134</v>
      </c>
      <c r="I35" s="110"/>
    </row>
    <row r="36" spans="2:9" x14ac:dyDescent="0.3">
      <c r="B36" s="52" t="s">
        <v>96</v>
      </c>
      <c r="C36" s="74">
        <f>SUM(C32:C35)</f>
        <v>-28</v>
      </c>
      <c r="D36" s="74">
        <f>SUM(D32:D35)</f>
        <v>-30.782399999999999</v>
      </c>
      <c r="E36" s="74">
        <f t="shared" ref="E36:F36" si="4">SUM(E32:E35)</f>
        <v>0</v>
      </c>
      <c r="F36" s="74">
        <f t="shared" si="4"/>
        <v>-30.782399999999999</v>
      </c>
      <c r="G36" s="103"/>
      <c r="H36" s="116"/>
      <c r="I36" s="111"/>
    </row>
    <row r="37" spans="2:9" ht="7.5" customHeight="1" x14ac:dyDescent="0.3">
      <c r="B37" s="51"/>
      <c r="C37" s="71"/>
      <c r="D37" s="72"/>
      <c r="E37" s="89"/>
      <c r="F37" s="89"/>
      <c r="G37" s="71"/>
      <c r="H37" s="118"/>
      <c r="I37" s="110"/>
    </row>
    <row r="38" spans="2:9" x14ac:dyDescent="0.3">
      <c r="B38" s="49" t="s">
        <v>146</v>
      </c>
      <c r="C38" s="71"/>
      <c r="D38" s="72"/>
      <c r="E38" s="89"/>
      <c r="F38" s="89"/>
      <c r="G38" s="71"/>
      <c r="H38" s="118"/>
      <c r="I38" s="110"/>
    </row>
    <row r="39" spans="2:9" ht="28.8" x14ac:dyDescent="0.3">
      <c r="B39" s="125" t="s">
        <v>105</v>
      </c>
      <c r="C39" s="71"/>
      <c r="D39" s="72"/>
      <c r="E39" s="89"/>
      <c r="F39" s="89"/>
      <c r="G39" s="71"/>
      <c r="H39" s="118" t="s">
        <v>107</v>
      </c>
      <c r="I39" s="110"/>
    </row>
    <row r="40" spans="2:9" x14ac:dyDescent="0.3">
      <c r="B40" s="51"/>
      <c r="C40" s="71"/>
      <c r="D40" s="72"/>
      <c r="E40" s="89"/>
      <c r="F40" s="89"/>
      <c r="G40" s="71"/>
      <c r="H40" s="118"/>
      <c r="I40" s="110"/>
    </row>
    <row r="41" spans="2:9" x14ac:dyDescent="0.3">
      <c r="B41" s="52" t="s">
        <v>106</v>
      </c>
      <c r="C41" s="76"/>
      <c r="D41" s="74">
        <f>SUM(D39:D40)</f>
        <v>0</v>
      </c>
      <c r="E41" s="84"/>
      <c r="F41" s="84"/>
      <c r="G41" s="76"/>
      <c r="H41" s="116"/>
      <c r="I41" s="111"/>
    </row>
    <row r="42" spans="2:9" s="68" customFormat="1" x14ac:dyDescent="0.3">
      <c r="B42" s="67"/>
      <c r="C42" s="77"/>
      <c r="D42" s="78"/>
      <c r="E42" s="90"/>
      <c r="F42" s="90"/>
      <c r="G42" s="77"/>
      <c r="H42" s="121"/>
      <c r="I42" s="113"/>
    </row>
    <row r="43" spans="2:9" x14ac:dyDescent="0.3">
      <c r="B43" s="51" t="s">
        <v>80</v>
      </c>
      <c r="C43" s="71">
        <f>Capex!L61</f>
        <v>-6</v>
      </c>
      <c r="D43" s="72"/>
      <c r="E43" s="89"/>
      <c r="F43" s="89"/>
      <c r="G43" s="71"/>
      <c r="H43" s="118"/>
      <c r="I43" s="110"/>
    </row>
    <row r="44" spans="2:9" x14ac:dyDescent="0.3">
      <c r="B44" s="57" t="s">
        <v>97</v>
      </c>
      <c r="C44" s="79">
        <f>C41+C36+C14+C43</f>
        <v>-84.7</v>
      </c>
      <c r="D44" s="79">
        <f>D41+D36+D14+D43</f>
        <v>-89.832400000000007</v>
      </c>
      <c r="E44" s="79">
        <f>E41+E36+E14+E43</f>
        <v>-2.1</v>
      </c>
      <c r="F44" s="79">
        <f>F41+F36+F30+F21+F14</f>
        <v>-95.032399999999996</v>
      </c>
      <c r="G44" s="87"/>
      <c r="H44" s="122"/>
      <c r="I44" s="114"/>
    </row>
    <row r="45" spans="2:9" ht="7.5" customHeight="1" thickBot="1" x14ac:dyDescent="0.35">
      <c r="B45" s="58"/>
      <c r="C45" s="80"/>
      <c r="D45" s="81"/>
      <c r="E45" s="91"/>
      <c r="F45" s="91"/>
      <c r="G45" s="80"/>
      <c r="H45" s="65"/>
      <c r="I45" s="54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K12" sqref="K12"/>
    </sheetView>
  </sheetViews>
  <sheetFormatPr defaultRowHeight="14.4" x14ac:dyDescent="0.3"/>
  <cols>
    <col min="2" max="2" width="35" customWidth="1"/>
    <col min="3" max="3" width="18.88671875" customWidth="1"/>
    <col min="4" max="4" width="16.44140625" customWidth="1"/>
    <col min="5" max="5" width="17.6640625" customWidth="1"/>
    <col min="6" max="6" width="13" customWidth="1"/>
  </cols>
  <sheetData>
    <row r="1" spans="2:6" ht="35.25" customHeight="1" thickBot="1" x14ac:dyDescent="0.5">
      <c r="B1" s="126" t="s">
        <v>159</v>
      </c>
      <c r="C1" s="127"/>
      <c r="D1" s="127"/>
      <c r="E1" s="127"/>
      <c r="F1" s="128"/>
    </row>
    <row r="2" spans="2:6" s="39" customFormat="1" ht="52.5" customHeight="1" x14ac:dyDescent="0.4">
      <c r="B2" s="129" t="s">
        <v>160</v>
      </c>
      <c r="C2" s="130" t="s">
        <v>161</v>
      </c>
      <c r="D2" s="130" t="s">
        <v>162</v>
      </c>
      <c r="E2" s="131" t="s">
        <v>163</v>
      </c>
      <c r="F2" s="132" t="s">
        <v>164</v>
      </c>
    </row>
    <row r="3" spans="2:6" ht="21" x14ac:dyDescent="0.4">
      <c r="B3" s="133" t="s">
        <v>165</v>
      </c>
      <c r="C3" s="134">
        <v>-47.5</v>
      </c>
      <c r="D3" s="134">
        <f>F3-C3</f>
        <v>-9.1500000000000057</v>
      </c>
      <c r="E3" s="135"/>
      <c r="F3" s="136">
        <f>'[1]cadence smry2'!F13</f>
        <v>-56.650000000000006</v>
      </c>
    </row>
    <row r="4" spans="2:6" ht="21" x14ac:dyDescent="0.4">
      <c r="B4" s="133" t="s">
        <v>166</v>
      </c>
      <c r="C4" s="134">
        <v>-2.2000000000000002</v>
      </c>
      <c r="D4" s="134">
        <f>F4-C4</f>
        <v>-3</v>
      </c>
      <c r="E4" s="135"/>
      <c r="F4" s="136">
        <f>'[1]cadence smry2'!F19</f>
        <v>-5.2</v>
      </c>
    </row>
    <row r="5" spans="2:6" ht="21" x14ac:dyDescent="0.4">
      <c r="B5" s="133" t="s">
        <v>167</v>
      </c>
      <c r="C5" s="134">
        <v>0</v>
      </c>
      <c r="D5" s="134">
        <f t="shared" ref="D5:D7" si="0">F5-C5</f>
        <v>-2.4</v>
      </c>
      <c r="E5" s="135"/>
      <c r="F5" s="136">
        <f>'[1]cadence smry2'!F28</f>
        <v>-2.4</v>
      </c>
    </row>
    <row r="6" spans="2:6" ht="21" x14ac:dyDescent="0.4">
      <c r="B6" s="133" t="s">
        <v>168</v>
      </c>
      <c r="C6" s="134">
        <v>-30.782399999999999</v>
      </c>
      <c r="D6" s="134">
        <f t="shared" si="0"/>
        <v>0</v>
      </c>
      <c r="E6" s="135"/>
      <c r="F6" s="136">
        <f>'[1]cadence smry2'!F34</f>
        <v>-30.782399999999999</v>
      </c>
    </row>
    <row r="7" spans="2:6" ht="21" x14ac:dyDescent="0.4">
      <c r="B7" s="133" t="s">
        <v>169</v>
      </c>
      <c r="C7" s="134">
        <v>0</v>
      </c>
      <c r="D7" s="134">
        <f t="shared" si="0"/>
        <v>0</v>
      </c>
      <c r="E7" s="135"/>
      <c r="F7" s="136">
        <f>'[1]cadence smry2'!F39</f>
        <v>0</v>
      </c>
    </row>
    <row r="8" spans="2:6" s="39" customFormat="1" ht="21.6" thickBot="1" x14ac:dyDescent="0.45">
      <c r="B8" s="137" t="s">
        <v>164</v>
      </c>
      <c r="C8" s="138">
        <f>SUM(C3:C7)</f>
        <v>-80.482399999999998</v>
      </c>
      <c r="D8" s="138">
        <f>SUM(D3:D7)</f>
        <v>-14.550000000000006</v>
      </c>
      <c r="E8" s="139"/>
      <c r="F8" s="140">
        <f t="shared" ref="F8" si="1">C8+D8</f>
        <v>-95.03240000000001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Cadence smry</vt:lpstr>
      <vt:lpstr>cadence smry2</vt:lpstr>
      <vt:lpstr>summary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Akintoye, Oyewole O SPDC-FUI/OG</dc:creator>
  <cp:lastModifiedBy>Onyemeh, Uzoh J SPDC-PTP/O/NT</cp:lastModifiedBy>
  <cp:lastPrinted>2017-01-30T13:03:42Z</cp:lastPrinted>
  <dcterms:created xsi:type="dcterms:W3CDTF">2017-01-13T15:56:51Z</dcterms:created>
  <dcterms:modified xsi:type="dcterms:W3CDTF">2017-02-17T14:21:53Z</dcterms:modified>
</cp:coreProperties>
</file>