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2.xml" ContentType="application/vnd.ms-excel.threaded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.Olarewaju\Desktop\"/>
    </mc:Choice>
  </mc:AlternateContent>
  <xr:revisionPtr revIDLastSave="0" documentId="13_ncr:1_{2D07E7E4-A9AE-4C1A-A51A-68B41F851AB4}" xr6:coauthVersionLast="47" xr6:coauthVersionMax="47" xr10:uidLastSave="{00000000-0000-0000-0000-000000000000}"/>
  <bookViews>
    <workbookView xWindow="-110" yWindow="-110" windowWidth="19420" windowHeight="10420" tabRatio="906" firstSheet="28" activeTab="32" xr2:uid="{718E926D-C5B5-4C53-801D-488451E50767}"/>
  </bookViews>
  <sheets>
    <sheet name="JAN'23-COST SAVINGS EAST" sheetId="7" r:id="rId1"/>
    <sheet name="JAN '23 COST SAVINGS WEST" sheetId="8" r:id="rId2"/>
    <sheet name="JAN '23 COST AVOIDANCE  " sheetId="9" r:id="rId3"/>
    <sheet name="FEB '23 COST SAVINGS WEST " sheetId="10" r:id="rId4"/>
    <sheet name="FEB '23 COST AVOIDANCE WEST " sheetId="11" r:id="rId5"/>
    <sheet name="FEB '23 COST SAVINGS EAST" sheetId="13" r:id="rId6"/>
    <sheet name="FEB'23 MISSED OPPORTUNITY" sheetId="12" r:id="rId7"/>
    <sheet name="MAR '23 COST SAVINGS " sheetId="15" r:id="rId8"/>
    <sheet name="MAR '23 COST AVOIDANCE " sheetId="17" r:id="rId9"/>
    <sheet name="MAR. MISSED OPPORTUNITY" sheetId="16" r:id="rId10"/>
    <sheet name="APR '23 COST SAVINGS  " sheetId="18" r:id="rId11"/>
    <sheet name="APR '23 COST AVOIDANCE" sheetId="19" r:id="rId12"/>
    <sheet name="APR. MISSED OPPORTUNITY " sheetId="20" r:id="rId13"/>
    <sheet name="MAY '23 COST SAVINGS EAST " sheetId="21" r:id="rId14"/>
    <sheet name="MAY'-23'COST AVOIDANCE EAST" sheetId="22" r:id="rId15"/>
    <sheet name="MAY '23 COST SAVINGS WEST" sheetId="25" r:id="rId16"/>
    <sheet name="MAY '23 COST AVOIDANCE WEST " sheetId="26" r:id="rId17"/>
    <sheet name="MAY. MISSED OPPORTUNITY " sheetId="27" r:id="rId18"/>
    <sheet name="JUNE'23 COST SAVINGS EAST" sheetId="23" r:id="rId19"/>
    <sheet name="JUNE '23 COST SAVINGS WEST " sheetId="29" r:id="rId20"/>
    <sheet name="JUNE '23 COST AVOIDANCE WEST" sheetId="28" r:id="rId21"/>
    <sheet name="JUNE. MISSED OPPORTUNITY WEST" sheetId="30" r:id="rId22"/>
    <sheet name="JULY '23 COST SAVINGS WEST " sheetId="31" r:id="rId23"/>
    <sheet name="JULY '23 COST AVOIDANCE WEST" sheetId="32" r:id="rId24"/>
    <sheet name="JULY. MISSED OPPORTUNITY WEST" sheetId="33" r:id="rId25"/>
    <sheet name="AUG '23 COST SAVINGS WEST" sheetId="34" r:id="rId26"/>
    <sheet name="AUG '23 COST AVOIDANCE WEST " sheetId="35" r:id="rId27"/>
    <sheet name="AUG. MISSED OPPORTUNITY WEST" sheetId="36" r:id="rId28"/>
    <sheet name="SEPT. '23 COST SAVINGS WEST " sheetId="37" r:id="rId29"/>
    <sheet name="SEPT '23 COST AVOIDANCE WEST " sheetId="38" r:id="rId30"/>
    <sheet name="SEPT. MISSED OPPORTUNITY WEST " sheetId="39" r:id="rId31"/>
    <sheet name="SEPT '23 COST AVOIDANCE EAST" sheetId="40" r:id="rId32"/>
    <sheet name="SUMMARY" sheetId="14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4" l="1"/>
  <c r="N14" i="14"/>
  <c r="D18" i="14" l="1"/>
  <c r="E18" i="14"/>
  <c r="F18" i="14"/>
  <c r="G18" i="14"/>
  <c r="H18" i="14"/>
  <c r="I18" i="14"/>
  <c r="J18" i="14"/>
  <c r="K18" i="14"/>
  <c r="L18" i="14"/>
  <c r="M18" i="14"/>
  <c r="K14" i="14"/>
  <c r="J14" i="14"/>
  <c r="G14" i="14"/>
  <c r="F14" i="14"/>
  <c r="H14" i="14"/>
  <c r="K4" i="40"/>
  <c r="M4" i="40" s="1"/>
  <c r="M7" i="40" s="1"/>
  <c r="N10" i="39"/>
  <c r="M10" i="39"/>
  <c r="L10" i="39"/>
  <c r="K7" i="38"/>
  <c r="M7" i="38" s="1"/>
  <c r="M6" i="38"/>
  <c r="L6" i="38"/>
  <c r="K6" i="38"/>
  <c r="L5" i="38"/>
  <c r="K5" i="38"/>
  <c r="M5" i="38" s="1"/>
  <c r="K4" i="38"/>
  <c r="K10" i="38" s="1"/>
  <c r="N17" i="37"/>
  <c r="M17" i="37"/>
  <c r="L17" i="37"/>
  <c r="N16" i="37"/>
  <c r="M16" i="37"/>
  <c r="N15" i="37"/>
  <c r="M15" i="37"/>
  <c r="N14" i="37"/>
  <c r="M14" i="37"/>
  <c r="N13" i="37"/>
  <c r="M13" i="37"/>
  <c r="N12" i="37"/>
  <c r="M12" i="37"/>
  <c r="N11" i="37"/>
  <c r="M11" i="37"/>
  <c r="N10" i="37"/>
  <c r="M10" i="37"/>
  <c r="N9" i="37"/>
  <c r="M9" i="37"/>
  <c r="N8" i="37"/>
  <c r="M8" i="37"/>
  <c r="N7" i="37"/>
  <c r="M7" i="37"/>
  <c r="N6" i="37"/>
  <c r="M6" i="37"/>
  <c r="N5" i="37"/>
  <c r="M5" i="37"/>
  <c r="N4" i="37"/>
  <c r="M4" i="37"/>
  <c r="M13" i="14"/>
  <c r="L13" i="14"/>
  <c r="K13" i="14"/>
  <c r="J13" i="14"/>
  <c r="G13" i="14"/>
  <c r="F13" i="14"/>
  <c r="G12" i="14"/>
  <c r="F12" i="14"/>
  <c r="K7" i="40" l="1"/>
  <c r="L4" i="40"/>
  <c r="L7" i="40" s="1"/>
  <c r="L4" i="38"/>
  <c r="M4" i="38"/>
  <c r="M10" i="38" s="1"/>
  <c r="L7" i="38"/>
  <c r="L15" i="36"/>
  <c r="N8" i="36"/>
  <c r="M8" i="36"/>
  <c r="N7" i="36"/>
  <c r="M7" i="36"/>
  <c r="N6" i="36"/>
  <c r="M6" i="36"/>
  <c r="N5" i="36"/>
  <c r="M5" i="36"/>
  <c r="N4" i="36"/>
  <c r="N15" i="36" s="1"/>
  <c r="M4" i="36"/>
  <c r="M15" i="36" s="1"/>
  <c r="K10" i="35"/>
  <c r="M10" i="35" s="1"/>
  <c r="M9" i="35"/>
  <c r="L9" i="35"/>
  <c r="K9" i="35"/>
  <c r="K8" i="35"/>
  <c r="M8" i="35" s="1"/>
  <c r="M7" i="35"/>
  <c r="K7" i="35"/>
  <c r="L7" i="35" s="1"/>
  <c r="K6" i="35"/>
  <c r="L6" i="35" s="1"/>
  <c r="K5" i="35"/>
  <c r="M5" i="35" s="1"/>
  <c r="K4" i="35"/>
  <c r="M4" i="35" s="1"/>
  <c r="L33" i="34"/>
  <c r="N32" i="34"/>
  <c r="M32" i="34"/>
  <c r="N31" i="34"/>
  <c r="M31" i="34"/>
  <c r="N30" i="34"/>
  <c r="M30" i="34"/>
  <c r="N29" i="34"/>
  <c r="M29" i="34"/>
  <c r="N28" i="34"/>
  <c r="M28" i="34"/>
  <c r="N27" i="34"/>
  <c r="M27" i="34"/>
  <c r="N26" i="34"/>
  <c r="M26" i="34"/>
  <c r="N25" i="34"/>
  <c r="M25" i="34"/>
  <c r="N24" i="34"/>
  <c r="M24" i="34"/>
  <c r="N23" i="34"/>
  <c r="M23" i="34"/>
  <c r="N22" i="34"/>
  <c r="M22" i="34"/>
  <c r="N21" i="34"/>
  <c r="M21" i="34"/>
  <c r="N20" i="34"/>
  <c r="M20" i="34"/>
  <c r="N19" i="34"/>
  <c r="M19" i="34"/>
  <c r="N18" i="34"/>
  <c r="M18" i="34"/>
  <c r="N17" i="34"/>
  <c r="M17" i="34"/>
  <c r="N16" i="34"/>
  <c r="M16" i="34"/>
  <c r="N15" i="34"/>
  <c r="M15" i="34"/>
  <c r="N14" i="34"/>
  <c r="M14" i="34"/>
  <c r="N13" i="34"/>
  <c r="M13" i="34"/>
  <c r="N12" i="34"/>
  <c r="M12" i="34"/>
  <c r="N11" i="34"/>
  <c r="M11" i="34"/>
  <c r="N10" i="34"/>
  <c r="M10" i="34"/>
  <c r="N9" i="34"/>
  <c r="M9" i="34"/>
  <c r="N8" i="34"/>
  <c r="M8" i="34"/>
  <c r="N7" i="34"/>
  <c r="M7" i="34"/>
  <c r="N6" i="34"/>
  <c r="M6" i="34"/>
  <c r="N5" i="34"/>
  <c r="M5" i="34"/>
  <c r="N4" i="34"/>
  <c r="N33" i="34" s="1"/>
  <c r="M4" i="34"/>
  <c r="M33" i="34" s="1"/>
  <c r="N15" i="33"/>
  <c r="M15" i="33"/>
  <c r="L15" i="33"/>
  <c r="M12" i="32"/>
  <c r="L12" i="32"/>
  <c r="K12" i="32"/>
  <c r="N15" i="31"/>
  <c r="M15" i="31"/>
  <c r="L15" i="31"/>
  <c r="N14" i="31"/>
  <c r="M14" i="31"/>
  <c r="N13" i="31"/>
  <c r="M13" i="31"/>
  <c r="N12" i="31"/>
  <c r="M12" i="31"/>
  <c r="N11" i="31"/>
  <c r="M11" i="31"/>
  <c r="N10" i="31"/>
  <c r="M10" i="31"/>
  <c r="N9" i="31"/>
  <c r="M9" i="31"/>
  <c r="N8" i="31"/>
  <c r="M8" i="31"/>
  <c r="N7" i="31"/>
  <c r="M7" i="31"/>
  <c r="N6" i="31"/>
  <c r="M6" i="31"/>
  <c r="N5" i="31"/>
  <c r="M5" i="31"/>
  <c r="N4" i="31"/>
  <c r="M4" i="31"/>
  <c r="L10" i="38" l="1"/>
  <c r="M6" i="35"/>
  <c r="M12" i="35" s="1"/>
  <c r="L4" i="35"/>
  <c r="L10" i="35"/>
  <c r="L8" i="35"/>
  <c r="K12" i="35"/>
  <c r="L5" i="35"/>
  <c r="L12" i="35" l="1"/>
  <c r="M11" i="14" l="1"/>
  <c r="L11" i="14"/>
  <c r="M10" i="14"/>
  <c r="L10" i="14"/>
  <c r="K11" i="14"/>
  <c r="J11" i="14"/>
  <c r="G11" i="14"/>
  <c r="F11" i="14"/>
  <c r="K10" i="14"/>
  <c r="J10" i="14"/>
  <c r="I10" i="14"/>
  <c r="H10" i="14"/>
  <c r="G10" i="14"/>
  <c r="F10" i="14"/>
  <c r="M4" i="30"/>
  <c r="M17" i="30" s="1"/>
  <c r="N4" i="30"/>
  <c r="M5" i="30"/>
  <c r="N5" i="30"/>
  <c r="L17" i="30"/>
  <c r="N17" i="30"/>
  <c r="M4" i="29"/>
  <c r="N4" i="29"/>
  <c r="N15" i="29" s="1"/>
  <c r="M5" i="29"/>
  <c r="N5" i="29"/>
  <c r="M6" i="29"/>
  <c r="N6" i="29"/>
  <c r="M7" i="29"/>
  <c r="N7" i="29"/>
  <c r="M8" i="29"/>
  <c r="N8" i="29"/>
  <c r="M9" i="29"/>
  <c r="N9" i="29"/>
  <c r="M10" i="29"/>
  <c r="N10" i="29"/>
  <c r="M11" i="29"/>
  <c r="N11" i="29"/>
  <c r="M12" i="29"/>
  <c r="N12" i="29"/>
  <c r="M13" i="29"/>
  <c r="N13" i="29"/>
  <c r="M14" i="29"/>
  <c r="N14" i="29"/>
  <c r="L15" i="29"/>
  <c r="M15" i="29"/>
  <c r="K4" i="28"/>
  <c r="L4" i="28" s="1"/>
  <c r="L12" i="28" s="1"/>
  <c r="M4" i="28"/>
  <c r="M12" i="28" s="1"/>
  <c r="K5" i="28"/>
  <c r="K12" i="28" s="1"/>
  <c r="L5" i="28"/>
  <c r="M5" i="28"/>
  <c r="M4" i="27"/>
  <c r="M17" i="27" s="1"/>
  <c r="N4" i="27"/>
  <c r="M5" i="27"/>
  <c r="N5" i="27"/>
  <c r="L17" i="27"/>
  <c r="N17" i="27"/>
  <c r="K4" i="26"/>
  <c r="M4" i="26" s="1"/>
  <c r="M12" i="26" s="1"/>
  <c r="L4" i="26"/>
  <c r="L12" i="26" s="1"/>
  <c r="K5" i="26"/>
  <c r="L5" i="26"/>
  <c r="M5" i="26"/>
  <c r="M4" i="25"/>
  <c r="N4" i="25"/>
  <c r="M5" i="25"/>
  <c r="N5" i="25"/>
  <c r="M6" i="25"/>
  <c r="N6" i="25"/>
  <c r="M7" i="25"/>
  <c r="N7" i="25"/>
  <c r="M8" i="25"/>
  <c r="N8" i="25"/>
  <c r="M9" i="25"/>
  <c r="N9" i="25"/>
  <c r="M10" i="25"/>
  <c r="N10" i="25"/>
  <c r="M11" i="25"/>
  <c r="N11" i="25"/>
  <c r="M12" i="25"/>
  <c r="N12" i="25"/>
  <c r="M13" i="25"/>
  <c r="N13" i="25"/>
  <c r="M14" i="25"/>
  <c r="N14" i="25"/>
  <c r="M15" i="25"/>
  <c r="N15" i="25"/>
  <c r="M16" i="25"/>
  <c r="N16" i="25"/>
  <c r="M17" i="25"/>
  <c r="N17" i="25"/>
  <c r="M18" i="25"/>
  <c r="N18" i="25"/>
  <c r="M19" i="25"/>
  <c r="N19" i="25"/>
  <c r="M20" i="25"/>
  <c r="N20" i="25"/>
  <c r="M21" i="25"/>
  <c r="N21" i="25"/>
  <c r="M22" i="25"/>
  <c r="N22" i="25"/>
  <c r="M23" i="25"/>
  <c r="N23" i="25"/>
  <c r="M24" i="25"/>
  <c r="N24" i="25"/>
  <c r="M25" i="25"/>
  <c r="N25" i="25"/>
  <c r="M26" i="25"/>
  <c r="N26" i="25"/>
  <c r="M27" i="25"/>
  <c r="N27" i="25"/>
  <c r="L28" i="25"/>
  <c r="M28" i="25"/>
  <c r="N28" i="25"/>
  <c r="E11" i="14"/>
  <c r="D11" i="14"/>
  <c r="E10" i="14"/>
  <c r="D10" i="14"/>
  <c r="N4" i="23"/>
  <c r="M5" i="23"/>
  <c r="N5" i="23"/>
  <c r="M6" i="23"/>
  <c r="N6" i="23"/>
  <c r="M7" i="23"/>
  <c r="N7" i="23"/>
  <c r="M8" i="23"/>
  <c r="N8" i="23"/>
  <c r="M9" i="23"/>
  <c r="N9" i="23"/>
  <c r="M10" i="23"/>
  <c r="N10" i="23"/>
  <c r="M11" i="23"/>
  <c r="N11" i="23"/>
  <c r="M12" i="23"/>
  <c r="N12" i="23"/>
  <c r="M13" i="23"/>
  <c r="N13" i="23"/>
  <c r="M14" i="23"/>
  <c r="N14" i="23"/>
  <c r="L4" i="22"/>
  <c r="L6" i="22" s="1"/>
  <c r="M4" i="22"/>
  <c r="M6" i="22" s="1"/>
  <c r="N4" i="21"/>
  <c r="N7" i="21" s="1"/>
  <c r="N5" i="21"/>
  <c r="M7" i="21"/>
  <c r="M4" i="20"/>
  <c r="M17" i="20" s="1"/>
  <c r="L17" i="20"/>
  <c r="N17" i="20"/>
  <c r="L4" i="19"/>
  <c r="M4" i="19"/>
  <c r="M14" i="19" s="1"/>
  <c r="L5" i="19"/>
  <c r="M5" i="19"/>
  <c r="L6" i="19"/>
  <c r="M6" i="19"/>
  <c r="L7" i="19"/>
  <c r="L14" i="19" s="1"/>
  <c r="M7" i="19"/>
  <c r="K14" i="19"/>
  <c r="M4" i="18"/>
  <c r="N4" i="18"/>
  <c r="M5" i="18"/>
  <c r="N5" i="18"/>
  <c r="M6" i="18"/>
  <c r="N6" i="18"/>
  <c r="M7" i="18"/>
  <c r="N7" i="18"/>
  <c r="M8" i="18"/>
  <c r="N8" i="18"/>
  <c r="M9" i="18"/>
  <c r="N9" i="18"/>
  <c r="M10" i="18"/>
  <c r="N10" i="18"/>
  <c r="M11" i="18"/>
  <c r="N11" i="18"/>
  <c r="M12" i="18"/>
  <c r="N12" i="18"/>
  <c r="M13" i="18"/>
  <c r="N13" i="18"/>
  <c r="M14" i="18"/>
  <c r="N14" i="18"/>
  <c r="M15" i="18"/>
  <c r="N15" i="18"/>
  <c r="M16" i="18"/>
  <c r="N16" i="18"/>
  <c r="L17" i="18"/>
  <c r="M17" i="18"/>
  <c r="N17" i="18"/>
  <c r="L4" i="17"/>
  <c r="M4" i="17"/>
  <c r="L5" i="17"/>
  <c r="M5" i="17"/>
  <c r="L6" i="17"/>
  <c r="M6" i="17"/>
  <c r="L7" i="17"/>
  <c r="L16" i="17" s="1"/>
  <c r="M7" i="17"/>
  <c r="M16" i="17" s="1"/>
  <c r="L8" i="17"/>
  <c r="M8" i="17"/>
  <c r="L9" i="17"/>
  <c r="M9" i="17"/>
  <c r="K16" i="17"/>
  <c r="L18" i="16"/>
  <c r="M18" i="16"/>
  <c r="N18" i="16"/>
  <c r="M4" i="15"/>
  <c r="N4" i="15"/>
  <c r="M5" i="15"/>
  <c r="N5" i="15"/>
  <c r="M6" i="15"/>
  <c r="N6" i="15"/>
  <c r="M7" i="15"/>
  <c r="N7" i="15"/>
  <c r="M8" i="15"/>
  <c r="N8" i="15"/>
  <c r="M9" i="15"/>
  <c r="N9" i="15"/>
  <c r="M10" i="15"/>
  <c r="N10" i="15"/>
  <c r="M11" i="15"/>
  <c r="N11" i="15"/>
  <c r="M12" i="15"/>
  <c r="N12" i="15"/>
  <c r="M13" i="15"/>
  <c r="N13" i="15"/>
  <c r="M14" i="15"/>
  <c r="N14" i="15"/>
  <c r="M15" i="15"/>
  <c r="N15" i="15"/>
  <c r="M16" i="15"/>
  <c r="N16" i="15"/>
  <c r="M17" i="15"/>
  <c r="N17" i="15"/>
  <c r="M18" i="15"/>
  <c r="N18" i="15"/>
  <c r="M19" i="15"/>
  <c r="N19" i="15"/>
  <c r="L20" i="15"/>
  <c r="M20" i="15"/>
  <c r="N20" i="15"/>
  <c r="O8" i="14"/>
  <c r="O9" i="14"/>
  <c r="O12" i="14"/>
  <c r="O13" i="14"/>
  <c r="O15" i="14"/>
  <c r="O16" i="14"/>
  <c r="O17" i="14"/>
  <c r="N8" i="14"/>
  <c r="N9" i="14"/>
  <c r="N12" i="14"/>
  <c r="N13" i="14"/>
  <c r="N15" i="14"/>
  <c r="N16" i="14"/>
  <c r="N17" i="14"/>
  <c r="M7" i="14"/>
  <c r="L7" i="14"/>
  <c r="K6" i="14"/>
  <c r="J6" i="14"/>
  <c r="E6" i="14"/>
  <c r="D6" i="14"/>
  <c r="O11" i="14" l="1"/>
  <c r="N11" i="14"/>
  <c r="O10" i="14"/>
  <c r="N10" i="14"/>
  <c r="K12" i="26"/>
  <c r="N16" i="23"/>
  <c r="M16" i="23"/>
  <c r="N14" i="13"/>
  <c r="M14" i="13"/>
  <c r="N13" i="13"/>
  <c r="M13" i="13"/>
  <c r="N12" i="13"/>
  <c r="M12" i="13"/>
  <c r="N11" i="13"/>
  <c r="M11" i="13"/>
  <c r="N10" i="13"/>
  <c r="N15" i="13" s="1"/>
  <c r="E7" i="14" s="1"/>
  <c r="M10" i="13"/>
  <c r="N4" i="13"/>
  <c r="M4" i="13"/>
  <c r="M15" i="13"/>
  <c r="D7" i="14" s="1"/>
  <c r="N7" i="10" l="1"/>
  <c r="N8" i="10"/>
  <c r="N9" i="10"/>
  <c r="M7" i="10"/>
  <c r="M8" i="10"/>
  <c r="M9" i="10"/>
  <c r="L18" i="12" l="1"/>
  <c r="M18" i="12"/>
  <c r="N18" i="12"/>
  <c r="J16" i="11"/>
  <c r="L8" i="11"/>
  <c r="K8" i="11"/>
  <c r="L7" i="11"/>
  <c r="K7" i="11"/>
  <c r="L6" i="11"/>
  <c r="K6" i="11"/>
  <c r="L5" i="11"/>
  <c r="K5" i="11"/>
  <c r="L4" i="11"/>
  <c r="K4" i="11"/>
  <c r="M4" i="10"/>
  <c r="N4" i="10"/>
  <c r="N20" i="10" s="1"/>
  <c r="G7" i="14" s="1"/>
  <c r="M5" i="10"/>
  <c r="N5" i="10"/>
  <c r="M6" i="10"/>
  <c r="N6" i="10"/>
  <c r="M15" i="10"/>
  <c r="N15" i="10"/>
  <c r="M16" i="10"/>
  <c r="N16" i="10"/>
  <c r="M17" i="10"/>
  <c r="N17" i="10"/>
  <c r="M18" i="10"/>
  <c r="N18" i="10"/>
  <c r="M19" i="10"/>
  <c r="N19" i="10"/>
  <c r="M16" i="9"/>
  <c r="L16" i="9"/>
  <c r="K16" i="9"/>
  <c r="N19" i="8"/>
  <c r="M19" i="8"/>
  <c r="N18" i="8"/>
  <c r="M18" i="8"/>
  <c r="N17" i="8"/>
  <c r="M17" i="8"/>
  <c r="N16" i="8"/>
  <c r="M16" i="8"/>
  <c r="N15" i="8"/>
  <c r="M15" i="8"/>
  <c r="N4" i="8"/>
  <c r="N20" i="8" s="1"/>
  <c r="G6" i="14" s="1"/>
  <c r="O6" i="14" s="1"/>
  <c r="M4" i="8"/>
  <c r="M20" i="8" s="1"/>
  <c r="F6" i="14" s="1"/>
  <c r="N6" i="14" s="1"/>
  <c r="O7" i="14" l="1"/>
  <c r="O18" i="14" s="1"/>
  <c r="K16" i="11"/>
  <c r="J7" i="14" s="1"/>
  <c r="L16" i="11"/>
  <c r="K7" i="14" s="1"/>
  <c r="M20" i="10"/>
  <c r="F7" i="14" s="1"/>
  <c r="N7" i="14" s="1"/>
  <c r="N18" i="14" s="1"/>
  <c r="M11" i="7"/>
  <c r="K11" i="7"/>
  <c r="L11" i="7"/>
  <c r="M4" i="7"/>
  <c r="M5" i="7"/>
  <c r="M6" i="7"/>
  <c r="M7" i="7"/>
  <c r="M8" i="7"/>
  <c r="M9" i="7"/>
  <c r="M3" i="7"/>
  <c r="L4" i="7"/>
  <c r="L5" i="7"/>
  <c r="L6" i="7"/>
  <c r="L7" i="7"/>
  <c r="L8" i="7"/>
  <c r="L9" i="7"/>
  <c r="L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Egejuru, Ebere SPDC-UPO/G/USLM</author>
    <author>tc={C5A8016B-7D03-41C3-9B06-A819C6C951A9}</author>
  </authors>
  <commentList>
    <comment ref="B3" authorId="0" shapeId="0" xr:uid="{9699870B-DBF1-4440-904E-26DDE93D3394}">
      <text>
        <r>
          <rPr>
            <b/>
            <sz val="9"/>
            <color indexed="81"/>
            <rFont val="Tahoma"/>
            <family val="2"/>
          </rPr>
          <t>Egejuru, Ebere SPDC-UPO/G/USLM:</t>
        </r>
        <r>
          <rPr>
            <sz val="9"/>
            <color indexed="81"/>
            <rFont val="Tahoma"/>
            <family val="2"/>
          </rPr>
          <t xml:space="preserve">
Saving is achieved as vessel was demobbed before Actual demobilization date of 31st Jan.2023</t>
        </r>
      </text>
    </comment>
    <comment ref="B4" authorId="0" shapeId="0" xr:uid="{C8B86668-0E00-4CE3-B736-341289B1A9CF}">
      <text>
        <r>
          <rPr>
            <b/>
            <sz val="9"/>
            <color indexed="81"/>
            <rFont val="Tahoma"/>
            <family val="2"/>
          </rPr>
          <t>Egejuru, Ebere SPDC-UPO/G/USLM:</t>
        </r>
        <r>
          <rPr>
            <sz val="9"/>
            <color indexed="81"/>
            <rFont val="Tahoma"/>
            <family val="2"/>
          </rPr>
          <t xml:space="preserve">
Saving is achieved as vessel was demobbed before Actual demobilization date of 31st Jan. 2023</t>
        </r>
      </text>
    </comment>
    <comment ref="B5" authorId="0" shapeId="0" xr:uid="{C5142037-5213-4B2B-B0E4-CCA6802B5B35}">
      <text>
        <r>
          <rPr>
            <b/>
            <sz val="9"/>
            <color indexed="81"/>
            <rFont val="Tahoma"/>
            <family val="2"/>
          </rPr>
          <t>Egejuru, Ebere SPDC-UPO/G/USLM:</t>
        </r>
        <r>
          <rPr>
            <sz val="9"/>
            <color indexed="81"/>
            <rFont val="Tahoma"/>
            <family val="2"/>
          </rPr>
          <t xml:space="preserve">
Saving is achieved as vessel was demobbed before Actual demobilization date of 31st Jan. 2023</t>
        </r>
      </text>
    </comment>
    <comment ref="B6" authorId="0" shapeId="0" xr:uid="{48193F96-B8CF-4968-8C6E-D30D7A4EC46D}">
      <text>
        <r>
          <rPr>
            <b/>
            <sz val="9"/>
            <color indexed="81"/>
            <rFont val="Tahoma"/>
            <family val="2"/>
          </rPr>
          <t>Egejuru, Ebere SPDC-UPO/G/USLM:</t>
        </r>
        <r>
          <rPr>
            <sz val="9"/>
            <color indexed="81"/>
            <rFont val="Tahoma"/>
            <family val="2"/>
          </rPr>
          <t xml:space="preserve">
Saving is achieved as vessel was demobbed before Actuual demobilization date of 31st Jan. 2023</t>
        </r>
      </text>
    </comment>
    <comment ref="B7" authorId="0" shapeId="0" xr:uid="{AB48600F-7610-4F02-940B-5937EADEE24B}">
      <text>
        <r>
          <rPr>
            <b/>
            <sz val="9"/>
            <color indexed="81"/>
            <rFont val="Tahoma"/>
            <family val="2"/>
          </rPr>
          <t>Egejuru, Ebere SPDC-UPO/G/USLM:</t>
        </r>
        <r>
          <rPr>
            <sz val="9"/>
            <color indexed="81"/>
            <rFont val="Tahoma"/>
            <family val="2"/>
          </rPr>
          <t xml:space="preserve">
Saving is achieved as vessel was demobbed before Actual demobilization date of 15th Jan. 2023</t>
        </r>
      </text>
    </comment>
    <comment ref="B8" authorId="1" shapeId="0" xr:uid="{C5A8016B-7D03-41C3-9B06-A819C6C951A9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RE-CYCLE TO DE-MOB PACIFIC-1 HOUSEBOAT FROM SOKU GP AFTER COMPLETION OF OABP ACTIVITY FROM 11TH-13TH AFTER</t>
      </text>
    </comment>
    <comment ref="B9" authorId="0" shapeId="0" xr:uid="{8A3F841A-29AA-417E-9925-795E61821081}">
      <text>
        <r>
          <rPr>
            <b/>
            <sz val="9"/>
            <color indexed="81"/>
            <rFont val="Tahoma"/>
            <family val="2"/>
          </rPr>
          <t>Egejuru, Ebere SPDC-UPO/G/USLM:</t>
        </r>
        <r>
          <rPr>
            <sz val="9"/>
            <color indexed="81"/>
            <rFont val="Tahoma"/>
            <family val="2"/>
          </rPr>
          <t xml:space="preserve">
Saving is achieved as vessel was demobbed before Actual demobilization date of 15th Jan. 2023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I3" authorId="0" shapeId="0" xr:uid="{2ED5E51D-C5AB-4BDE-858F-0D96F00346DE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Expected sail out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I3" authorId="0" shapeId="0" xr:uid="{A72DB3CF-D56B-4B5F-BE00-339F007A5369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Expected sail out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I3" authorId="0" shapeId="0" xr:uid="{79E4965E-FCB6-44E0-AE82-4AF10E818862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Expected sail out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9" authorId="0" shapeId="0" xr:uid="{C973720F-BB51-4900-B878-29CE7871B4D9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OPTIMIZATION OF EXISTING FLEET RATHER THAN CALL UP TO SUPPORT NGC OPS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7" authorId="0" shapeId="0" xr:uid="{72BE4C7A-4D80-46C5-946F-A5F42B23F6F1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USED TO DEMOB LAND LOG KITS FROM ESCRAVOS</t>
        </r>
      </text>
    </comment>
    <comment ref="B8" authorId="0" shapeId="0" xr:uid="{6F6FCD16-8B8C-46C6-9B61-4AF09DA44E57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USED TO DEMOB LAND LOG KITS FROM ESCRAVOS</t>
        </r>
      </text>
    </comment>
    <comment ref="B9" authorId="0" shapeId="0" xr:uid="{A9598386-7FD4-4F2F-A1A7-78ACF73AADE9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OPTIMIZE A RIG TUGBOAT TO DEMOB YINS OIL 1 FROM FOT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K4" authorId="0" shapeId="0" xr:uid="{8CD94941-8579-4FA8-9B7B-7BDE53F37B80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Delays caused by seeking opportunistic room to demob kits</t>
        </r>
      </text>
    </comment>
    <comment ref="K5" authorId="0" shapeId="0" xr:uid="{308EEFB6-530D-4A19-B9B1-20EB1E0C8C4E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Delays caused by vendor's inability to get a compliant barge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B6" authorId="0" shapeId="0" xr:uid="{DD17E222-6873-405E-BFDD-CD18970CD340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USED EXISTING FLEET(PAPATA-1) TO DEMOB TRP HB FROM ODIMODI</t>
        </r>
      </text>
    </comment>
    <comment ref="B7" authorId="0" shapeId="0" xr:uid="{7D1D5C3B-44AD-4D52-8582-BEFC0455E26E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USED EXISTING FLEET (NEMMEN-1)TO DEMOB TRP HB FROM ODIMODI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K4" authorId="0" shapeId="0" xr:uid="{A7D4AB28-0AB1-4A8F-A92E-9E7232B07EC5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Delays caused by seeking opportunistic room to demob kits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tc={334F76E9-EFDB-468D-AFB0-E9F876EA6E3C}</author>
  </authors>
  <commentList>
    <comment ref="B4" authorId="0" shapeId="0" xr:uid="{334F76E9-EFDB-468D-AFB0-E9F876EA6E3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EXISTING FLEET TO ASSIT IN THE DEMOB OF EXCLUSIVE-II HOUSEBOAT ON THE 22ND MAY.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I3" authorId="0" shapeId="0" xr:uid="{DC0DC1CB-B025-4A1E-B5DB-A494EE85D852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Expected sail out date</t>
        </r>
      </text>
    </comment>
    <comment ref="K4" authorId="0" shapeId="0" xr:uid="{41EEB90D-2F64-4A07-804F-56102FAD6B1A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Delays caused by absence of escort</t>
        </r>
      </text>
    </comment>
    <comment ref="I5" authorId="0" shapeId="0" xr:uid="{B7781C7E-D9B2-4EAE-BF76-DBE88092C0A4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Expected sail out date</t>
        </r>
      </text>
    </comment>
    <comment ref="K5" authorId="0" shapeId="0" xr:uid="{4D368EF9-DB37-429A-B391-530039A100D2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Delays caused by absence of escort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Igben, Kingsley D SPDC-UPC/G/USLM</author>
  </authors>
  <commentList>
    <comment ref="I3" authorId="0" shapeId="0" xr:uid="{829E2495-AB84-40E1-9298-34A883C6DEB4}">
      <text>
        <r>
          <rPr>
            <b/>
            <sz val="9"/>
            <color indexed="81"/>
            <rFont val="Tahoma"/>
            <family val="2"/>
          </rPr>
          <t>Igben, Kingsley D SPDC-UPC/G/USLM:</t>
        </r>
        <r>
          <rPr>
            <sz val="9"/>
            <color indexed="81"/>
            <rFont val="Tahoma"/>
            <family val="2"/>
          </rPr>
          <t xml:space="preserve">
Expected sail out date</t>
        </r>
      </text>
    </comment>
  </commentList>
</comments>
</file>

<file path=xl/sharedStrings.xml><?xml version="1.0" encoding="utf-8"?>
<sst xmlns="http://schemas.openxmlformats.org/spreadsheetml/2006/main" count="1604" uniqueCount="328">
  <si>
    <t>S/N</t>
  </si>
  <si>
    <t>TYPE</t>
  </si>
  <si>
    <t>TEAM</t>
  </si>
  <si>
    <t>LOCATION</t>
  </si>
  <si>
    <t>N</t>
  </si>
  <si>
    <t>$</t>
  </si>
  <si>
    <t>ACTUAL OFF-HIRE</t>
  </si>
  <si>
    <t>EXPECTED OFF-HIRE</t>
  </si>
  <si>
    <t>ACTUAL SAVINGS  IN DAYS</t>
  </si>
  <si>
    <t>RAMP BARGE</t>
  </si>
  <si>
    <t>DAILY RATE</t>
  </si>
  <si>
    <t>HIRE DATE</t>
  </si>
  <si>
    <t>TUGBOAT</t>
  </si>
  <si>
    <t>MARINE EAST POTENTIAL SAVINGS.</t>
  </si>
  <si>
    <t>VESSEL NAMES</t>
  </si>
  <si>
    <t>WELLS</t>
  </si>
  <si>
    <t>SOKU WELL 31</t>
  </si>
  <si>
    <t>DOUBRA-1</t>
  </si>
  <si>
    <t>OGHENEYOMA</t>
  </si>
  <si>
    <t>MV-EBINYO-II</t>
  </si>
  <si>
    <t>MV-ONOME</t>
  </si>
  <si>
    <t>WATER BARGE</t>
  </si>
  <si>
    <t>PACIFIC-1</t>
  </si>
  <si>
    <t>40 MAN HOUSEBOAT</t>
  </si>
  <si>
    <t>MV-NENEMEN-II</t>
  </si>
  <si>
    <t>MV-EDOSE</t>
  </si>
  <si>
    <t>OABP</t>
  </si>
  <si>
    <t>SOKU F/S</t>
  </si>
  <si>
    <t>Remark</t>
  </si>
  <si>
    <t>COST SAVING</t>
  </si>
  <si>
    <t>MARINE WEST POTENTIAL SAVINGS.</t>
  </si>
  <si>
    <t>NAME OF VESSEL</t>
  </si>
  <si>
    <t>PO</t>
  </si>
  <si>
    <t>NGN</t>
  </si>
  <si>
    <t>USD</t>
  </si>
  <si>
    <t>JOETEK VII</t>
  </si>
  <si>
    <t>NNRA TUG</t>
  </si>
  <si>
    <t>OGBOTOBO</t>
  </si>
  <si>
    <t>Total</t>
  </si>
  <si>
    <t xml:space="preserve"> </t>
  </si>
  <si>
    <t xml:space="preserve">COST AVOIDANCE   </t>
  </si>
  <si>
    <t>MARINE WEST COST AVOIDANCE.</t>
  </si>
  <si>
    <t>EXPECTED HIRED DATE</t>
  </si>
  <si>
    <t>EXPECTED OFF-HIRE DATE</t>
  </si>
  <si>
    <t>ACTUAL  OFF-HIRE DATE</t>
  </si>
  <si>
    <t>Saving is achieved as vessel was demobbed before planned demobilization date of 31st Jan.2023</t>
  </si>
  <si>
    <t>Saving is achieved as vessel was demobbed before planned demobilization date of 15th Jan.2023</t>
  </si>
  <si>
    <t>OPTIMIZED TO DE-MOB PACIFIC-1 HOUSEBOAT FROM SOKU GP AFTER COMPLETION OF OABP ACTIVITY. ELIMINATING NEED FOR A NEW TUGBOAT FOR HB DEMOB</t>
  </si>
  <si>
    <t>4510482595/4510482320/4510482595</t>
  </si>
  <si>
    <t>LANDING CRAFT</t>
  </si>
  <si>
    <t>JOHNESCO A1</t>
  </si>
  <si>
    <t>28/2/2023</t>
  </si>
  <si>
    <t>SEIBOU</t>
  </si>
  <si>
    <t>OAPB</t>
  </si>
  <si>
    <t>MV FAVOUR 2</t>
  </si>
  <si>
    <t>HOUSEBOAT</t>
  </si>
  <si>
    <t>GODFIRST 1</t>
  </si>
  <si>
    <t>ENL VICTORY</t>
  </si>
  <si>
    <t>ERT</t>
  </si>
  <si>
    <t>ESCRAVOS</t>
  </si>
  <si>
    <t>MV FAVOUR 5</t>
  </si>
  <si>
    <t>WEST ASSET</t>
  </si>
  <si>
    <t>TUNU NODE</t>
  </si>
  <si>
    <t>EBIS II</t>
  </si>
  <si>
    <t>TRJ MOYOWA</t>
  </si>
  <si>
    <t>PROJECT</t>
  </si>
  <si>
    <t>FORCADOS</t>
  </si>
  <si>
    <t>OLA 1</t>
  </si>
  <si>
    <t>OTUMARA</t>
  </si>
  <si>
    <t>MAC-NAY</t>
  </si>
  <si>
    <t>OGUNU ISLAND</t>
  </si>
  <si>
    <t xml:space="preserve">MV SEMEN </t>
  </si>
  <si>
    <t>OKPES CONSTRUCT</t>
  </si>
  <si>
    <t>TBA</t>
  </si>
  <si>
    <t>Vendor unable to secure premob compliant kits</t>
  </si>
  <si>
    <t>UNITOP</t>
  </si>
  <si>
    <t>E.A TEMILE</t>
  </si>
  <si>
    <t>REMARK</t>
  </si>
  <si>
    <t>ACTUAL DELAYS  IN DAYS</t>
  </si>
  <si>
    <t>EXPECTED SERVICE DAYS</t>
  </si>
  <si>
    <t>TOLERABLE DELAYS DATE</t>
  </si>
  <si>
    <t>VENDOR</t>
  </si>
  <si>
    <t>MARINE WEST DELAYS TO OPS</t>
  </si>
  <si>
    <t>MISSED OPPORTUNITY/DELAYED MOBILIZATION COST TO BUSINESS</t>
  </si>
  <si>
    <t>MV PERELADE</t>
  </si>
  <si>
    <t>JOETEK NURSE</t>
  </si>
  <si>
    <t>TUG ACTIVE</t>
  </si>
  <si>
    <t>RIG TUGBOAT</t>
  </si>
  <si>
    <t>ESTUARY SUPPORT VESSEL</t>
  </si>
  <si>
    <t>4510471027/4510480210</t>
  </si>
  <si>
    <t>ST506</t>
  </si>
  <si>
    <t>ASSET</t>
  </si>
  <si>
    <t>NUN RIVER</t>
  </si>
  <si>
    <t>MONTH</t>
  </si>
  <si>
    <t>MISSED OPPORTUNITIES</t>
  </si>
  <si>
    <t>COST AVOIDANCE</t>
  </si>
  <si>
    <t>EAST</t>
  </si>
  <si>
    <t>WEST</t>
  </si>
  <si>
    <t>TOTAL</t>
  </si>
  <si>
    <t>Savings achieved through early demobilization of NNRA barge than the planned date</t>
  </si>
  <si>
    <t>Saving is achieved as vessel was demobbed before planned demobilization date of 28th Feb 2023</t>
  </si>
  <si>
    <t>Saving is achieved as vessel was demobbed before planned demobilization date of 28th Feb 2024</t>
  </si>
  <si>
    <t>Saving is achieved as vessel was offhired before planned demobilization date of 28th Feb 2028</t>
  </si>
  <si>
    <t>Saving is achieved as vessel was demobbed for optimization reason before planned demobilization date of 28th Feb 2026</t>
  </si>
  <si>
    <t>Saving is achieved as vessel was demobbed for optimization reason before planned demobilization date of 28th Feb 2027</t>
  </si>
  <si>
    <t>Saving is achieved as vessel was demobbed for optimization reason before planned demobilization date of 28th Feb 2025</t>
  </si>
  <si>
    <t>Escort unavailability due to election led to P.O extension.</t>
  </si>
  <si>
    <t>Vendor unable to secure premob compliant kits.</t>
  </si>
  <si>
    <t>PROJECT NEPTUNE - MONTHLY COST SAVINGS AND MISSED OPPORTUNTIES FOR INSHORE MARINE OPS</t>
  </si>
  <si>
    <t>ACTUAL HIRED DATE</t>
  </si>
  <si>
    <t>Saving is achieved through vessel sharing opportunities between OES Respect Rig and ERT Ops at Escravos reducing fleet size by 1</t>
  </si>
  <si>
    <t>31/3/2023</t>
  </si>
  <si>
    <t>TUNU</t>
  </si>
  <si>
    <t>4510476448
4510473132/4510484577</t>
  </si>
  <si>
    <t>DUMB BARGE</t>
  </si>
  <si>
    <t>R.B PERERE</t>
  </si>
  <si>
    <t>AJAKURAMA ISL.</t>
  </si>
  <si>
    <t>SMU-TUNS 1</t>
  </si>
  <si>
    <t>MV EGO</t>
  </si>
  <si>
    <t>4510484307/4510484956</t>
  </si>
  <si>
    <t>MV SHANTEL</t>
  </si>
  <si>
    <t>OGUNU</t>
  </si>
  <si>
    <t>FUEL ADMIN</t>
  </si>
  <si>
    <t>4510484001/4510483997</t>
  </si>
  <si>
    <t>FUEL BARGE</t>
  </si>
  <si>
    <t>ALTAR LINK</t>
  </si>
  <si>
    <t>RIG TUG BOAT</t>
  </si>
  <si>
    <t>PRINCESS AWANATE</t>
  </si>
  <si>
    <t>APUTU II</t>
  </si>
  <si>
    <t>MV BUDUKA</t>
  </si>
  <si>
    <t>EBUERE</t>
  </si>
  <si>
    <t>FLAT TOP BARGE</t>
  </si>
  <si>
    <t>R.B TIMI III</t>
  </si>
  <si>
    <t>REAL POINT</t>
  </si>
  <si>
    <t>YINS OIL 1</t>
  </si>
  <si>
    <t>ACTUAL DEMOB</t>
  </si>
  <si>
    <t>OFF-HIRE (DELAYS DATE)</t>
  </si>
  <si>
    <t>EXPECTED OFF-HIRED DATE</t>
  </si>
  <si>
    <t>MV TIMI III</t>
  </si>
  <si>
    <t>EBIS III</t>
  </si>
  <si>
    <t>29/3/2023</t>
  </si>
  <si>
    <t>ROMSON II</t>
  </si>
  <si>
    <t>MV TABATHA 1</t>
  </si>
  <si>
    <t>30/4/2023</t>
  </si>
  <si>
    <t>ENV. BARGE</t>
  </si>
  <si>
    <t>OYENDI</t>
  </si>
  <si>
    <t>24/4/2023</t>
  </si>
  <si>
    <t>14/4/2023</t>
  </si>
  <si>
    <t>4510483773/4510485421</t>
  </si>
  <si>
    <t>DML V</t>
  </si>
  <si>
    <t>DV FAVOUR</t>
  </si>
  <si>
    <t>22/4/2023</t>
  </si>
  <si>
    <t>PIPELINE</t>
  </si>
  <si>
    <t>20/4/2023</t>
  </si>
  <si>
    <t>MV OMAS BRAKUMOH</t>
  </si>
  <si>
    <t>ODIMODI</t>
  </si>
  <si>
    <t>SOKU</t>
  </si>
  <si>
    <t>EAST ASSET</t>
  </si>
  <si>
    <t>ZIKSON</t>
  </si>
  <si>
    <t>ALMIGHTY TOURIST</t>
  </si>
  <si>
    <t>Saving is achieved as vessel was demobbed before planned demobilization date</t>
  </si>
  <si>
    <t>Saving is achieved through vessel sharing opportunities between OES Respect Rig and ERT Ops at Escravos reducing fleet size by 1 - Material movement</t>
  </si>
  <si>
    <t>Saving is achieved through vessel sharing opportunities between ERT team and Project team reducing fleet size by 1 - - Material movement</t>
  </si>
  <si>
    <t>Saving is achieved through vessel sharing opportunities between ERT team and Project team reducing fleet size by 1 - Material movement</t>
  </si>
  <si>
    <t>Saving is achieved through vessel sharing opportunities between Fuel Admin and Project team reducing fleet size by 1 - tugboat for fuel barge demob</t>
  </si>
  <si>
    <t>Vendors unable to secure premob compliant Tugboats for on-time vessels demob</t>
  </si>
  <si>
    <t>Saving is achieved through vessel sharing opportunities between WEST ASSET and ERT Ops Teams reducing fleet size by 1 - Material movement</t>
  </si>
  <si>
    <t>BUDUKA</t>
  </si>
  <si>
    <t>WINIFRED</t>
  </si>
  <si>
    <t>Saving is achieved by USING THE EXISTING FLEET(PAPATA-1) TO DEMOB TRP HB FROM ODIMODI</t>
  </si>
  <si>
    <t>Saving is achieved by USING THE EXISTING FLEET(NEMMEN-1) TO DEMOB TRP HB FROM ODIMODI</t>
  </si>
  <si>
    <t>ESCORT AVAILABILITY DELAYED VESSEL DISPATCH</t>
  </si>
  <si>
    <t>NUN-RIVER</t>
  </si>
  <si>
    <t>4510471055/4510486003</t>
  </si>
  <si>
    <t>100 MAN HOUSEBOAT</t>
  </si>
  <si>
    <t>EXCLUSIVE-II</t>
  </si>
  <si>
    <t>4510471014/4510486004/4510487970</t>
  </si>
  <si>
    <t>MV-TETE-II</t>
  </si>
  <si>
    <t>MV-HECHS-1</t>
  </si>
  <si>
    <t>MARINE EAST COST AVOIDANCE.</t>
  </si>
  <si>
    <t>SOKU FIELD</t>
  </si>
  <si>
    <t xml:space="preserve">WELLS </t>
  </si>
  <si>
    <t>BOMO-III</t>
  </si>
  <si>
    <t>MARIEN-1</t>
  </si>
  <si>
    <t>MIRACLE-II</t>
  </si>
  <si>
    <t>TOOCHI-2</t>
  </si>
  <si>
    <t>BOMO-V</t>
  </si>
  <si>
    <t>SOMEJE-III</t>
  </si>
  <si>
    <t>60 MAN HOUSEBOAT</t>
  </si>
  <si>
    <t>GLORIOUS-VIII</t>
  </si>
  <si>
    <t>MV-DANIELLA-1 2019</t>
  </si>
  <si>
    <t>MV-DABEL ANGEL VI</t>
  </si>
  <si>
    <t>MV-GLORY-II</t>
  </si>
  <si>
    <t>Column1</t>
  </si>
  <si>
    <t>Saving is achieved through vessel sharing opportunities using existing Tugboat to support Houseboat demobilization from NunRiver - Material movement</t>
  </si>
  <si>
    <t>20/5/2023</t>
  </si>
  <si>
    <t>NDORO</t>
  </si>
  <si>
    <t>100 MAN HB</t>
  </si>
  <si>
    <t>ROSS 3</t>
  </si>
  <si>
    <t>OLOHIGHBE 1</t>
  </si>
  <si>
    <t>TAMUOMEMI HILTON 2</t>
  </si>
  <si>
    <t>TAMUOMEMI HILTON 1</t>
  </si>
  <si>
    <t>CLEM 09</t>
  </si>
  <si>
    <t>CLEM 08</t>
  </si>
  <si>
    <t>MV EHIJOZIE VI</t>
  </si>
  <si>
    <t>MV MEMEN I</t>
  </si>
  <si>
    <t>NIMITEIN IV</t>
  </si>
  <si>
    <t>MV OMIETE II</t>
  </si>
  <si>
    <t>MV FAITH</t>
  </si>
  <si>
    <t>MV OKORITE 1</t>
  </si>
  <si>
    <t>MV NENEMEN II</t>
  </si>
  <si>
    <t>MV KESSY III</t>
  </si>
  <si>
    <t>MV FLEET XIV</t>
  </si>
  <si>
    <t>BENISEDE</t>
  </si>
  <si>
    <t>DFTP</t>
  </si>
  <si>
    <t>MV WINIFRED</t>
  </si>
  <si>
    <t>24/5/2023</t>
  </si>
  <si>
    <t>NORTH BANK</t>
  </si>
  <si>
    <t>MV TRJ MOYOWA</t>
  </si>
  <si>
    <t>MV ONOME 1</t>
  </si>
  <si>
    <t>SAKINAH II</t>
  </si>
  <si>
    <t>QUEEN LORI</t>
  </si>
  <si>
    <t>FUEL UNAVAILABILITY DELAYED DISPATCH</t>
  </si>
  <si>
    <t>JOE-ASIDOS</t>
  </si>
  <si>
    <t>LOHO 1</t>
  </si>
  <si>
    <t>ESCORT UNAVAILABILITY DELAYED DISPATCH</t>
  </si>
  <si>
    <t>EBIDESE</t>
  </si>
  <si>
    <t>PRINCESS OWANATE</t>
  </si>
  <si>
    <t>MV EBIMO</t>
  </si>
  <si>
    <t>ENIYE 1</t>
  </si>
  <si>
    <t>MV KRISTINE II</t>
  </si>
  <si>
    <t xml:space="preserve">MV TIMI II </t>
  </si>
  <si>
    <t>VERTEX</t>
  </si>
  <si>
    <t>ESINMON</t>
  </si>
  <si>
    <t>DML XIV</t>
  </si>
  <si>
    <t>MARINE WEST SAVINGS.</t>
  </si>
  <si>
    <t>Saving is achieved through vessel sharing opportunities between ASSET and WELLS teams</t>
  </si>
  <si>
    <t>Saving is achieved through vessel sharing opportunities between ASSET and OABP teams</t>
  </si>
  <si>
    <t>MV SEMEN 1</t>
  </si>
  <si>
    <t xml:space="preserve"> TUGBOAT</t>
  </si>
  <si>
    <t>28/7/2023</t>
  </si>
  <si>
    <t>30/7/2023</t>
  </si>
  <si>
    <t>MV MIEBII/SEMEN 1</t>
  </si>
  <si>
    <t>13/7/2023</t>
  </si>
  <si>
    <t>KESSY 1</t>
  </si>
  <si>
    <t>MV PAPA GEORGE</t>
  </si>
  <si>
    <t>ST 278</t>
  </si>
  <si>
    <t>4510490346/4510492492/50</t>
  </si>
  <si>
    <t>TUNU WELL LIFT</t>
  </si>
  <si>
    <t>26/8/2023</t>
  </si>
  <si>
    <t>31/8/2023</t>
  </si>
  <si>
    <t>LAMCO PRAISE</t>
  </si>
  <si>
    <t>4510487938/4510488631</t>
  </si>
  <si>
    <t>TUNU BR 301</t>
  </si>
  <si>
    <t>PRINCESS TARA</t>
  </si>
  <si>
    <t>AMARIS 10</t>
  </si>
  <si>
    <t>UIL XI</t>
  </si>
  <si>
    <t>4510489707/4510489708</t>
  </si>
  <si>
    <t>MV SIMMENTAL</t>
  </si>
  <si>
    <t>4510488630/4510490476</t>
  </si>
  <si>
    <t>MV QUEEN LORI</t>
  </si>
  <si>
    <t>HANNAH 3</t>
  </si>
  <si>
    <t>4510487939/4510488632</t>
  </si>
  <si>
    <t>JENNELLE</t>
  </si>
  <si>
    <t>MV EBUERE IV</t>
  </si>
  <si>
    <t>OES RESPECT</t>
  </si>
  <si>
    <t>21/8/2023</t>
  </si>
  <si>
    <t>4510490837/4510492704</t>
  </si>
  <si>
    <t>23/8/2023</t>
  </si>
  <si>
    <t>MV SHALLOM II</t>
  </si>
  <si>
    <t>24/8/2023</t>
  </si>
  <si>
    <t>ELOHO VI</t>
  </si>
  <si>
    <t>JUBICHRIS</t>
  </si>
  <si>
    <t>ND 619</t>
  </si>
  <si>
    <t>BABY JEM 1</t>
  </si>
  <si>
    <t>4510488633/4510490480</t>
  </si>
  <si>
    <t>FOZ EWOMAOGHENE`</t>
  </si>
  <si>
    <t>MV DAVINA</t>
  </si>
  <si>
    <t>MSL IV</t>
  </si>
  <si>
    <t>CORAL BARGE</t>
  </si>
  <si>
    <t>MARIEN VI</t>
  </si>
  <si>
    <t>GOLDSHOLD IV</t>
  </si>
  <si>
    <t>22/8/2023</t>
  </si>
  <si>
    <t>BOMO IV</t>
  </si>
  <si>
    <t>4510489721/4510491502</t>
  </si>
  <si>
    <t>YINS OIL 4</t>
  </si>
  <si>
    <t>4510489706/4510492703</t>
  </si>
  <si>
    <t>PRINCESS BISGAR</t>
  </si>
  <si>
    <t>4510482353/4510491590</t>
  </si>
  <si>
    <t>NNR BARGE</t>
  </si>
  <si>
    <t>MV FAVOUR 3</t>
  </si>
  <si>
    <t>JOETEK VIII</t>
  </si>
  <si>
    <t>HEPZEBAH 6</t>
  </si>
  <si>
    <t>JOETEK XI</t>
  </si>
  <si>
    <t>EDEMYX</t>
  </si>
  <si>
    <t>IBADHE II</t>
  </si>
  <si>
    <t>ENOHO V</t>
  </si>
  <si>
    <t>MARSHAL</t>
  </si>
  <si>
    <t>MV DEBORAH 1</t>
  </si>
  <si>
    <t>VERTICAL OPTION</t>
  </si>
  <si>
    <t>Delay caused by Zero fuel holding stock by fuel team. Escort and Lucnh pack for boat crew.</t>
  </si>
  <si>
    <t>MV MERCIFUL GOD</t>
  </si>
  <si>
    <t>Saving is achieved as vessel was promptly demobbed before planned demobilization date reducing waiting time on site</t>
  </si>
  <si>
    <t>ACTUAL SAVINGS IN DAYS</t>
  </si>
  <si>
    <t>Saving is achieved through vessel sharing opportunities between ASSET and OABP teams for material delivery to Tunu field site</t>
  </si>
  <si>
    <t>Saving is achieved through vessel sharing opportunities between ASSET and Project teams for material delivery to FOT</t>
  </si>
  <si>
    <t>Saving is achieved through vessel sharing opportunities between CWI and OES Respect Rig teams for material delivery to BENESEDE field</t>
  </si>
  <si>
    <t>Saving is achieved through vessel sharing opportunities between CWI and Major Project teams for material delivery to OGBOTOBO field</t>
  </si>
  <si>
    <t>MARIEN VII</t>
  </si>
  <si>
    <t>30/9/2023</t>
  </si>
  <si>
    <t>TOOCHI 7</t>
  </si>
  <si>
    <t>PAPA INDIAN</t>
  </si>
  <si>
    <t>MV JOPO ISL/SEMEN 1</t>
  </si>
  <si>
    <t>24/9/2023</t>
  </si>
  <si>
    <t>DVB 1</t>
  </si>
  <si>
    <t>OMS 105</t>
  </si>
  <si>
    <t>BR 301</t>
  </si>
  <si>
    <t>25/9/2023</t>
  </si>
  <si>
    <t>MSL V</t>
  </si>
  <si>
    <t>OMA BRAKUMOH</t>
  </si>
  <si>
    <t>MV LEADGATE</t>
  </si>
  <si>
    <t>BRASS CREEK</t>
  </si>
  <si>
    <t>DIKI ISLAND</t>
  </si>
  <si>
    <t>Saving is achieved through vessel sharing opportunities between PIPELINE and WELLS teams for material delivery to Tunu field site</t>
  </si>
  <si>
    <t>Saving is achieved through vessel sharing opportunities between ASSET and WELLS teams for material delivery to Escravos field site</t>
  </si>
  <si>
    <t xml:space="preserve">MV DEE PITA </t>
  </si>
  <si>
    <t>Saving is achieved through vessel sharing opportunity between EXPLORATION and ASSET teams for EIA Survey activity at SOKU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</si>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</sst>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NGN]\ * #,##0.00_);_([$NGN]\ * \(#,##0.00\);_([$NGN]\ * &quot;-&quot;??_);_(@_)"/>
    <numFmt numFmtId="165" formatCode="[$-409]dd\-mmm\-yy;@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Futura Medium"/>
    </font>
    <font>
      <sz val="12"/>
      <color theme="1"/>
      <name val="Futura Medium"/>
    </font>
    <font>
      <b/>
      <sz val="12"/>
      <color theme="1"/>
      <name val="Futura Medium"/>
    </font>
    <font>
      <sz val="11"/>
      <color theme="1"/>
      <name val="Book Antiqua"/>
      <family val="1"/>
    </font>
    <font>
      <sz val="12"/>
      <color theme="1"/>
      <name val="Book Antiqua"/>
      <family val="1"/>
    </font>
    <font>
      <b/>
      <sz val="14"/>
      <color theme="1"/>
      <name val="Book Antiqua"/>
      <family val="1"/>
    </font>
    <font>
      <b/>
      <sz val="16"/>
      <color theme="1"/>
      <name val="Book Antiqua"/>
      <family val="1"/>
    </font>
    <font>
      <b/>
      <sz val="11"/>
      <color theme="1"/>
      <name val="Book Antiqua"/>
      <family val="1"/>
    </font>
    <font>
      <sz val="11"/>
      <name val="Book Antiqua"/>
      <family val="1"/>
    </font>
    <font>
      <b/>
      <sz val="9"/>
      <name val="Book Antiqua"/>
      <family val="1"/>
    </font>
    <font>
      <b/>
      <sz val="9"/>
      <color theme="1"/>
      <name val="Book Antiqua"/>
      <family val="1"/>
    </font>
    <font>
      <sz val="9"/>
      <color theme="1"/>
      <name val="Book Antiqua"/>
      <family val="1"/>
    </font>
    <font>
      <sz val="9"/>
      <name val="Book Antiqua"/>
      <family val="1"/>
    </font>
    <font>
      <sz val="11"/>
      <color theme="1"/>
      <name val="Futura Medium"/>
    </font>
    <font>
      <b/>
      <sz val="10"/>
      <color theme="1"/>
      <name val="Book Antiqua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omic Sans MS"/>
      <family val="4"/>
    </font>
    <font>
      <b/>
      <sz val="12"/>
      <color rgb="FF0000FF"/>
      <name val="Book Antiqua"/>
      <family val="1"/>
    </font>
    <font>
      <b/>
      <sz val="18"/>
      <color theme="1"/>
      <name val="Calibri"/>
      <family val="2"/>
      <scheme val="minor"/>
    </font>
    <font>
      <b/>
      <sz val="12"/>
      <name val="Futura Medium"/>
    </font>
    <font>
      <sz val="14"/>
      <color theme="1"/>
      <name val="Comic Sans MS"/>
      <family val="4"/>
    </font>
    <font>
      <sz val="9"/>
      <color theme="1"/>
      <name val="Segoe UI"/>
      <family val="2"/>
    </font>
    <font>
      <b/>
      <sz val="11"/>
      <color theme="1"/>
      <name val="Comic Sans MS"/>
      <family val="4"/>
    </font>
    <font>
      <b/>
      <sz val="11"/>
      <color theme="4" tint="-0.249977111117893"/>
      <name val="Comic Sans MS"/>
      <family val="4"/>
    </font>
    <font>
      <sz val="11"/>
      <color theme="1"/>
      <name val="Comic Sans MS"/>
      <family val="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2"/>
      <color rgb="FF000000"/>
      <name val="Futura Medium"/>
    </font>
    <font>
      <sz val="8"/>
      <name val="Calibri"/>
      <family val="2"/>
      <scheme val="minor"/>
    </font>
    <font>
      <b/>
      <sz val="12"/>
      <color theme="4" tint="-0.249977111117893"/>
      <name val="Book Antiqua"/>
      <family val="1"/>
    </font>
    <font>
      <b/>
      <sz val="12"/>
      <color theme="4" tint="-0.249977111117893"/>
      <name val="Comic Sans MS"/>
      <family val="4"/>
    </font>
    <font>
      <b/>
      <sz val="12"/>
      <color theme="1"/>
      <name val="Comic Sans MS"/>
      <family val="4"/>
    </font>
    <font>
      <sz val="12"/>
      <color rgb="FF0000FF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Book Antiqua"/>
      <family val="1"/>
    </font>
    <font>
      <b/>
      <sz val="1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1"/>
      <color rgb="FF0070C0"/>
      <name val="Calibri"/>
      <family val="2"/>
    </font>
    <font>
      <b/>
      <sz val="12"/>
      <color rgb="FF0070C0"/>
      <name val="Calibri"/>
      <family val="2"/>
    </font>
    <font>
      <b/>
      <sz val="9"/>
      <color rgb="FF0070C0"/>
      <name val="Calibri"/>
      <family val="2"/>
    </font>
    <font>
      <b/>
      <sz val="12"/>
      <color theme="4"/>
      <name val="Book Antiqua"/>
      <family val="1"/>
    </font>
    <font>
      <sz val="11"/>
      <color theme="1"/>
      <name val="Candara"/>
      <family val="2"/>
    </font>
    <font>
      <sz val="11"/>
      <color rgb="FF0000FF"/>
      <name val="Calibri"/>
      <family val="2"/>
      <scheme val="minor"/>
    </font>
    <font>
      <b/>
      <sz val="12"/>
      <name val="Book Antiqua"/>
      <family val="1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ndara"/>
      <family val="2"/>
    </font>
    <font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0" fontId="3" fillId="0" borderId="0"/>
  </cellStyleXfs>
  <cellXfs count="289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1" xfId="0" applyFont="1" applyFill="1" applyBorder="1"/>
    <xf numFmtId="43" fontId="2" fillId="2" borderId="1" xfId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 shrinkToFit="1"/>
    </xf>
    <xf numFmtId="0" fontId="5" fillId="2" borderId="1" xfId="0" applyFont="1" applyFill="1" applyBorder="1"/>
    <xf numFmtId="0" fontId="5" fillId="0" borderId="0" xfId="0" applyFont="1"/>
    <xf numFmtId="0" fontId="7" fillId="0" borderId="0" xfId="0" applyFont="1"/>
    <xf numFmtId="0" fontId="8" fillId="0" borderId="0" xfId="0" applyFont="1"/>
    <xf numFmtId="0" fontId="7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 shrinkToFit="1"/>
    </xf>
    <xf numFmtId="4" fontId="7" fillId="0" borderId="1" xfId="0" applyNumberFormat="1" applyFont="1" applyBorder="1"/>
    <xf numFmtId="0" fontId="0" fillId="0" borderId="0" xfId="0" applyFont="1"/>
    <xf numFmtId="0" fontId="12" fillId="2" borderId="1" xfId="0" applyFont="1" applyFill="1" applyBorder="1" applyAlignment="1">
      <alignment horizontal="center"/>
    </xf>
    <xf numFmtId="4" fontId="7" fillId="2" borderId="1" xfId="0" applyNumberFormat="1" applyFont="1" applyFill="1" applyBorder="1"/>
    <xf numFmtId="0" fontId="11" fillId="0" borderId="1" xfId="0" applyFont="1" applyBorder="1" applyAlignment="1">
      <alignment horizontal="center"/>
    </xf>
    <xf numFmtId="14" fontId="13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/>
    </xf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center" vertical="center"/>
    </xf>
    <xf numFmtId="4" fontId="17" fillId="2" borderId="1" xfId="0" applyNumberFormat="1" applyFont="1" applyFill="1" applyBorder="1"/>
    <xf numFmtId="0" fontId="13" fillId="2" borderId="1" xfId="0" applyFont="1" applyFill="1" applyBorder="1" applyAlignment="1">
      <alignment horizontal="center"/>
    </xf>
    <xf numFmtId="0" fontId="14" fillId="2" borderId="1" xfId="0" applyFont="1" applyFill="1" applyBorder="1"/>
    <xf numFmtId="43" fontId="16" fillId="2" borderId="1" xfId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wrapText="1"/>
    </xf>
    <xf numFmtId="0" fontId="14" fillId="2" borderId="2" xfId="0" applyFont="1" applyFill="1" applyBorder="1" applyAlignment="1">
      <alignment horizontal="center"/>
    </xf>
    <xf numFmtId="0" fontId="0" fillId="2" borderId="0" xfId="0" applyFont="1" applyFill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43" fontId="15" fillId="2" borderId="2" xfId="1" applyFont="1" applyFill="1" applyBorder="1" applyAlignment="1">
      <alignment vertical="center"/>
    </xf>
    <xf numFmtId="0" fontId="15" fillId="2" borderId="6" xfId="2" applyFont="1" applyFill="1" applyBorder="1" applyAlignment="1">
      <alignment vertical="center"/>
    </xf>
    <xf numFmtId="43" fontId="15" fillId="2" borderId="1" xfId="1" applyFont="1" applyFill="1" applyBorder="1" applyAlignment="1">
      <alignment horizontal="right"/>
    </xf>
    <xf numFmtId="0" fontId="13" fillId="2" borderId="1" xfId="0" applyFont="1" applyFill="1" applyBorder="1" applyAlignment="1">
      <alignment horizontal="center" vertical="center" wrapText="1" shrinkToFit="1"/>
    </xf>
    <xf numFmtId="0" fontId="4" fillId="5" borderId="1" xfId="0" applyFont="1" applyFill="1" applyBorder="1" applyAlignment="1">
      <alignment horizontal="left"/>
    </xf>
    <xf numFmtId="0" fontId="21" fillId="0" borderId="0" xfId="0" applyFont="1"/>
    <xf numFmtId="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5" fillId="0" borderId="0" xfId="0" applyNumberFormat="1" applyFont="1"/>
    <xf numFmtId="2" fontId="5" fillId="0" borderId="0" xfId="0" applyNumberFormat="1" applyFont="1"/>
    <xf numFmtId="0" fontId="22" fillId="2" borderId="7" xfId="4" applyFont="1" applyFill="1" applyBorder="1" applyAlignment="1">
      <alignment horizontal="center" wrapText="1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22" fillId="2" borderId="1" xfId="0" applyFont="1" applyFill="1" applyBorder="1" applyAlignment="1">
      <alignment horizontal="center" wrapText="1"/>
    </xf>
    <xf numFmtId="0" fontId="22" fillId="2" borderId="7" xfId="4" applyFont="1" applyFill="1" applyBorder="1" applyAlignment="1">
      <alignment horizontal="center"/>
    </xf>
    <xf numFmtId="0" fontId="5" fillId="2" borderId="4" xfId="0" applyFont="1" applyFill="1" applyBorder="1"/>
    <xf numFmtId="44" fontId="5" fillId="0" borderId="0" xfId="3" applyFont="1"/>
    <xf numFmtId="164" fontId="5" fillId="0" borderId="0" xfId="3" applyNumberFormat="1" applyFont="1"/>
    <xf numFmtId="0" fontId="0" fillId="0" borderId="1" xfId="0" applyBorder="1"/>
    <xf numFmtId="0" fontId="5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/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43" fontId="4" fillId="2" borderId="9" xfId="1" applyFont="1" applyFill="1" applyBorder="1" applyAlignment="1">
      <alignment horizontal="center"/>
    </xf>
    <xf numFmtId="43" fontId="4" fillId="2" borderId="10" xfId="1" applyFont="1" applyFill="1" applyBorder="1" applyAlignment="1">
      <alignment horizontal="center"/>
    </xf>
    <xf numFmtId="14" fontId="4" fillId="2" borderId="11" xfId="0" applyNumberFormat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 shrinkToFit="1"/>
    </xf>
    <xf numFmtId="4" fontId="25" fillId="2" borderId="2" xfId="0" applyNumberFormat="1" applyFont="1" applyFill="1" applyBorder="1"/>
    <xf numFmtId="0" fontId="25" fillId="2" borderId="2" xfId="0" applyFont="1" applyFill="1" applyBorder="1"/>
    <xf numFmtId="0" fontId="7" fillId="0" borderId="1" xfId="0" applyFont="1" applyBorder="1"/>
    <xf numFmtId="0" fontId="0" fillId="0" borderId="1" xfId="0" applyFont="1" applyBorder="1" applyAlignment="1"/>
    <xf numFmtId="0" fontId="26" fillId="0" borderId="1" xfId="0" applyFont="1" applyBorder="1" applyAlignment="1">
      <alignment wrapText="1"/>
    </xf>
    <xf numFmtId="0" fontId="0" fillId="0" borderId="1" xfId="0" applyFont="1" applyBorder="1"/>
    <xf numFmtId="4" fontId="5" fillId="0" borderId="0" xfId="0" applyNumberFormat="1" applyFont="1"/>
    <xf numFmtId="14" fontId="5" fillId="7" borderId="1" xfId="0" applyNumberFormat="1" applyFont="1" applyFill="1" applyBorder="1"/>
    <xf numFmtId="14" fontId="5" fillId="7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wrapText="1"/>
    </xf>
    <xf numFmtId="14" fontId="5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165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28" fillId="2" borderId="1" xfId="0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27" fillId="2" borderId="0" xfId="0" applyFont="1" applyFill="1" applyAlignment="1">
      <alignment horizontal="left"/>
    </xf>
    <xf numFmtId="0" fontId="22" fillId="2" borderId="7" xfId="4" applyFont="1" applyFill="1" applyBorder="1" applyAlignment="1">
      <alignment horizontal="left" wrapText="1"/>
    </xf>
    <xf numFmtId="0" fontId="29" fillId="2" borderId="0" xfId="0" applyFont="1" applyFill="1" applyAlignment="1">
      <alignment horizontal="left"/>
    </xf>
    <xf numFmtId="4" fontId="25" fillId="2" borderId="2" xfId="0" applyNumberFormat="1" applyFont="1" applyFill="1" applyBorder="1" applyAlignment="1">
      <alignment horizontal="center"/>
    </xf>
    <xf numFmtId="0" fontId="31" fillId="0" borderId="0" xfId="0" applyFont="1"/>
    <xf numFmtId="0" fontId="30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17" fontId="31" fillId="0" borderId="1" xfId="0" applyNumberFormat="1" applyFont="1" applyBorder="1" applyAlignment="1">
      <alignment horizontal="center"/>
    </xf>
    <xf numFmtId="4" fontId="31" fillId="0" borderId="1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5" fillId="0" borderId="0" xfId="0" applyFont="1" applyBorder="1"/>
    <xf numFmtId="0" fontId="5" fillId="0" borderId="0" xfId="0" applyFont="1" applyAlignment="1">
      <alignment wrapText="1"/>
    </xf>
    <xf numFmtId="0" fontId="32" fillId="0" borderId="0" xfId="0" applyFont="1"/>
    <xf numFmtId="3" fontId="5" fillId="0" borderId="0" xfId="0" applyNumberFormat="1" applyFont="1" applyAlignment="1">
      <alignment horizontal="center"/>
    </xf>
    <xf numFmtId="44" fontId="5" fillId="0" borderId="0" xfId="3" applyFont="1" applyAlignment="1">
      <alignment horizontal="center"/>
    </xf>
    <xf numFmtId="0" fontId="32" fillId="7" borderId="15" xfId="0" applyFont="1" applyFill="1" applyBorder="1"/>
    <xf numFmtId="0" fontId="0" fillId="0" borderId="2" xfId="0" applyBorder="1" applyAlignment="1">
      <alignment wrapText="1"/>
    </xf>
    <xf numFmtId="14" fontId="5" fillId="7" borderId="18" xfId="0" applyNumberFormat="1" applyFont="1" applyFill="1" applyBorder="1"/>
    <xf numFmtId="0" fontId="34" fillId="2" borderId="1" xfId="0" applyFont="1" applyFill="1" applyBorder="1"/>
    <xf numFmtId="0" fontId="35" fillId="0" borderId="0" xfId="0" applyFont="1"/>
    <xf numFmtId="0" fontId="35" fillId="2" borderId="1" xfId="0" applyFont="1" applyFill="1" applyBorder="1"/>
    <xf numFmtId="2" fontId="5" fillId="7" borderId="1" xfId="0" applyNumberFormat="1" applyFont="1" applyFill="1" applyBorder="1"/>
    <xf numFmtId="0" fontId="0" fillId="0" borderId="4" xfId="0" applyBorder="1" applyAlignment="1">
      <alignment wrapText="1"/>
    </xf>
    <xf numFmtId="0" fontId="35" fillId="2" borderId="1" xfId="0" applyFont="1" applyFill="1" applyBorder="1" applyAlignment="1">
      <alignment horizontal="right"/>
    </xf>
    <xf numFmtId="0" fontId="36" fillId="0" borderId="0" xfId="0" applyFont="1" applyAlignment="1">
      <alignment horizontal="right"/>
    </xf>
    <xf numFmtId="0" fontId="36" fillId="2" borderId="0" xfId="0" applyFont="1" applyFill="1" applyAlignment="1">
      <alignment horizontal="right"/>
    </xf>
    <xf numFmtId="0" fontId="34" fillId="2" borderId="1" xfId="0" applyFont="1" applyFill="1" applyBorder="1" applyAlignment="1">
      <alignment horizontal="right"/>
    </xf>
    <xf numFmtId="0" fontId="37" fillId="2" borderId="1" xfId="0" applyFont="1" applyFill="1" applyBorder="1" applyAlignment="1">
      <alignment horizontal="right" wrapText="1"/>
    </xf>
    <xf numFmtId="4" fontId="5" fillId="0" borderId="1" xfId="0" applyNumberFormat="1" applyFont="1" applyBorder="1"/>
    <xf numFmtId="0" fontId="32" fillId="0" borderId="1" xfId="0" applyFont="1" applyBorder="1"/>
    <xf numFmtId="0" fontId="24" fillId="2" borderId="1" xfId="0" applyFont="1" applyFill="1" applyBorder="1" applyAlignment="1">
      <alignment horizontal="center" vertical="center" wrapText="1" shrinkToFit="1"/>
    </xf>
    <xf numFmtId="4" fontId="25" fillId="2" borderId="1" xfId="0" applyNumberFormat="1" applyFont="1" applyFill="1" applyBorder="1"/>
    <xf numFmtId="4" fontId="31" fillId="0" borderId="13" xfId="0" applyNumberFormat="1" applyFont="1" applyBorder="1" applyAlignment="1">
      <alignment horizontal="center"/>
    </xf>
    <xf numFmtId="4" fontId="5" fillId="7" borderId="1" xfId="0" applyNumberFormat="1" applyFont="1" applyFill="1" applyBorder="1"/>
    <xf numFmtId="4" fontId="5" fillId="2" borderId="1" xfId="0" applyNumberFormat="1" applyFont="1" applyFill="1" applyBorder="1"/>
    <xf numFmtId="0" fontId="0" fillId="0" borderId="2" xfId="0" applyBorder="1" applyAlignment="1">
      <alignment wrapText="1"/>
    </xf>
    <xf numFmtId="0" fontId="38" fillId="0" borderId="1" xfId="0" applyFont="1" applyBorder="1"/>
    <xf numFmtId="0" fontId="38" fillId="2" borderId="1" xfId="0" applyFont="1" applyFill="1" applyBorder="1"/>
    <xf numFmtId="2" fontId="38" fillId="2" borderId="0" xfId="0" applyNumberFormat="1" applyFont="1" applyFill="1"/>
    <xf numFmtId="0" fontId="38" fillId="2" borderId="0" xfId="0" applyFont="1" applyFill="1"/>
    <xf numFmtId="14" fontId="39" fillId="2" borderId="1" xfId="0" applyNumberFormat="1" applyFont="1" applyFill="1" applyBorder="1" applyAlignment="1">
      <alignment horizontal="center"/>
    </xf>
    <xf numFmtId="43" fontId="39" fillId="2" borderId="6" xfId="1" applyFont="1" applyFill="1" applyBorder="1" applyAlignment="1"/>
    <xf numFmtId="0" fontId="39" fillId="2" borderId="1" xfId="0" applyFont="1" applyFill="1" applyBorder="1" applyAlignment="1">
      <alignment horizontal="center"/>
    </xf>
    <xf numFmtId="0" fontId="38" fillId="0" borderId="1" xfId="0" applyFont="1" applyBorder="1" applyAlignment="1">
      <alignment horizontal="left"/>
    </xf>
    <xf numFmtId="0" fontId="38" fillId="2" borderId="1" xfId="0" applyFont="1" applyFill="1" applyBorder="1" applyAlignment="1">
      <alignment horizontal="center"/>
    </xf>
    <xf numFmtId="43" fontId="38" fillId="2" borderId="1" xfId="1" applyFont="1" applyFill="1" applyBorder="1" applyAlignment="1">
      <alignment horizontal="right"/>
    </xf>
    <xf numFmtId="0" fontId="39" fillId="2" borderId="1" xfId="0" applyFont="1" applyFill="1" applyBorder="1" applyAlignment="1">
      <alignment horizontal="left" wrapText="1"/>
    </xf>
    <xf numFmtId="0" fontId="38" fillId="2" borderId="2" xfId="0" applyFont="1" applyFill="1" applyBorder="1"/>
    <xf numFmtId="4" fontId="38" fillId="2" borderId="2" xfId="0" applyNumberFormat="1" applyFont="1" applyFill="1" applyBorder="1"/>
    <xf numFmtId="0" fontId="42" fillId="2" borderId="2" xfId="0" applyFont="1" applyFill="1" applyBorder="1" applyAlignment="1">
      <alignment horizontal="center" vertical="center" wrapText="1" shrinkToFit="1"/>
    </xf>
    <xf numFmtId="14" fontId="39" fillId="2" borderId="2" xfId="0" applyNumberFormat="1" applyFont="1" applyFill="1" applyBorder="1" applyAlignment="1">
      <alignment horizontal="center" vertical="center"/>
    </xf>
    <xf numFmtId="14" fontId="39" fillId="2" borderId="11" xfId="0" applyNumberFormat="1" applyFont="1" applyFill="1" applyBorder="1" applyAlignment="1">
      <alignment horizontal="center" vertical="center"/>
    </xf>
    <xf numFmtId="43" fontId="39" fillId="2" borderId="10" xfId="1" applyFont="1" applyFill="1" applyBorder="1" applyAlignment="1">
      <alignment horizontal="center"/>
    </xf>
    <xf numFmtId="43" fontId="39" fillId="2" borderId="9" xfId="1" applyFont="1" applyFill="1" applyBorder="1" applyAlignment="1">
      <alignment horizontal="center"/>
    </xf>
    <xf numFmtId="0" fontId="39" fillId="2" borderId="6" xfId="0" applyFont="1" applyFill="1" applyBorder="1" applyAlignment="1">
      <alignment horizontal="center"/>
    </xf>
    <xf numFmtId="0" fontId="39" fillId="2" borderId="2" xfId="0" applyFont="1" applyFill="1" applyBorder="1" applyAlignment="1">
      <alignment horizontal="center"/>
    </xf>
    <xf numFmtId="0" fontId="38" fillId="0" borderId="2" xfId="0" applyFont="1" applyBorder="1" applyAlignment="1">
      <alignment horizontal="center" wrapText="1"/>
    </xf>
    <xf numFmtId="0" fontId="39" fillId="2" borderId="1" xfId="0" applyFont="1" applyFill="1" applyBorder="1" applyAlignment="1">
      <alignment horizontal="center" vertical="center" wrapText="1" shrinkToFit="1"/>
    </xf>
    <xf numFmtId="14" fontId="39" fillId="2" borderId="1" xfId="0" applyNumberFormat="1" applyFont="1" applyFill="1" applyBorder="1" applyAlignment="1">
      <alignment horizontal="center" vertical="center"/>
    </xf>
    <xf numFmtId="4" fontId="38" fillId="2" borderId="1" xfId="0" applyNumberFormat="1" applyFont="1" applyFill="1" applyBorder="1" applyAlignment="1">
      <alignment horizontal="center"/>
    </xf>
    <xf numFmtId="0" fontId="38" fillId="0" borderId="1" xfId="0" applyFont="1" applyBorder="1" applyAlignment="1">
      <alignment horizontal="center" wrapText="1"/>
    </xf>
    <xf numFmtId="14" fontId="38" fillId="7" borderId="1" xfId="0" applyNumberFormat="1" applyFont="1" applyFill="1" applyBorder="1"/>
    <xf numFmtId="14" fontId="38" fillId="7" borderId="18" xfId="0" applyNumberFormat="1" applyFont="1" applyFill="1" applyBorder="1"/>
    <xf numFmtId="0" fontId="40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center" wrapText="1"/>
    </xf>
    <xf numFmtId="0" fontId="43" fillId="0" borderId="1" xfId="0" applyFont="1" applyBorder="1"/>
    <xf numFmtId="0" fontId="43" fillId="2" borderId="1" xfId="0" applyFont="1" applyFill="1" applyBorder="1"/>
    <xf numFmtId="2" fontId="43" fillId="2" borderId="0" xfId="0" applyNumberFormat="1" applyFont="1" applyFill="1"/>
    <xf numFmtId="0" fontId="43" fillId="2" borderId="0" xfId="0" applyFont="1" applyFill="1"/>
    <xf numFmtId="14" fontId="43" fillId="2" borderId="1" xfId="0" applyNumberFormat="1" applyFont="1" applyFill="1" applyBorder="1" applyAlignment="1">
      <alignment horizontal="center"/>
    </xf>
    <xf numFmtId="43" fontId="43" fillId="2" borderId="1" xfId="1" applyFont="1" applyFill="1" applyBorder="1" applyAlignment="1">
      <alignment horizontal="right"/>
    </xf>
    <xf numFmtId="0" fontId="44" fillId="2" borderId="1" xfId="0" applyFont="1" applyFill="1" applyBorder="1" applyAlignment="1">
      <alignment horizontal="center"/>
    </xf>
    <xf numFmtId="0" fontId="43" fillId="2" borderId="7" xfId="0" applyFont="1" applyFill="1" applyBorder="1" applyAlignment="1">
      <alignment horizontal="center" wrapText="1"/>
    </xf>
    <xf numFmtId="0" fontId="0" fillId="2" borderId="0" xfId="0" applyFill="1"/>
    <xf numFmtId="14" fontId="44" fillId="2" borderId="1" xfId="0" applyNumberFormat="1" applyFont="1" applyFill="1" applyBorder="1" applyAlignment="1">
      <alignment horizontal="center"/>
    </xf>
    <xf numFmtId="0" fontId="43" fillId="2" borderId="7" xfId="0" applyFont="1" applyFill="1" applyBorder="1" applyAlignment="1">
      <alignment horizontal="center"/>
    </xf>
    <xf numFmtId="0" fontId="44" fillId="2" borderId="1" xfId="0" applyFont="1" applyFill="1" applyBorder="1" applyAlignment="1">
      <alignment horizontal="center" wrapText="1"/>
    </xf>
    <xf numFmtId="0" fontId="5" fillId="2" borderId="0" xfId="0" applyFont="1" applyFill="1"/>
    <xf numFmtId="4" fontId="38" fillId="2" borderId="1" xfId="0" applyNumberFormat="1" applyFont="1" applyFill="1" applyBorder="1"/>
    <xf numFmtId="4" fontId="38" fillId="2" borderId="0" xfId="0" applyNumberFormat="1" applyFont="1" applyFill="1"/>
    <xf numFmtId="4" fontId="38" fillId="2" borderId="13" xfId="0" applyNumberFormat="1" applyFont="1" applyFill="1" applyBorder="1"/>
    <xf numFmtId="4" fontId="38" fillId="0" borderId="13" xfId="0" applyNumberFormat="1" applyFont="1" applyBorder="1" applyAlignment="1">
      <alignment horizontal="right"/>
    </xf>
    <xf numFmtId="4" fontId="38" fillId="0" borderId="1" xfId="0" applyNumberFormat="1" applyFont="1" applyBorder="1" applyAlignment="1">
      <alignment horizontal="right"/>
    </xf>
    <xf numFmtId="4" fontId="38" fillId="7" borderId="1" xfId="0" applyNumberFormat="1" applyFont="1" applyFill="1" applyBorder="1"/>
    <xf numFmtId="4" fontId="43" fillId="2" borderId="1" xfId="0" applyNumberFormat="1" applyFont="1" applyFill="1" applyBorder="1"/>
    <xf numFmtId="4" fontId="43" fillId="0" borderId="1" xfId="0" applyNumberFormat="1" applyFont="1" applyBorder="1"/>
    <xf numFmtId="0" fontId="43" fillId="0" borderId="4" xfId="0" applyFont="1" applyBorder="1"/>
    <xf numFmtId="0" fontId="45" fillId="0" borderId="1" xfId="0" applyFont="1" applyBorder="1"/>
    <xf numFmtId="0" fontId="45" fillId="0" borderId="0" xfId="0" applyFont="1"/>
    <xf numFmtId="4" fontId="0" fillId="2" borderId="7" xfId="0" applyNumberFormat="1" applyFill="1" applyBorder="1" applyAlignment="1">
      <alignment horizontal="center"/>
    </xf>
    <xf numFmtId="0" fontId="46" fillId="2" borderId="13" xfId="0" applyFont="1" applyFill="1" applyBorder="1" applyAlignment="1">
      <alignment horizontal="right"/>
    </xf>
    <xf numFmtId="0" fontId="46" fillId="2" borderId="13" xfId="0" applyFont="1" applyFill="1" applyBorder="1" applyAlignment="1">
      <alignment horizontal="right" wrapText="1"/>
    </xf>
    <xf numFmtId="0" fontId="47" fillId="2" borderId="13" xfId="0" applyFont="1" applyFill="1" applyBorder="1" applyAlignment="1">
      <alignment horizontal="right"/>
    </xf>
    <xf numFmtId="0" fontId="45" fillId="2" borderId="13" xfId="0" applyFont="1" applyFill="1" applyBorder="1" applyAlignment="1">
      <alignment horizontal="right"/>
    </xf>
    <xf numFmtId="0" fontId="48" fillId="2" borderId="1" xfId="0" applyFont="1" applyFill="1" applyBorder="1"/>
    <xf numFmtId="0" fontId="32" fillId="2" borderId="1" xfId="0" applyFont="1" applyFill="1" applyBorder="1"/>
    <xf numFmtId="0" fontId="41" fillId="10" borderId="15" xfId="0" applyFont="1" applyFill="1" applyBorder="1"/>
    <xf numFmtId="0" fontId="5" fillId="5" borderId="5" xfId="0" applyFont="1" applyFill="1" applyBorder="1" applyAlignment="1">
      <alignment horizontal="center" vertical="center" wrapText="1"/>
    </xf>
    <xf numFmtId="0" fontId="0" fillId="0" borderId="4" xfId="0" applyBorder="1" applyAlignment="1"/>
    <xf numFmtId="4" fontId="30" fillId="0" borderId="1" xfId="0" applyNumberFormat="1" applyFont="1" applyBorder="1" applyAlignment="1">
      <alignment horizontal="center"/>
    </xf>
    <xf numFmtId="0" fontId="49" fillId="0" borderId="1" xfId="0" applyFont="1" applyBorder="1"/>
    <xf numFmtId="0" fontId="50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25" fillId="2" borderId="1" xfId="0" applyFont="1" applyFill="1" applyBorder="1"/>
    <xf numFmtId="0" fontId="52" fillId="0" borderId="1" xfId="0" applyFont="1" applyFill="1" applyBorder="1" applyAlignment="1">
      <alignment horizontal="center" wrapText="1"/>
    </xf>
    <xf numFmtId="0" fontId="51" fillId="0" borderId="1" xfId="0" applyFont="1" applyFill="1" applyBorder="1"/>
    <xf numFmtId="0" fontId="53" fillId="0" borderId="1" xfId="0" applyFont="1" applyFill="1" applyBorder="1" applyAlignment="1">
      <alignment horizontal="center" wrapText="1"/>
    </xf>
    <xf numFmtId="0" fontId="52" fillId="0" borderId="1" xfId="0" applyFont="1" applyFill="1" applyBorder="1" applyAlignment="1">
      <alignment horizontal="right" vertical="center" wrapText="1"/>
    </xf>
    <xf numFmtId="0" fontId="54" fillId="0" borderId="1" xfId="0" applyFont="1" applyFill="1" applyBorder="1"/>
    <xf numFmtId="0" fontId="5" fillId="0" borderId="4" xfId="0" applyFont="1" applyBorder="1"/>
    <xf numFmtId="0" fontId="51" fillId="0" borderId="1" xfId="4" applyFont="1" applyFill="1" applyBorder="1" applyAlignment="1">
      <alignment horizontal="center"/>
    </xf>
    <xf numFmtId="2" fontId="5" fillId="0" borderId="1" xfId="0" applyNumberFormat="1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5" fillId="5" borderId="1" xfId="0" applyFont="1" applyFill="1" applyBorder="1" applyAlignment="1">
      <alignment horizontal="left"/>
    </xf>
    <xf numFmtId="2" fontId="5" fillId="2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4" fontId="5" fillId="0" borderId="0" xfId="3" applyNumberFormat="1" applyFont="1"/>
    <xf numFmtId="0" fontId="5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 vertical="center" wrapText="1" shrinkToFit="1"/>
    </xf>
    <xf numFmtId="4" fontId="5" fillId="7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4" fontId="5" fillId="0" borderId="0" xfId="3" applyNumberFormat="1" applyFont="1" applyAlignment="1">
      <alignment horizontal="center"/>
    </xf>
    <xf numFmtId="0" fontId="0" fillId="0" borderId="4" xfId="0" applyFont="1" applyBorder="1" applyAlignment="1">
      <alignment wrapText="1"/>
    </xf>
    <xf numFmtId="0" fontId="30" fillId="0" borderId="13" xfId="0" applyFont="1" applyBorder="1" applyAlignment="1">
      <alignment horizontal="center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right"/>
    </xf>
    <xf numFmtId="0" fontId="59" fillId="0" borderId="1" xfId="0" applyFont="1" applyBorder="1" applyAlignment="1">
      <alignment horizontal="right" vertical="center"/>
    </xf>
    <xf numFmtId="0" fontId="56" fillId="2" borderId="1" xfId="0" applyFont="1" applyFill="1" applyBorder="1" applyAlignment="1">
      <alignment horizontal="right" wrapText="1"/>
    </xf>
    <xf numFmtId="0" fontId="57" fillId="2" borderId="1" xfId="0" applyFont="1" applyFill="1" applyBorder="1" applyAlignment="1">
      <alignment horizontal="right" wrapText="1"/>
    </xf>
    <xf numFmtId="0" fontId="58" fillId="0" borderId="1" xfId="0" applyFont="1" applyBorder="1" applyAlignment="1">
      <alignment horizontal="right"/>
    </xf>
    <xf numFmtId="0" fontId="0" fillId="11" borderId="1" xfId="0" applyFill="1" applyBorder="1" applyAlignment="1">
      <alignment horizontal="right"/>
    </xf>
    <xf numFmtId="14" fontId="5" fillId="7" borderId="20" xfId="0" applyNumberFormat="1" applyFont="1" applyFill="1" applyBorder="1"/>
    <xf numFmtId="14" fontId="5" fillId="7" borderId="2" xfId="0" applyNumberFormat="1" applyFont="1" applyFill="1" applyBorder="1"/>
    <xf numFmtId="4" fontId="30" fillId="0" borderId="13" xfId="0" applyNumberFormat="1" applyFont="1" applyBorder="1" applyAlignment="1">
      <alignment horizontal="center"/>
    </xf>
    <xf numFmtId="0" fontId="30" fillId="0" borderId="25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4" fontId="31" fillId="0" borderId="25" xfId="0" applyNumberFormat="1" applyFont="1" applyBorder="1" applyAlignment="1">
      <alignment horizontal="center"/>
    </xf>
    <xf numFmtId="4" fontId="31" fillId="0" borderId="26" xfId="0" applyNumberFormat="1" applyFont="1" applyBorder="1" applyAlignment="1">
      <alignment horizontal="center"/>
    </xf>
    <xf numFmtId="4" fontId="31" fillId="0" borderId="27" xfId="0" applyNumberFormat="1" applyFont="1" applyBorder="1" applyAlignment="1">
      <alignment horizontal="center"/>
    </xf>
    <xf numFmtId="4" fontId="31" fillId="0" borderId="28" xfId="0" applyNumberFormat="1" applyFont="1" applyBorder="1" applyAlignment="1">
      <alignment horizontal="center"/>
    </xf>
    <xf numFmtId="4" fontId="30" fillId="0" borderId="29" xfId="0" applyNumberFormat="1" applyFont="1" applyBorder="1" applyAlignment="1">
      <alignment horizontal="center"/>
    </xf>
    <xf numFmtId="4" fontId="30" fillId="0" borderId="30" xfId="0" applyNumberFormat="1" applyFont="1" applyBorder="1" applyAlignment="1">
      <alignment horizontal="center"/>
    </xf>
    <xf numFmtId="4" fontId="60" fillId="4" borderId="29" xfId="0" applyNumberFormat="1" applyFont="1" applyFill="1" applyBorder="1" applyAlignment="1">
      <alignment horizontal="center"/>
    </xf>
    <xf numFmtId="4" fontId="60" fillId="4" borderId="30" xfId="0" applyNumberFormat="1" applyFont="1" applyFill="1" applyBorder="1" applyAlignment="1">
      <alignment horizontal="center"/>
    </xf>
    <xf numFmtId="0" fontId="10" fillId="0" borderId="3" xfId="0" applyFont="1" applyBorder="1" applyAlignment="1">
      <alignment horizontal="center" wrapText="1"/>
    </xf>
    <xf numFmtId="0" fontId="13" fillId="2" borderId="4" xfId="0" applyFont="1" applyFill="1" applyBorder="1" applyAlignment="1">
      <alignment horizontal="center" vertical="center" textRotation="135"/>
    </xf>
    <xf numFmtId="0" fontId="13" fillId="2" borderId="5" xfId="0" applyFont="1" applyFill="1" applyBorder="1" applyAlignment="1">
      <alignment horizontal="center" vertical="center" textRotation="135"/>
    </xf>
    <xf numFmtId="0" fontId="13" fillId="2" borderId="2" xfId="0" applyFont="1" applyFill="1" applyBorder="1" applyAlignment="1">
      <alignment horizontal="center" vertical="center" textRotation="135"/>
    </xf>
    <xf numFmtId="0" fontId="13" fillId="2" borderId="4" xfId="0" applyFont="1" applyFill="1" applyBorder="1" applyAlignment="1">
      <alignment horizontal="center" vertical="center" textRotation="45"/>
    </xf>
    <xf numFmtId="0" fontId="13" fillId="2" borderId="5" xfId="0" applyFont="1" applyFill="1" applyBorder="1" applyAlignment="1">
      <alignment horizontal="center" vertical="center" textRotation="45"/>
    </xf>
    <xf numFmtId="0" fontId="13" fillId="2" borderId="2" xfId="0" applyFont="1" applyFill="1" applyBorder="1" applyAlignment="1">
      <alignment horizontal="center" vertical="center" textRotation="45"/>
    </xf>
    <xf numFmtId="0" fontId="9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5" fillId="3" borderId="3" xfId="0" applyFont="1" applyFill="1" applyBorder="1"/>
    <xf numFmtId="0" fontId="5" fillId="0" borderId="3" xfId="0" applyFont="1" applyBorder="1"/>
    <xf numFmtId="0" fontId="6" fillId="4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23" fillId="6" borderId="0" xfId="0" applyFont="1" applyFill="1" applyAlignment="1">
      <alignment horizontal="center"/>
    </xf>
    <xf numFmtId="0" fontId="23" fillId="6" borderId="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4" fillId="8" borderId="16" xfId="0" applyFont="1" applyFill="1" applyBorder="1" applyAlignment="1">
      <alignment horizontal="center" vertical="center"/>
    </xf>
    <xf numFmtId="0" fontId="24" fillId="8" borderId="17" xfId="0" applyFont="1" applyFill="1" applyBorder="1" applyAlignment="1">
      <alignment horizontal="center" vertical="center"/>
    </xf>
    <xf numFmtId="0" fontId="23" fillId="6" borderId="0" xfId="0" applyFont="1" applyFill="1" applyAlignment="1">
      <alignment horizontal="center" vertical="center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6" fillId="4" borderId="4" xfId="0" applyFont="1" applyFill="1" applyBorder="1" applyAlignment="1">
      <alignment horizontal="center" wrapText="1"/>
    </xf>
    <xf numFmtId="0" fontId="0" fillId="9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5" fillId="0" borderId="12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41" fillId="10" borderId="19" xfId="0" applyFont="1" applyFill="1" applyBorder="1" applyAlignment="1">
      <alignment horizontal="left" vertical="center"/>
    </xf>
    <xf numFmtId="0" fontId="41" fillId="10" borderId="3" xfId="0" applyFont="1" applyFill="1" applyBorder="1" applyAlignment="1">
      <alignment horizontal="left" vertical="center"/>
    </xf>
    <xf numFmtId="0" fontId="41" fillId="10" borderId="0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5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3" borderId="0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4" xfId="0" applyFont="1" applyBorder="1" applyAlignment="1">
      <alignment horizontal="center"/>
    </xf>
    <xf numFmtId="0" fontId="30" fillId="0" borderId="13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</cellXfs>
  <cellStyles count="5">
    <cellStyle name="Comma" xfId="1" builtinId="3"/>
    <cellStyle name="Currency" xfId="3" builtinId="4"/>
    <cellStyle name="Normal" xfId="0" builtinId="0"/>
    <cellStyle name="Normal 13" xfId="2" xr:uid="{6B5AC4C2-79BB-441F-80B7-02A0AFAD88B3}"/>
    <cellStyle name="Normal 2" xfId="4" xr:uid="{9D6E587A-67B8-452F-87CE-F2572403E3F5}"/>
  </cellStyles>
  <dxfs count="3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" formatCode="0.00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Book Antiqu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fill>
        <patternFill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>
          <fgColor indexed="64"/>
          <bgColor theme="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Book Antiqu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utura Medium"/>
        <scheme val="none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um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ejuru, Ebere SPDC-UPC/G/USLM" id="{1AA7C929-4FAA-4091-8EAE-CD8786AA51CC}" userId="S::Ebere.E.Egejuru@shell.com::8e4b3e88-f512-4549-8a5a-a674fd3e3f2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19A5E3-F7C2-4512-985D-2705565BF8E9}" name="Table1" displayName="Table1" ref="A3:O20" totalsRowCount="1" headerRowDxfId="381" dataDxfId="380">
  <autoFilter ref="A3:O19" xr:uid="{93F506BB-850B-4FE3-B7EC-B887D89A20A4}"/>
  <tableColumns count="15">
    <tableColumn id="1" xr3:uid="{473344F5-A6A4-4867-B065-7F10A563AAD1}" name="S/N" dataDxfId="379" totalsRowDxfId="378"/>
    <tableColumn id="2" xr3:uid="{F7FFD6DA-EA1D-4D66-96B3-805274542880}" name="NAME OF VESSEL" dataDxfId="377" totalsRowDxfId="376"/>
    <tableColumn id="3" xr3:uid="{46C000AB-EAC0-4587-A5C9-39F88D76EB6C}" name="TYPE" dataDxfId="375" totalsRowDxfId="374"/>
    <tableColumn id="4" xr3:uid="{32534B8A-77EF-487C-A3E3-16CCBA332CF1}" name="PO" dataDxfId="373" totalsRowDxfId="372"/>
    <tableColumn id="5" xr3:uid="{F6291A3B-B8BC-4F24-9D45-1E9C2C831CDB}" name="TEAM" dataDxfId="371" totalsRowDxfId="370"/>
    <tableColumn id="6" xr3:uid="{95E07606-81DE-406F-AAD1-05110EF32116}" name="LOCATION" dataDxfId="369" totalsRowDxfId="368"/>
    <tableColumn id="7" xr3:uid="{19FCC20F-FF6E-4B84-B72F-CEAB3D91C47C}" name="N" dataDxfId="367" totalsRowDxfId="366"/>
    <tableColumn id="8" xr3:uid="{0A483BD3-A57F-42E7-8E30-FF48CFABCC70}" name="$" dataDxfId="365" totalsRowDxfId="364"/>
    <tableColumn id="9" xr3:uid="{E60057B3-CF30-471E-87BE-FCB16409E8C2}" name="HIRE DATE" dataDxfId="363" totalsRowDxfId="362"/>
    <tableColumn id="10" xr3:uid="{1DD487A3-DA3E-4703-AC9B-C95E5AD0AAAA}" name="ACTUAL OFF-HIRE" dataDxfId="361" totalsRowDxfId="360"/>
    <tableColumn id="11" xr3:uid="{AE57FEA2-55D7-44E9-8D34-8939316AD03F}" name="EXPECTED OFF-HIRE" dataDxfId="359" totalsRowDxfId="358"/>
    <tableColumn id="12" xr3:uid="{6A28C006-3E3D-47E7-84A3-F83B28D9B3F6}" name="ACTUAL SAVINGS  IN DAYS" totalsRowLabel="Total" dataDxfId="357" totalsRowDxfId="356"/>
    <tableColumn id="13" xr3:uid="{02751A5A-D3B7-4B3A-9950-F284659DF24A}" name="NGN" totalsRowFunction="sum" dataDxfId="355" totalsRowDxfId="354">
      <calculatedColumnFormula>SUM(G4*L4)</calculatedColumnFormula>
    </tableColumn>
    <tableColumn id="14" xr3:uid="{F84AC7C8-B8D8-45B4-9428-E8560D081DA9}" name="USD" totalsRowFunction="sum" dataDxfId="353" totalsRowDxfId="352">
      <calculatedColumnFormula>SUM(H4*L4)</calculatedColumnFormula>
    </tableColumn>
    <tableColumn id="15" xr3:uid="{31CCDFD5-6A94-4479-869D-7FF0AA03B0C5}" name="Remark" dataDxfId="351" totalsRowDxfId="35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E2A7E9-6C26-4C31-BA47-FF1E407277AC}" name="Table1345678" displayName="Table1345678" ref="A3:N15" totalsRowCount="1" headerRowDxfId="89" dataDxfId="88">
  <autoFilter ref="A3:N14" xr:uid="{93F506BB-850B-4FE3-B7EC-B887D89A20A4}"/>
  <tableColumns count="14">
    <tableColumn id="1" xr3:uid="{149BDD92-F22D-4F87-BB3A-32274E77E1C9}" name="S/N" dataDxfId="87" totalsRowDxfId="86"/>
    <tableColumn id="2" xr3:uid="{A380FEC3-9ADC-44E8-8B2A-CB89E21FD60C}" name="NAME OF VESSEL" dataDxfId="85" totalsRowDxfId="84"/>
    <tableColumn id="3" xr3:uid="{19D2E6B6-7625-49C3-9D2A-1C83CFBDB026}" name="TYPE" dataDxfId="83" totalsRowDxfId="82"/>
    <tableColumn id="4" xr3:uid="{0AE3574B-3478-43DF-9928-F3E815D64A36}" name="PO" dataDxfId="81" totalsRowDxfId="80"/>
    <tableColumn id="5" xr3:uid="{724605B3-C9C3-40EC-8D6A-B1595E86D160}" name="TEAM" dataDxfId="79" totalsRowDxfId="78"/>
    <tableColumn id="6" xr3:uid="{96937ADC-E845-426B-9C48-FE116D4EB6FA}" name="LOCATION" dataDxfId="77" totalsRowDxfId="76"/>
    <tableColumn id="7" xr3:uid="{2D113FFA-A123-4FC7-AA61-FBAD5CEC691B}" name="N" dataDxfId="75" totalsRowDxfId="74"/>
    <tableColumn id="8" xr3:uid="{1A077BED-3533-4E77-BA8E-88ACF96B6672}" name="$" dataDxfId="73" totalsRowDxfId="72"/>
    <tableColumn id="9" xr3:uid="{1D81D99D-EEEE-4DB5-88E7-8D1FCFE9658D}" name="HIRE DATE" dataDxfId="71" totalsRowDxfId="70"/>
    <tableColumn id="10" xr3:uid="{03941028-F93D-4436-95CF-79E3888AF9AF}" name="ACTUAL OFF-HIRE" dataDxfId="69" totalsRowDxfId="68"/>
    <tableColumn id="11" xr3:uid="{32EBA4D2-8D03-4E29-BDA3-050E4DC64C29}" name="EXPECTED OFF-HIRE" totalsRowLabel="Total" dataDxfId="67" totalsRowDxfId="66"/>
    <tableColumn id="12" xr3:uid="{6540EBA1-6757-4C5F-A879-F39441A2509A}" name="ACTUAL SAVINGS  IN DAYS" totalsRowFunction="custom" dataDxfId="65" totalsRowDxfId="64">
      <totalsRowFormula>SUM(L4:L13)</totalsRowFormula>
    </tableColumn>
    <tableColumn id="13" xr3:uid="{266818BD-A51C-4DF6-8382-AD4B6FFD0B01}" name="NGN" totalsRowFunction="sum" dataDxfId="63" totalsRowDxfId="62">
      <calculatedColumnFormula>SUM(G4*L4)</calculatedColumnFormula>
    </tableColumn>
    <tableColumn id="14" xr3:uid="{B85EFD49-789E-413B-B1F6-8463638CCF7D}" name="USD" totalsRowFunction="sum" dataDxfId="61" totalsRowDxfId="60">
      <calculatedColumnFormula>SUM(H4*L4)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648743-DC20-4D4F-91FA-BA1B63E9EBA3}" name="Table13456789" displayName="Table13456789" ref="A3:N33" totalsRowCount="1" headerRowDxfId="59" dataDxfId="58">
  <autoFilter ref="A3:N32" xr:uid="{93F506BB-850B-4FE3-B7EC-B887D89A20A4}"/>
  <tableColumns count="14">
    <tableColumn id="1" xr3:uid="{A27C7EB1-6403-439B-91E7-3114CAA6C558}" name="S/N" dataDxfId="57" totalsRowDxfId="56"/>
    <tableColumn id="2" xr3:uid="{28A3911A-1704-4B9E-A4CA-51FB3141BB1B}" name="NAME OF VESSEL" dataDxfId="55" totalsRowDxfId="54"/>
    <tableColumn id="3" xr3:uid="{C6A775DF-46F4-46D8-BBE6-9B8F5CD3707C}" name="TYPE" dataDxfId="53" totalsRowDxfId="52"/>
    <tableColumn id="4" xr3:uid="{D40F1ACC-96C7-4FA7-B77F-C9C30267D722}" name="PO" dataDxfId="51" totalsRowDxfId="50"/>
    <tableColumn id="5" xr3:uid="{B8C86F94-B4C9-4111-AC5C-A064158EBF7E}" name="TEAM" dataDxfId="49" totalsRowDxfId="48"/>
    <tableColumn id="6" xr3:uid="{4AAD9273-7397-41EC-A77F-BB7781EFDFF2}" name="LOCATION" dataDxfId="47" totalsRowDxfId="46"/>
    <tableColumn id="7" xr3:uid="{BAE42B75-6412-4BE0-BA3B-2EAA9D090F03}" name="N" dataDxfId="45" totalsRowDxfId="44"/>
    <tableColumn id="8" xr3:uid="{84EDFBEC-2176-44D8-AED4-86C0E9BE8F60}" name="$" dataDxfId="43" totalsRowDxfId="42"/>
    <tableColumn id="9" xr3:uid="{33646327-6205-4A8A-A536-92BE208FD2B6}" name="HIRE DATE" dataDxfId="41" totalsRowDxfId="40"/>
    <tableColumn id="10" xr3:uid="{66F2349F-B79F-4ACC-A8B1-B4D6D807C383}" name="ACTUAL OFF-HIRE" dataDxfId="39" totalsRowDxfId="38"/>
    <tableColumn id="11" xr3:uid="{5D37DBF5-68A1-4789-9E5A-92CD7D3D9D59}" name="EXPECTED OFF-HIRE" totalsRowLabel="Total" dataDxfId="37" totalsRowDxfId="36"/>
    <tableColumn id="12" xr3:uid="{CC1C687C-5FB5-4E5B-82C6-123C66D127AD}" name="ACTUAL SAVINGS  IN DAYS" totalsRowFunction="custom" dataDxfId="35" totalsRowDxfId="34">
      <totalsRowFormula>SUM(L4:L13)</totalsRowFormula>
    </tableColumn>
    <tableColumn id="13" xr3:uid="{4D6501AD-43CF-4320-A59F-EF77713B0982}" name="NGN" totalsRowFunction="sum" dataDxfId="33" totalsRowDxfId="32">
      <calculatedColumnFormula>SUM(G4*L4)</calculatedColumnFormula>
    </tableColumn>
    <tableColumn id="14" xr3:uid="{8292DE44-E3C2-4C75-9E7F-DE7CE21B0303}" name="USD" totalsRowFunction="sum" dataDxfId="31" totalsRowDxfId="30">
      <calculatedColumnFormula>SUM(H4*L4)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F0AAAC-70AE-4A89-8532-6AAC46D84A2B}" name="Table1345678910" displayName="Table1345678910" ref="A3:N17" totalsRowCount="1" headerRowDxfId="29" dataDxfId="28">
  <autoFilter ref="A3:N16" xr:uid="{93F506BB-850B-4FE3-B7EC-B887D89A20A4}"/>
  <tableColumns count="14">
    <tableColumn id="1" xr3:uid="{B4662594-E42F-4601-90BC-3AC26B9E1208}" name="S/N" dataDxfId="27" totalsRowDxfId="26"/>
    <tableColumn id="2" xr3:uid="{7B0E820B-62A1-4777-998D-AF19A68AF21C}" name="NAME OF VESSEL" dataDxfId="25" totalsRowDxfId="24"/>
    <tableColumn id="3" xr3:uid="{0DC1FD43-3583-4696-BA8E-335C913FA641}" name="TYPE" dataDxfId="23" totalsRowDxfId="22"/>
    <tableColumn id="4" xr3:uid="{64293BC8-8C68-4AD9-9186-E8AC441C9DD1}" name="PO" dataDxfId="21" totalsRowDxfId="20"/>
    <tableColumn id="5" xr3:uid="{04C91093-E694-4D31-B803-9AA1CCE91EFF}" name="TEAM" dataDxfId="19" totalsRowDxfId="18"/>
    <tableColumn id="6" xr3:uid="{9D620896-BD4A-44CF-AA87-2913F53DE00B}" name="LOCATION" dataDxfId="17" totalsRowDxfId="16"/>
    <tableColumn id="7" xr3:uid="{61914BB4-8115-40DE-80E7-D32A9D7EECBD}" name="N" dataDxfId="15" totalsRowDxfId="14"/>
    <tableColumn id="8" xr3:uid="{9EE2FAD7-E1FB-4F60-9BF0-5E0318C834F9}" name="$" dataDxfId="13" totalsRowDxfId="12"/>
    <tableColumn id="9" xr3:uid="{BD2EF621-1C3C-4EE0-A2A4-D741C7A25848}" name="HIRE DATE" dataDxfId="11" totalsRowDxfId="10"/>
    <tableColumn id="10" xr3:uid="{20ABFFBA-0BF2-4A38-AA38-CEE07FFE27E8}" name="ACTUAL OFF-HIRE" dataDxfId="9" totalsRowDxfId="8"/>
    <tableColumn id="11" xr3:uid="{0FE905FC-7A5F-4A4C-A51F-2B34B0B3BF4A}" name="EXPECTED OFF-HIRE" totalsRowLabel="Total" dataDxfId="7" totalsRowDxfId="6"/>
    <tableColumn id="12" xr3:uid="{61BFC7A5-030E-44E9-9220-60D6DD1298AF}" name="ACTUAL SAVINGS  IN DAYS" totalsRowFunction="custom" dataDxfId="5" totalsRowDxfId="4">
      <totalsRowFormula>SUM(L4:L9)</totalsRowFormula>
    </tableColumn>
    <tableColumn id="13" xr3:uid="{AD7B4B7D-2B12-4A84-A531-AC91424F390A}" name="NGN" totalsRowFunction="sum" dataDxfId="3" totalsRowDxfId="2">
      <calculatedColumnFormula>SUM(G4*L4)</calculatedColumnFormula>
    </tableColumn>
    <tableColumn id="14" xr3:uid="{E093D622-1159-4074-92B3-AA8B270D419F}" name="USD" totalsRowFunction="sum" dataDxfId="1" totalsRowDxfId="0">
      <calculatedColumnFormula>SUM(H4*L4)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2346C5-BFB2-4F06-A141-7B8C9FA73A8D}" name="Table13" displayName="Table13" ref="A3:O20" totalsRowCount="1" headerRowDxfId="349" dataDxfId="348">
  <autoFilter ref="A3:O19" xr:uid="{93F506BB-850B-4FE3-B7EC-B887D89A20A4}"/>
  <tableColumns count="15">
    <tableColumn id="1" xr3:uid="{9A194E2D-9F29-43F5-9564-9A7FAE86BDB3}" name="S/N" dataDxfId="347" totalsRowDxfId="346"/>
    <tableColumn id="2" xr3:uid="{98B52301-5E2F-445A-9CD4-59E16708B2BB}" name="NAME OF VESSEL" dataDxfId="345" totalsRowDxfId="344"/>
    <tableColumn id="3" xr3:uid="{14AA8C4A-DAF8-4F01-BB50-D17055B2DC37}" name="TYPE" dataDxfId="343" totalsRowDxfId="342"/>
    <tableColumn id="4" xr3:uid="{41F5A41F-9C40-47EE-9055-E7F1E48F1C4D}" name="PO" dataDxfId="341" totalsRowDxfId="340"/>
    <tableColumn id="5" xr3:uid="{71624BB0-42E6-4B42-BD62-C49BD1F34A23}" name="TEAM" dataDxfId="339" totalsRowDxfId="338"/>
    <tableColumn id="6" xr3:uid="{2D6B2CAC-D34B-4BB7-B3D7-73ED3F1248C5}" name="LOCATION" dataDxfId="337" totalsRowDxfId="336"/>
    <tableColumn id="7" xr3:uid="{BA141435-A668-4D1B-BE38-8781726BA2D4}" name="N" dataDxfId="335" totalsRowDxfId="334"/>
    <tableColumn id="8" xr3:uid="{0D99FB8E-E62A-45A3-9DEF-83C6E634DF27}" name="$" dataDxfId="333" totalsRowDxfId="332"/>
    <tableColumn id="9" xr3:uid="{553F9FFE-91DF-4D07-9591-C3475A234B3B}" name="HIRE DATE" dataDxfId="331" totalsRowDxfId="330"/>
    <tableColumn id="10" xr3:uid="{F6520A58-2772-4BBE-848E-0B35F128C711}" name="ACTUAL OFF-HIRE" dataDxfId="329" totalsRowDxfId="328"/>
    <tableColumn id="11" xr3:uid="{35267912-C97F-4AA0-BD6E-5B400F2A73E9}" name="EXPECTED OFF-HIRE" dataDxfId="327" totalsRowDxfId="326"/>
    <tableColumn id="12" xr3:uid="{F83C7336-F3EF-46F1-9FA5-BEC38021AE80}" name="ACTUAL SAVINGS  IN DAYS" totalsRowLabel="Total" dataDxfId="325" totalsRowDxfId="324"/>
    <tableColumn id="13" xr3:uid="{CE3849D2-99C0-49C3-BC54-9C7501340D0F}" name="NGN" totalsRowFunction="sum" dataDxfId="323" totalsRowDxfId="322">
      <calculatedColumnFormula>SUM(G4*L4)</calculatedColumnFormula>
    </tableColumn>
    <tableColumn id="14" xr3:uid="{A9D150CB-67EC-4C89-BD36-EAF27E35A1D6}" name="USD" totalsRowFunction="sum" dataDxfId="321" totalsRowDxfId="320">
      <calculatedColumnFormula>SUM(H4*L4)</calculatedColumnFormula>
    </tableColumn>
    <tableColumn id="15" xr3:uid="{579519D8-1B7A-41A8-B04E-8E59C602C7E0}" name="Remark" dataDxfId="319" totalsRowDxfId="3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DAC197-A302-4A24-BD86-BBA1C9031E66}" name="Table134" displayName="Table134" ref="A3:O15" totalsRowCount="1" headerRowDxfId="317" dataDxfId="316">
  <autoFilter ref="A3:O14" xr:uid="{93F506BB-850B-4FE3-B7EC-B887D89A20A4}"/>
  <tableColumns count="15">
    <tableColumn id="1" xr3:uid="{1C841EC2-9897-4B91-B516-40E331F7CCD9}" name="S/N" dataDxfId="315" totalsRowDxfId="314"/>
    <tableColumn id="2" xr3:uid="{98CC5051-8B34-4AE9-A974-B524FA7F1C86}" name="NAME OF VESSEL" dataDxfId="313" totalsRowDxfId="312"/>
    <tableColumn id="3" xr3:uid="{74699D66-C6FA-4B05-9516-CDF55C0B598B}" name="TYPE" dataDxfId="311" totalsRowDxfId="310"/>
    <tableColumn id="4" xr3:uid="{B71FAFB2-8D67-4C47-9249-1702C57A0661}" name="PO" dataDxfId="309" totalsRowDxfId="308"/>
    <tableColumn id="5" xr3:uid="{78461900-43AA-4997-80A1-A0D2D45FF51F}" name="TEAM" dataDxfId="307" totalsRowDxfId="306"/>
    <tableColumn id="6" xr3:uid="{4141205F-9BAA-4E1D-8675-4782326FC2D5}" name="LOCATION" dataDxfId="305" totalsRowDxfId="304"/>
    <tableColumn id="7" xr3:uid="{9C06C8BC-4986-4CB0-90D6-7DC5F123E23E}" name="N" dataDxfId="303" totalsRowDxfId="302"/>
    <tableColumn id="8" xr3:uid="{1A08565E-508A-4CB7-9C92-20BC60143B18}" name="$" dataDxfId="301" totalsRowDxfId="300"/>
    <tableColumn id="9" xr3:uid="{008F98C1-206C-4C43-9508-0E0FEF2D070D}" name="HIRE DATE" dataDxfId="299" totalsRowDxfId="298"/>
    <tableColumn id="10" xr3:uid="{2427A36E-6157-45B5-BDCF-EF92082FA354}" name="ACTUAL OFF-HIRE" dataDxfId="297" totalsRowDxfId="296"/>
    <tableColumn id="11" xr3:uid="{44D44941-51BE-4A59-97DC-1DD22C631D0B}" name="EXPECTED OFF-HIRE" dataDxfId="295" totalsRowDxfId="294"/>
    <tableColumn id="12" xr3:uid="{E7506BD9-7AB4-4D34-8294-49E5C5638F9A}" name="ACTUAL SAVINGS  IN DAYS" totalsRowLabel="Total" dataDxfId="293" totalsRowDxfId="292"/>
    <tableColumn id="13" xr3:uid="{803BAB87-8627-4D18-83CF-049EF51E65F9}" name="NGN" totalsRowFunction="sum" dataDxfId="291" totalsRowDxfId="290">
      <calculatedColumnFormula>SUM(G4*L4)</calculatedColumnFormula>
    </tableColumn>
    <tableColumn id="14" xr3:uid="{8B50B4C0-AA63-47A7-B09F-CF40F9CC4D20}" name="USD" totalsRowFunction="sum" dataDxfId="289" totalsRowDxfId="288">
      <calculatedColumnFormula>SUM(H4*L4)</calculatedColumnFormula>
    </tableColumn>
    <tableColumn id="15" xr3:uid="{A079453B-52C5-4FCE-8C23-9D6AE4270C58}" name="Remark" dataDxfId="287" totalsRowDxfId="28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9C196E-D3D8-4F73-AF13-A8C93429B059}" name="Table1345" displayName="Table1345" ref="A3:O20" totalsRowCount="1" headerRowDxfId="285" dataDxfId="284">
  <autoFilter ref="A3:O19" xr:uid="{93F506BB-850B-4FE3-B7EC-B887D89A20A4}"/>
  <tableColumns count="15">
    <tableColumn id="1" xr3:uid="{C7067E9A-F9D2-484E-888A-6850DB09020B}" name="S/N" dataDxfId="283" totalsRowDxfId="282"/>
    <tableColumn id="2" xr3:uid="{9EC993B2-3EDD-40D6-BD81-A062E248D330}" name="NAME OF VESSEL" dataDxfId="281" totalsRowDxfId="280"/>
    <tableColumn id="3" xr3:uid="{8F3B2603-E379-429E-8CA6-C6841EA5FC9D}" name="TYPE" dataDxfId="279" totalsRowDxfId="278"/>
    <tableColumn id="4" xr3:uid="{0D6BC0F6-C550-4EAC-9F79-D1C771F26D52}" name="PO" dataDxfId="277" totalsRowDxfId="276"/>
    <tableColumn id="5" xr3:uid="{EA5356B2-30F6-422E-A24C-DCED460F418E}" name="TEAM" dataDxfId="275" totalsRowDxfId="274"/>
    <tableColumn id="6" xr3:uid="{8ABE8F32-277B-47B5-94AE-4D958527096A}" name="LOCATION" dataDxfId="273" totalsRowDxfId="272"/>
    <tableColumn id="7" xr3:uid="{F6F4FD2A-181F-4958-803E-B0AAA0D776F1}" name="N" dataDxfId="271" totalsRowDxfId="270"/>
    <tableColumn id="8" xr3:uid="{E69D46ED-D8CF-4508-BD41-F739501D6F8C}" name="$" dataDxfId="269" totalsRowDxfId="268"/>
    <tableColumn id="9" xr3:uid="{0E01EA46-BA22-44D7-82B1-10ED5D1D889E}" name="HIRE DATE" dataDxfId="267" totalsRowDxfId="266"/>
    <tableColumn id="10" xr3:uid="{5327660D-A113-4260-9DA6-E4B13B9FEBB1}" name="ACTUAL OFF-HIRE" dataDxfId="265" totalsRowDxfId="264"/>
    <tableColumn id="11" xr3:uid="{7E15BA8D-5B9B-4957-817F-7E4B7CBF15E5}" name="EXPECTED OFF-HIRE" totalsRowLabel="Total" dataDxfId="263" totalsRowDxfId="262"/>
    <tableColumn id="12" xr3:uid="{EC3F15DF-9887-42CC-8153-31498BE593B0}" name="ACTUAL SAVINGS  IN DAYS" totalsRowFunction="custom" dataDxfId="261" totalsRowDxfId="260">
      <totalsRowFormula>SUM(L4:L18)</totalsRowFormula>
    </tableColumn>
    <tableColumn id="13" xr3:uid="{D7C0D05E-D671-4953-8CB4-A37249C59D41}" name="NGN" totalsRowFunction="sum" dataDxfId="259" totalsRowDxfId="258">
      <calculatedColumnFormula>SUM(G4*L4)</calculatedColumnFormula>
    </tableColumn>
    <tableColumn id="14" xr3:uid="{176AE2D9-6225-4D8D-B17C-9A1D8AC70DCE}" name="USD" totalsRowFunction="sum" dataDxfId="257" totalsRowDxfId="256">
      <calculatedColumnFormula>SUM(H4*L4)</calculatedColumnFormula>
    </tableColumn>
    <tableColumn id="15" xr3:uid="{05766C34-9F5E-4F09-B2E7-315604B3B072}" name="Remark" dataDxfId="255" totalsRowDxfId="25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C89373-2F12-45A1-BD2C-3648981BDD6C}" name="Table13456" displayName="Table13456" ref="A3:O17" totalsRowCount="1" headerRowDxfId="253" dataDxfId="252">
  <autoFilter ref="A3:O16" xr:uid="{93F506BB-850B-4FE3-B7EC-B887D89A20A4}"/>
  <tableColumns count="15">
    <tableColumn id="1" xr3:uid="{6BA5B4D0-D098-41D0-9AAD-C828446AB8F7}" name="S/N" dataDxfId="251" totalsRowDxfId="250"/>
    <tableColumn id="2" xr3:uid="{4957BA48-DCBF-42D3-9621-7F80E7EE2E23}" name="NAME OF VESSEL" dataDxfId="249" totalsRowDxfId="248"/>
    <tableColumn id="3" xr3:uid="{559F4374-D5D8-4830-8D2B-67C77624D5E8}" name="TYPE" dataDxfId="247" totalsRowDxfId="246"/>
    <tableColumn id="4" xr3:uid="{2BF5D6BA-3116-4CB8-80EC-89C040587D7F}" name="PO" dataDxfId="245" totalsRowDxfId="244"/>
    <tableColumn id="5" xr3:uid="{09D01C0D-29A3-46F3-9767-BFB194E85DB8}" name="TEAM" dataDxfId="243" totalsRowDxfId="242"/>
    <tableColumn id="6" xr3:uid="{0962CAFC-1BCA-4379-BD36-92A69F8DD9A9}" name="LOCATION" dataDxfId="241" totalsRowDxfId="240"/>
    <tableColumn id="7" xr3:uid="{3A821911-FFC7-46CD-9F64-3801D8391655}" name="N" dataDxfId="239" totalsRowDxfId="238"/>
    <tableColumn id="8" xr3:uid="{89AD362D-72EC-4997-B371-61D1468BCA36}" name="$" dataDxfId="237" totalsRowDxfId="236"/>
    <tableColumn id="9" xr3:uid="{4ECBA553-0D38-4B29-8324-11199110B016}" name="HIRE DATE" dataDxfId="235" totalsRowDxfId="234"/>
    <tableColumn id="10" xr3:uid="{D8607508-EB84-4656-8693-34BB80DE502E}" name="ACTUAL OFF-HIRE" dataDxfId="233" totalsRowDxfId="232"/>
    <tableColumn id="11" xr3:uid="{10511380-EC13-44A6-9CCB-B3E4F868D756}" name="EXPECTED OFF-HIRE" totalsRowLabel="Total" dataDxfId="231" totalsRowDxfId="230"/>
    <tableColumn id="12" xr3:uid="{F2FC5F01-FA15-49BA-8771-EF773F131A22}" name="ACTUAL SAVINGS  IN DAYS" totalsRowFunction="custom" dataDxfId="229" totalsRowDxfId="228">
      <totalsRowFormula>SUM(L4:L15)</totalsRowFormula>
    </tableColumn>
    <tableColumn id="13" xr3:uid="{CC7CF854-1675-4DE9-80C2-9A26DDC05ABD}" name="NGN" totalsRowFunction="sum" dataDxfId="227" totalsRowDxfId="226">
      <calculatedColumnFormula>SUM(G4*L4)</calculatedColumnFormula>
    </tableColumn>
    <tableColumn id="14" xr3:uid="{B6910478-D8A9-4F89-BFF5-2BC92E32DD98}" name="USD" totalsRowFunction="sum" dataDxfId="225" totalsRowDxfId="224">
      <calculatedColumnFormula>SUM(H4*L4)</calculatedColumnFormula>
    </tableColumn>
    <tableColumn id="15" xr3:uid="{C09E3E72-F723-4D0C-98A7-047DA3408313}" name="Remark" dataDxfId="223" totalsRowDxfId="2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480DBF-C3E6-46DC-A2E1-08EE64B1E644}" name="Table137" displayName="Table137" ref="A3:O7" totalsRowCount="1" headerRowDxfId="221" dataDxfId="220" totalsRowDxfId="219" totalsRowBorderDxfId="218">
  <autoFilter ref="A3:O6" xr:uid="{17A37961-D9AF-4246-921A-E7A2C536C065}"/>
  <tableColumns count="15">
    <tableColumn id="1" xr3:uid="{CDB81B76-73EF-4E6A-B401-C39AE23EAF87}" name="S/N" dataDxfId="217" totalsRowDxfId="216"/>
    <tableColumn id="2" xr3:uid="{0D92254B-2EF1-4B1B-96D3-F00A0BB432C8}" name="NAME OF VESSEL" dataDxfId="215" totalsRowDxfId="214"/>
    <tableColumn id="3" xr3:uid="{BB417F44-39D6-4F9F-9EEC-B61D47B49CC4}" name="TYPE" dataDxfId="213" totalsRowDxfId="212"/>
    <tableColumn id="4" xr3:uid="{ED63EC5A-D461-4D24-9ECB-1273908B9216}" name="PO" dataDxfId="211" totalsRowDxfId="210"/>
    <tableColumn id="5" xr3:uid="{33D560E1-01B1-4B4D-861C-C3EBBD0D6386}" name="TEAM" dataDxfId="209" totalsRowDxfId="208"/>
    <tableColumn id="6" xr3:uid="{8A7CC083-087C-439A-9359-E4B89CEC51E5}" name="LOCATION" dataDxfId="207" totalsRowDxfId="206"/>
    <tableColumn id="7" xr3:uid="{A8FF3AAC-FFE3-47C1-883D-331D3BB19037}" name="N" dataDxfId="205" totalsRowDxfId="204"/>
    <tableColumn id="8" xr3:uid="{22364D88-C0E2-432E-B864-EAC6403EB7AC}" name="$" dataDxfId="203" totalsRowDxfId="202"/>
    <tableColumn id="9" xr3:uid="{15AAFDAC-6CEF-4077-B369-E06345048A64}" name="HIRE DATE" dataDxfId="201" totalsRowDxfId="200"/>
    <tableColumn id="10" xr3:uid="{C88B2935-DDED-492C-AC9D-52F610B8D3CF}" name="ACTUAL OFF-HIRE" dataDxfId="199" totalsRowDxfId="198"/>
    <tableColumn id="11" xr3:uid="{D152C85B-62BB-4801-A275-D4AC5AF45D43}" name="EXPECTED OFF-HIRE" dataDxfId="197" totalsRowDxfId="196"/>
    <tableColumn id="12" xr3:uid="{73E4F8A6-06E8-47E5-8DF6-8D7EC08AA3A9}" name="ACTUAL SAVINGS  IN DAYS" totalsRowLabel="Total" dataDxfId="195" totalsRowDxfId="194"/>
    <tableColumn id="13" xr3:uid="{C8A7BB53-3332-4BC4-B0B0-48A1613BF501}" name="NGN" totalsRowFunction="custom" dataDxfId="193" totalsRowDxfId="192">
      <calculatedColumnFormula>SUM(G4*L4)</calculatedColumnFormula>
      <totalsRowFormula>SUM(M4:M6)</totalsRowFormula>
    </tableColumn>
    <tableColumn id="14" xr3:uid="{BF47C731-1481-4EB3-BA71-7AE8A536872F}" name="USD" totalsRowFunction="custom" dataDxfId="191" totalsRowDxfId="190">
      <calculatedColumnFormula>SUM(H4*L4)</calculatedColumnFormula>
      <totalsRowFormula>SUM(N4:N6)</totalsRowFormula>
    </tableColumn>
    <tableColumn id="15" xr3:uid="{15AD7D95-4633-4119-AC80-B253557FE9BE}" name="REMARK" dataDxfId="189" totalsRowDxfId="18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D46E65-1984-4E32-9412-858786E99B80}" name="Table134569" displayName="Table134569" ref="A3:O28" totalsRowCount="1" headerRowDxfId="187" dataDxfId="186">
  <autoFilter ref="A3:O27" xr:uid="{93F506BB-850B-4FE3-B7EC-B887D89A20A4}"/>
  <tableColumns count="15">
    <tableColumn id="1" xr3:uid="{0BD9E0D0-9835-48D5-A9AE-73768AB1F507}" name="S/N" dataDxfId="185" totalsRowDxfId="184"/>
    <tableColumn id="2" xr3:uid="{21B2FA44-45CF-4829-A183-80E811CC840F}" name="NAME OF VESSEL" dataDxfId="183" totalsRowDxfId="182"/>
    <tableColumn id="3" xr3:uid="{AD7BDDE7-41E5-4A8E-A382-42156B17FF6D}" name="TYPE" dataDxfId="181" totalsRowDxfId="180"/>
    <tableColumn id="4" xr3:uid="{742A95AA-DCBA-41A6-9A24-0F6E8D974B28}" name="PO" dataDxfId="179" totalsRowDxfId="178"/>
    <tableColumn id="5" xr3:uid="{D4E93992-D2F2-48A5-AD0A-667FF090A99A}" name="TEAM" dataDxfId="177" totalsRowDxfId="176"/>
    <tableColumn id="6" xr3:uid="{11450118-E106-4E11-B4AB-AF387414E97A}" name="LOCATION" dataDxfId="175" totalsRowDxfId="174"/>
    <tableColumn id="7" xr3:uid="{1F63F544-3DCE-4FD1-9DFC-8A154311FE9D}" name="N" dataDxfId="173" totalsRowDxfId="172"/>
    <tableColumn id="8" xr3:uid="{EFC9C438-EAAA-440E-A2F3-22BCC208F0DC}" name="$" dataDxfId="171" totalsRowDxfId="170"/>
    <tableColumn id="9" xr3:uid="{679CE969-A9C0-434D-9B53-C8048AFB14C3}" name="HIRE DATE" dataDxfId="169" totalsRowDxfId="168"/>
    <tableColumn id="10" xr3:uid="{6D279A8A-BC92-4626-9666-20046B73A5B2}" name="ACTUAL OFF-HIRE" dataDxfId="167" totalsRowDxfId="166"/>
    <tableColumn id="11" xr3:uid="{D55DDE41-5E30-4860-802F-6AB9BFDF52DE}" name="EXPECTED OFF-HIRE" totalsRowLabel="Total" dataDxfId="165" totalsRowDxfId="164"/>
    <tableColumn id="12" xr3:uid="{256C107D-ACDA-4A55-B844-EA819D4C38FE}" name="ACTUAL SAVINGS  IN DAYS" totalsRowFunction="custom" dataDxfId="163" totalsRowDxfId="162">
      <totalsRowFormula>SUM(L4:L26)</totalsRowFormula>
    </tableColumn>
    <tableColumn id="13" xr3:uid="{6652B40E-BED4-41BA-B7BB-57E8443833A5}" name="NGN" totalsRowFunction="sum" dataDxfId="161" totalsRowDxfId="160">
      <calculatedColumnFormula>SUM(G4*L4)</calculatedColumnFormula>
    </tableColumn>
    <tableColumn id="14" xr3:uid="{041C8E40-C817-4973-A6D8-5ADA0F3EB3FE}" name="USD" totalsRowFunction="sum" dataDxfId="159" totalsRowDxfId="158">
      <calculatedColumnFormula>SUM(H4*L4)</calculatedColumnFormula>
    </tableColumn>
    <tableColumn id="15" xr3:uid="{44050E01-AA92-4941-B82B-8D54396818AA}" name="REMARK" dataDxfId="157" totalsRowDxfId="15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BF8437-0DB9-48BE-A332-778AA18F199C}" name="Table1348" displayName="Table1348" ref="A3:O16" totalsRowCount="1" headerRowDxfId="155" dataDxfId="154" totalsRowDxfId="153" totalsRowBorderDxfId="152">
  <autoFilter ref="A3:O15" xr:uid="{47535967-233A-4CA4-87D1-6242ABB639B2}"/>
  <tableColumns count="15">
    <tableColumn id="1" xr3:uid="{9500CD2F-30E3-47DA-86AE-970EB3185260}" name="S/N" dataDxfId="151" totalsRowDxfId="150"/>
    <tableColumn id="2" xr3:uid="{9BCF4BA7-2138-4B6A-82DA-C7651C4EA1FA}" name="NAME OF VESSEL" dataDxfId="149" totalsRowDxfId="148"/>
    <tableColumn id="3" xr3:uid="{EC02DB77-AACA-4139-B9C3-5B0785758EAC}" name="TYPE" dataDxfId="147" totalsRowDxfId="146"/>
    <tableColumn id="4" xr3:uid="{25FD1453-6F46-4880-9709-352C62F47877}" name="PO" dataDxfId="145" totalsRowDxfId="144"/>
    <tableColumn id="5" xr3:uid="{0DFE4EAC-8BF5-4EEC-B296-502AF3A62D75}" name="TEAM" dataDxfId="143" totalsRowDxfId="142"/>
    <tableColumn id="6" xr3:uid="{AD1139A9-68DD-4113-A868-E8FCB8EA53D6}" name="LOCATION" dataDxfId="141" totalsRowDxfId="140"/>
    <tableColumn id="7" xr3:uid="{9D32D6C4-4C74-4D2D-8315-1B2B53A681EE}" name="N" dataDxfId="139" totalsRowDxfId="138"/>
    <tableColumn id="8" xr3:uid="{32B43148-C6EE-4EB1-A036-5DD680F6A6B4}" name="$" dataDxfId="137" totalsRowDxfId="136"/>
    <tableColumn id="9" xr3:uid="{9DA1F77B-CBAA-4400-BDDF-05CA05734BE0}" name="HIRE DATE" dataDxfId="135" totalsRowDxfId="134"/>
    <tableColumn id="10" xr3:uid="{0EB5E560-476B-4B83-99DA-F82DA37A0B6B}" name="ACTUAL OFF-HIRE" dataDxfId="133" totalsRowDxfId="132"/>
    <tableColumn id="11" xr3:uid="{89A95B6C-4E9E-417A-BFEF-0939E61983F1}" name="EXPECTED OFF-HIRE" dataDxfId="131" totalsRowDxfId="130"/>
    <tableColumn id="12" xr3:uid="{7D806E4D-39F3-4AEF-9B99-E0D88BB311A0}" name="ACTUAL SAVINGS  IN DAYS" totalsRowLabel="Total" dataDxfId="129" totalsRowDxfId="128"/>
    <tableColumn id="13" xr3:uid="{030CC013-537D-46B6-8CBB-77E203FABB60}" name="NGN" totalsRowFunction="custom" dataDxfId="127" totalsRowDxfId="126">
      <calculatedColumnFormula>SUM(G4*L4)</calculatedColumnFormula>
      <totalsRowFormula>SUM(M4:M15)</totalsRowFormula>
    </tableColumn>
    <tableColumn id="14" xr3:uid="{D578156A-E6D1-4A74-949F-65AA9A491568}" name="USD" totalsRowFunction="custom" dataDxfId="125" totalsRowDxfId="124">
      <calculatedColumnFormula>SUM(H4*L4)</calculatedColumnFormula>
      <totalsRowFormula>SUM(N4:N15)</totalsRowFormula>
    </tableColumn>
    <tableColumn id="15" xr3:uid="{B2B88D72-42BA-49CB-9CA8-C09D9132B97C}" name="REMARK" dataDxfId="123" totalsRowDxfId="12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61C1A0-0BEA-4B9D-AB6B-665D9BB164F1}" name="Table134567" displayName="Table134567" ref="A3:O15" totalsRowCount="1" headerRowDxfId="121" dataDxfId="120">
  <autoFilter ref="A3:O14" xr:uid="{93F506BB-850B-4FE3-B7EC-B887D89A20A4}"/>
  <tableColumns count="15">
    <tableColumn id="1" xr3:uid="{1A8E94A7-5580-40F2-B689-679EFA9810D0}" name="S/N" dataDxfId="119" totalsRowDxfId="118"/>
    <tableColumn id="2" xr3:uid="{049A2A00-3B93-4A21-AC60-6418B228D95C}" name="NAME OF VESSEL" dataDxfId="117" totalsRowDxfId="116"/>
    <tableColumn id="3" xr3:uid="{B5327B32-762A-4F73-AC0D-8C03F2D82D8C}" name="TYPE" dataDxfId="115" totalsRowDxfId="114"/>
    <tableColumn id="4" xr3:uid="{3D084EAE-3E9C-438B-B3E1-5C7C6536EFF3}" name="PO" dataDxfId="113" totalsRowDxfId="112"/>
    <tableColumn id="5" xr3:uid="{DD0F29BA-65E8-4E62-9B9E-20BB04210D73}" name="TEAM" dataDxfId="111" totalsRowDxfId="110"/>
    <tableColumn id="6" xr3:uid="{C6503451-C85F-4191-8FA3-F6F7C34EC667}" name="LOCATION" dataDxfId="109" totalsRowDxfId="108"/>
    <tableColumn id="7" xr3:uid="{09622BFD-7ADA-4DCB-B4C8-42C92D36191B}" name="N" dataDxfId="107" totalsRowDxfId="106"/>
    <tableColumn id="8" xr3:uid="{CB8C45D5-565E-46E8-B4FA-D3135E9684BB}" name="$" dataDxfId="105" totalsRowDxfId="104"/>
    <tableColumn id="9" xr3:uid="{47450528-AB25-4D73-8A38-230276BF6632}" name="HIRE DATE" dataDxfId="103" totalsRowDxfId="102"/>
    <tableColumn id="10" xr3:uid="{46A4BE80-778A-45B1-B2AD-73671E4096FA}" name="ACTUAL OFF-HIRE" dataDxfId="101" totalsRowDxfId="100"/>
    <tableColumn id="11" xr3:uid="{396038CD-16FC-4366-9BEB-E5040C6FBA15}" name="EXPECTED OFF-HIRE" totalsRowLabel="Total" dataDxfId="99" totalsRowDxfId="98"/>
    <tableColumn id="12" xr3:uid="{0908A6BE-6290-4BA8-B035-085F7283FF53}" name="ACTUAL SAVINGS  IN DAYS" totalsRowFunction="custom" dataDxfId="97" totalsRowDxfId="96">
      <totalsRowFormula>SUM(L4:L13)</totalsRowFormula>
    </tableColumn>
    <tableColumn id="13" xr3:uid="{C9698A10-E36B-402F-A063-5E7BA7573077}" name="NGN" totalsRowFunction="sum" dataDxfId="95" totalsRowDxfId="94">
      <calculatedColumnFormula>SUM(G4*L4)</calculatedColumnFormula>
    </tableColumn>
    <tableColumn id="14" xr3:uid="{6AC30EC6-74F6-4C66-AF81-6845FBA08589}" name="USD" totalsRowFunction="sum" dataDxfId="93" totalsRowDxfId="92">
      <calculatedColumnFormula>SUM(H4*L4)</calculatedColumnFormula>
    </tableColumn>
    <tableColumn id="15" xr3:uid="{71CD0363-BE83-4CAB-A175-05B7E6590E29}" name="Column1" dataDxfId="91" totalsRowDxfId="9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3-02-07T09:37:49.84" personId="{1AA7C929-4FAA-4091-8EAE-CD8786AA51CC}" id="{C5A8016B-7D03-41C3-9B06-A819C6C951A9}">
    <text>RE-CYCLE TO DE-MOB PACIFIC-1 HOUSEBOAT FROM SOKU GP AFTER COMPLETION OF OABP ACTIVITY FROM 11TH-13TH AFTER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4" dT="2023-05-23T14:09:26.57" personId="{1AA7C929-4FAA-4091-8EAE-CD8786AA51CC}" id="{334F76E9-EFDB-468D-AFB0-E9F876EA6E3C}">
    <text>USED EXISTING FLEET TO ASSIT IN THE DEMOB OF EXCLUSIVE-II HOUSEBOAT ON THE 22ND MAY.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086F-45FC-4910-AA96-28EC7DF27948}">
  <dimension ref="A1:N11"/>
  <sheetViews>
    <sheetView topLeftCell="E1" zoomScale="80" zoomScaleNormal="80" workbookViewId="0">
      <selection activeCell="N3" sqref="N3"/>
    </sheetView>
  </sheetViews>
  <sheetFormatPr defaultRowHeight="14.5" x14ac:dyDescent="0.35"/>
  <cols>
    <col min="1" max="1" width="4.26953125" customWidth="1"/>
    <col min="2" max="2" width="18.1796875" customWidth="1"/>
    <col min="3" max="3" width="19.54296875" customWidth="1"/>
    <col min="4" max="4" width="8.54296875" customWidth="1"/>
    <col min="5" max="5" width="11.81640625" customWidth="1"/>
    <col min="6" max="6" width="9.81640625" customWidth="1"/>
    <col min="7" max="7" width="8.81640625" customWidth="1"/>
    <col min="8" max="8" width="13.1796875" customWidth="1"/>
    <col min="9" max="9" width="14.453125" customWidth="1"/>
    <col min="10" max="10" width="19.54296875" customWidth="1"/>
    <col min="11" max="11" width="14.1796875" customWidth="1"/>
    <col min="12" max="12" width="13.54296875" customWidth="1"/>
    <col min="13" max="13" width="14.1796875" customWidth="1"/>
    <col min="14" max="14" width="88.81640625" customWidth="1"/>
  </cols>
  <sheetData>
    <row r="1" spans="1:14" s="11" customFormat="1" ht="20.5" customHeight="1" x14ac:dyDescent="0.45">
      <c r="F1" s="247" t="s">
        <v>10</v>
      </c>
      <c r="G1" s="247"/>
      <c r="H1" s="12"/>
      <c r="I1" s="240" t="s">
        <v>13</v>
      </c>
      <c r="J1" s="240"/>
      <c r="K1" s="240"/>
      <c r="L1" s="240"/>
      <c r="M1" s="240"/>
      <c r="N1" s="240"/>
    </row>
    <row r="2" spans="1:14" s="11" customFormat="1" ht="41.15" customHeight="1" x14ac:dyDescent="0.35">
      <c r="A2" s="32" t="s">
        <v>0</v>
      </c>
      <c r="B2" s="32" t="s">
        <v>14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11</v>
      </c>
      <c r="I2" s="33" t="s">
        <v>6</v>
      </c>
      <c r="J2" s="33" t="s">
        <v>7</v>
      </c>
      <c r="K2" s="33" t="s">
        <v>8</v>
      </c>
      <c r="L2" s="32" t="s">
        <v>4</v>
      </c>
      <c r="M2" s="32" t="s">
        <v>5</v>
      </c>
      <c r="N2" s="70" t="s">
        <v>28</v>
      </c>
    </row>
    <row r="3" spans="1:14" s="16" customFormat="1" ht="15.65" customHeight="1" x14ac:dyDescent="0.35">
      <c r="A3" s="27">
        <v>1</v>
      </c>
      <c r="B3" s="22" t="s">
        <v>19</v>
      </c>
      <c r="C3" s="29" t="s">
        <v>12</v>
      </c>
      <c r="D3" s="241" t="s">
        <v>15</v>
      </c>
      <c r="E3" s="244" t="s">
        <v>16</v>
      </c>
      <c r="F3" s="28">
        <v>70327.98</v>
      </c>
      <c r="G3" s="28">
        <v>654.08000000000004</v>
      </c>
      <c r="H3" s="20">
        <v>44879</v>
      </c>
      <c r="I3" s="20">
        <v>44939</v>
      </c>
      <c r="J3" s="20">
        <v>44957</v>
      </c>
      <c r="K3" s="37">
        <v>18</v>
      </c>
      <c r="L3" s="15">
        <f>F3*K3</f>
        <v>1265903.6399999999</v>
      </c>
      <c r="M3" s="15">
        <f>G3*K3</f>
        <v>11773.44</v>
      </c>
      <c r="N3" s="71" t="s">
        <v>45</v>
      </c>
    </row>
    <row r="4" spans="1:14" s="16" customFormat="1" ht="14.5" customHeight="1" x14ac:dyDescent="0.35">
      <c r="A4" s="27">
        <v>2</v>
      </c>
      <c r="B4" s="26" t="s">
        <v>20</v>
      </c>
      <c r="C4" s="29" t="s">
        <v>12</v>
      </c>
      <c r="D4" s="242"/>
      <c r="E4" s="245"/>
      <c r="F4" s="28">
        <v>70327.98</v>
      </c>
      <c r="G4" s="28">
        <v>654.08000000000004</v>
      </c>
      <c r="H4" s="20">
        <v>44881</v>
      </c>
      <c r="I4" s="20">
        <v>44942</v>
      </c>
      <c r="J4" s="20">
        <v>44957</v>
      </c>
      <c r="K4" s="37">
        <v>15</v>
      </c>
      <c r="L4" s="15">
        <f t="shared" ref="L4:L9" si="0">F4*K4</f>
        <v>1054919.7</v>
      </c>
      <c r="M4" s="15">
        <f t="shared" ref="M4:M9" si="1">G4*K4</f>
        <v>9811.2000000000007</v>
      </c>
      <c r="N4" s="71" t="s">
        <v>45</v>
      </c>
    </row>
    <row r="5" spans="1:14" s="16" customFormat="1" x14ac:dyDescent="0.35">
      <c r="A5" s="27">
        <v>3</v>
      </c>
      <c r="B5" s="22" t="s">
        <v>17</v>
      </c>
      <c r="C5" s="26" t="s">
        <v>9</v>
      </c>
      <c r="D5" s="242"/>
      <c r="E5" s="245"/>
      <c r="F5" s="28">
        <v>32572.94</v>
      </c>
      <c r="G5" s="28">
        <v>302.94</v>
      </c>
      <c r="H5" s="20">
        <v>44879</v>
      </c>
      <c r="I5" s="20">
        <v>44944</v>
      </c>
      <c r="J5" s="20">
        <v>44957</v>
      </c>
      <c r="K5" s="37">
        <v>13</v>
      </c>
      <c r="L5" s="15">
        <f t="shared" si="0"/>
        <v>423448.22</v>
      </c>
      <c r="M5" s="15">
        <f t="shared" si="1"/>
        <v>3938.22</v>
      </c>
      <c r="N5" s="71" t="s">
        <v>45</v>
      </c>
    </row>
    <row r="6" spans="1:14" s="16" customFormat="1" x14ac:dyDescent="0.35">
      <c r="A6" s="27">
        <v>4</v>
      </c>
      <c r="B6" s="22" t="s">
        <v>18</v>
      </c>
      <c r="C6" s="26" t="s">
        <v>21</v>
      </c>
      <c r="D6" s="243"/>
      <c r="E6" s="246"/>
      <c r="F6" s="34">
        <v>35534.25</v>
      </c>
      <c r="G6" s="35">
        <v>330.48</v>
      </c>
      <c r="H6" s="20">
        <v>44879</v>
      </c>
      <c r="I6" s="20">
        <v>44939</v>
      </c>
      <c r="J6" s="20">
        <v>44957</v>
      </c>
      <c r="K6" s="37">
        <v>18</v>
      </c>
      <c r="L6" s="15">
        <f t="shared" si="0"/>
        <v>639616.5</v>
      </c>
      <c r="M6" s="15">
        <f t="shared" si="1"/>
        <v>5948.64</v>
      </c>
      <c r="N6" s="71" t="s">
        <v>45</v>
      </c>
    </row>
    <row r="7" spans="1:14" s="16" customFormat="1" x14ac:dyDescent="0.35">
      <c r="A7" s="27">
        <v>5</v>
      </c>
      <c r="B7" s="30" t="s">
        <v>24</v>
      </c>
      <c r="C7" s="29" t="s">
        <v>12</v>
      </c>
      <c r="D7" s="241" t="s">
        <v>26</v>
      </c>
      <c r="E7" s="241" t="s">
        <v>27</v>
      </c>
      <c r="F7" s="28">
        <v>70327.98</v>
      </c>
      <c r="G7" s="28">
        <v>654.08000000000004</v>
      </c>
      <c r="H7" s="20">
        <v>44851</v>
      </c>
      <c r="I7" s="20">
        <v>44939</v>
      </c>
      <c r="J7" s="20">
        <v>44941</v>
      </c>
      <c r="K7" s="37">
        <v>2</v>
      </c>
      <c r="L7" s="15">
        <f t="shared" si="0"/>
        <v>140655.96</v>
      </c>
      <c r="M7" s="15">
        <f t="shared" si="1"/>
        <v>1308.1600000000001</v>
      </c>
      <c r="N7" s="71" t="s">
        <v>46</v>
      </c>
    </row>
    <row r="8" spans="1:14" s="16" customFormat="1" ht="28" x14ac:dyDescent="0.4">
      <c r="A8" s="27">
        <v>6</v>
      </c>
      <c r="B8" s="22" t="s">
        <v>25</v>
      </c>
      <c r="C8" s="29" t="s">
        <v>12</v>
      </c>
      <c r="D8" s="242"/>
      <c r="E8" s="242"/>
      <c r="F8" s="28">
        <v>70327.98</v>
      </c>
      <c r="G8" s="28">
        <v>654.08000000000004</v>
      </c>
      <c r="H8" s="20">
        <v>44937</v>
      </c>
      <c r="I8" s="20">
        <v>44939</v>
      </c>
      <c r="J8" s="20">
        <v>44941</v>
      </c>
      <c r="K8" s="37">
        <v>2</v>
      </c>
      <c r="L8" s="15">
        <f t="shared" si="0"/>
        <v>140655.96</v>
      </c>
      <c r="M8" s="15">
        <f t="shared" si="1"/>
        <v>1308.1600000000001</v>
      </c>
      <c r="N8" s="72" t="s">
        <v>47</v>
      </c>
    </row>
    <row r="9" spans="1:14" s="16" customFormat="1" x14ac:dyDescent="0.35">
      <c r="A9" s="27">
        <v>7</v>
      </c>
      <c r="B9" s="22" t="s">
        <v>22</v>
      </c>
      <c r="C9" s="26" t="s">
        <v>23</v>
      </c>
      <c r="D9" s="243"/>
      <c r="E9" s="243"/>
      <c r="F9" s="36">
        <v>98459.33</v>
      </c>
      <c r="G9" s="36">
        <v>915.71</v>
      </c>
      <c r="H9" s="20">
        <v>44851</v>
      </c>
      <c r="I9" s="20">
        <v>44939</v>
      </c>
      <c r="J9" s="20">
        <v>44941</v>
      </c>
      <c r="K9" s="37">
        <v>2</v>
      </c>
      <c r="L9" s="15">
        <f t="shared" si="0"/>
        <v>196918.66</v>
      </c>
      <c r="M9" s="15">
        <f t="shared" si="1"/>
        <v>1831.42</v>
      </c>
      <c r="N9" s="71" t="s">
        <v>46</v>
      </c>
    </row>
    <row r="10" spans="1:14" s="16" customFormat="1" ht="15.5" x14ac:dyDescent="0.35">
      <c r="A10" s="27"/>
      <c r="B10" s="6"/>
      <c r="C10" s="17"/>
      <c r="D10" s="21"/>
      <c r="E10" s="21"/>
      <c r="F10" s="31"/>
      <c r="G10" s="31"/>
      <c r="H10" s="17"/>
      <c r="I10" s="13"/>
      <c r="J10" s="13"/>
      <c r="K10" s="14"/>
      <c r="L10" s="18"/>
      <c r="M10" s="18"/>
      <c r="N10" s="73"/>
    </row>
    <row r="11" spans="1:14" x14ac:dyDescent="0.35">
      <c r="A11" s="23"/>
      <c r="B11" s="3"/>
      <c r="C11" s="4"/>
      <c r="D11" s="4"/>
      <c r="E11" s="4"/>
      <c r="F11" s="5"/>
      <c r="G11" s="5"/>
      <c r="H11" s="5"/>
      <c r="I11" s="2"/>
      <c r="J11" s="24"/>
      <c r="K11" s="19">
        <f>SUM(K3:K10)</f>
        <v>70</v>
      </c>
      <c r="L11" s="25">
        <f>SUM(L3:L10)</f>
        <v>3862118.6399999997</v>
      </c>
      <c r="M11" s="25">
        <f>SUM(M3:M9)</f>
        <v>35919.240000000005</v>
      </c>
      <c r="N11" s="52"/>
    </row>
  </sheetData>
  <mergeCells count="6">
    <mergeCell ref="I1:N1"/>
    <mergeCell ref="D3:D6"/>
    <mergeCell ref="D7:D9"/>
    <mergeCell ref="E3:E6"/>
    <mergeCell ref="E7:E9"/>
    <mergeCell ref="F1:G1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6E0D-1284-4CA8-9D95-78AB6C6F72D2}">
  <dimension ref="A1:O33"/>
  <sheetViews>
    <sheetView topLeftCell="C1" zoomScale="63" workbookViewId="0">
      <selection activeCell="I14" sqref="H14:I1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4" width="17.26953125" style="10" customWidth="1"/>
    <col min="5" max="5" width="20" style="10" customWidth="1"/>
    <col min="6" max="6" width="15.7265625" style="10" customWidth="1"/>
    <col min="7" max="7" width="20" style="10" customWidth="1"/>
    <col min="8" max="9" width="16.54296875" style="10" customWidth="1"/>
    <col min="10" max="10" width="20.81640625" style="10" customWidth="1"/>
    <col min="11" max="11" width="20.453125" style="10" customWidth="1"/>
    <col min="12" max="12" width="21.81640625" style="10" customWidth="1"/>
    <col min="13" max="13" width="30" style="10" customWidth="1"/>
    <col min="14" max="14" width="19.81640625" style="10" bestFit="1" customWidth="1"/>
    <col min="15" max="15" width="25.1796875" style="10" customWidth="1"/>
    <col min="16" max="16384" width="8.7265625" style="10"/>
  </cols>
  <sheetData>
    <row r="1" spans="1:15" customFormat="1" ht="32.15" customHeight="1" x14ac:dyDescent="0.55000000000000004">
      <c r="A1" s="254" t="s">
        <v>83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5" customFormat="1" x14ac:dyDescent="0.35">
      <c r="C2" s="52"/>
      <c r="D2" s="52"/>
      <c r="E2" s="52"/>
      <c r="F2" s="52"/>
      <c r="G2" s="256" t="s">
        <v>10</v>
      </c>
      <c r="H2" s="256"/>
      <c r="I2" s="53"/>
      <c r="J2" s="253" t="s">
        <v>82</v>
      </c>
      <c r="K2" s="253"/>
      <c r="L2" s="253"/>
      <c r="M2" s="253"/>
      <c r="N2" s="253"/>
    </row>
    <row r="3" spans="1:15" customFormat="1" ht="31" x14ac:dyDescent="0.35">
      <c r="A3" s="54" t="s">
        <v>0</v>
      </c>
      <c r="B3" s="54" t="s">
        <v>31</v>
      </c>
      <c r="C3" s="54" t="s">
        <v>1</v>
      </c>
      <c r="D3" s="54" t="s">
        <v>81</v>
      </c>
      <c r="E3" s="54" t="s">
        <v>2</v>
      </c>
      <c r="F3" s="54" t="s">
        <v>3</v>
      </c>
      <c r="G3" s="55" t="s">
        <v>4</v>
      </c>
      <c r="H3" s="54" t="s">
        <v>5</v>
      </c>
      <c r="I3" s="56" t="s">
        <v>137</v>
      </c>
      <c r="J3" s="57" t="s">
        <v>136</v>
      </c>
      <c r="K3" s="57" t="s">
        <v>135</v>
      </c>
      <c r="L3" s="57" t="s">
        <v>78</v>
      </c>
      <c r="M3" s="54" t="s">
        <v>4</v>
      </c>
      <c r="N3" s="54" t="s">
        <v>5</v>
      </c>
      <c r="O3" s="57" t="s">
        <v>77</v>
      </c>
    </row>
    <row r="4" spans="1:15" customFormat="1" x14ac:dyDescent="0.35">
      <c r="A4" s="1">
        <v>1</v>
      </c>
      <c r="B4" s="6" t="s">
        <v>134</v>
      </c>
      <c r="C4" s="7" t="s">
        <v>124</v>
      </c>
      <c r="D4" s="7" t="s">
        <v>133</v>
      </c>
      <c r="E4" s="6" t="s">
        <v>122</v>
      </c>
      <c r="F4" s="6" t="s">
        <v>66</v>
      </c>
      <c r="G4" s="40">
        <v>33066.36</v>
      </c>
      <c r="H4" s="41">
        <v>307.52999999999997</v>
      </c>
      <c r="I4" s="75">
        <v>45009</v>
      </c>
      <c r="J4" s="75">
        <v>45014</v>
      </c>
      <c r="K4" s="75">
        <v>45014</v>
      </c>
      <c r="L4" s="8">
        <v>6</v>
      </c>
      <c r="M4" s="40">
        <v>70327.98</v>
      </c>
      <c r="N4" s="41">
        <v>654.08000000000004</v>
      </c>
      <c r="O4" s="267" t="s">
        <v>165</v>
      </c>
    </row>
    <row r="5" spans="1:15" customFormat="1" ht="34" customHeight="1" x14ac:dyDescent="0.35">
      <c r="A5" s="1">
        <v>2</v>
      </c>
      <c r="B5" s="6" t="s">
        <v>132</v>
      </c>
      <c r="C5" s="6" t="s">
        <v>131</v>
      </c>
      <c r="D5" s="6" t="s">
        <v>130</v>
      </c>
      <c r="E5" s="6" t="s">
        <v>15</v>
      </c>
      <c r="F5" s="6" t="s">
        <v>112</v>
      </c>
      <c r="G5" s="40">
        <v>32592.94</v>
      </c>
      <c r="H5" s="41">
        <v>302.94</v>
      </c>
      <c r="I5" s="75">
        <v>45005</v>
      </c>
      <c r="J5" s="75">
        <v>45008</v>
      </c>
      <c r="K5" s="75">
        <v>45008</v>
      </c>
      <c r="L5" s="8">
        <v>3</v>
      </c>
      <c r="M5" s="40">
        <v>32592.94</v>
      </c>
      <c r="N5" s="41">
        <v>302.94</v>
      </c>
      <c r="O5" s="268"/>
    </row>
    <row r="6" spans="1:15" customFormat="1" ht="15.65" customHeight="1" x14ac:dyDescent="0.35">
      <c r="A6" s="1"/>
      <c r="B6" s="6"/>
      <c r="C6" s="7"/>
      <c r="D6" s="7"/>
      <c r="E6" s="6"/>
      <c r="F6" s="6"/>
      <c r="G6" s="40"/>
      <c r="H6" s="41"/>
      <c r="I6" s="75"/>
      <c r="J6" s="75"/>
      <c r="K6" s="75"/>
      <c r="L6" s="8"/>
      <c r="M6" s="40"/>
      <c r="N6" s="41"/>
      <c r="O6" s="267"/>
    </row>
    <row r="7" spans="1:15" customFormat="1" ht="19" customHeight="1" x14ac:dyDescent="0.35">
      <c r="A7" s="1"/>
      <c r="B7" s="6"/>
      <c r="C7" s="6"/>
      <c r="D7" s="6"/>
      <c r="E7" s="6"/>
      <c r="F7" s="6"/>
      <c r="G7" s="40"/>
      <c r="H7" s="41"/>
      <c r="I7" s="76"/>
      <c r="J7" s="75"/>
      <c r="K7" s="75"/>
      <c r="L7" s="8"/>
      <c r="M7" s="40"/>
      <c r="N7" s="41"/>
      <c r="O7" s="268"/>
    </row>
    <row r="8" spans="1:15" customFormat="1" ht="31" customHeight="1" x14ac:dyDescent="0.35">
      <c r="A8" s="1"/>
      <c r="B8" s="6"/>
      <c r="C8" s="7"/>
      <c r="D8" s="7"/>
      <c r="E8" s="6"/>
      <c r="F8" s="6"/>
      <c r="G8" s="40"/>
      <c r="H8" s="41"/>
      <c r="I8" s="76"/>
      <c r="J8" s="75"/>
      <c r="K8" s="75"/>
      <c r="L8" s="8"/>
      <c r="M8" s="40"/>
      <c r="N8" s="41"/>
      <c r="O8" s="267"/>
    </row>
    <row r="9" spans="1:15" customFormat="1" ht="19" customHeight="1" x14ac:dyDescent="0.35">
      <c r="A9" s="1"/>
      <c r="B9" s="6"/>
      <c r="C9" s="6"/>
      <c r="D9" s="77"/>
      <c r="E9" s="6"/>
      <c r="F9" s="6"/>
      <c r="G9" s="40"/>
      <c r="H9" s="41"/>
      <c r="I9" s="76"/>
      <c r="J9" s="75"/>
      <c r="K9" s="75"/>
      <c r="L9" s="8"/>
      <c r="M9" s="40"/>
      <c r="N9" s="41"/>
      <c r="O9" s="268"/>
    </row>
    <row r="10" spans="1:15" customFormat="1" x14ac:dyDescent="0.35">
      <c r="A10" s="1"/>
      <c r="B10" s="6"/>
      <c r="C10" s="7"/>
      <c r="D10" s="7"/>
      <c r="E10" s="6"/>
      <c r="F10" s="6"/>
      <c r="G10" s="40"/>
      <c r="H10" s="41"/>
      <c r="I10" s="76"/>
      <c r="J10" s="75"/>
      <c r="K10" s="75"/>
      <c r="L10" s="8"/>
      <c r="M10" s="40"/>
      <c r="N10" s="41"/>
      <c r="O10" s="265"/>
    </row>
    <row r="11" spans="1:15" customFormat="1" ht="19" customHeight="1" x14ac:dyDescent="0.35">
      <c r="A11" s="1"/>
      <c r="B11" s="6"/>
      <c r="C11" s="6"/>
      <c r="D11" s="6"/>
      <c r="E11" s="6"/>
      <c r="F11" s="6"/>
      <c r="G11" s="40"/>
      <c r="H11" s="41"/>
      <c r="I11" s="76"/>
      <c r="J11" s="75"/>
      <c r="K11" s="75"/>
      <c r="L11" s="8"/>
      <c r="M11" s="40"/>
      <c r="N11" s="41"/>
      <c r="O11" s="266"/>
    </row>
    <row r="12" spans="1:15" customFormat="1" x14ac:dyDescent="0.35">
      <c r="A12" s="1"/>
      <c r="B12" s="6"/>
      <c r="C12" s="7"/>
      <c r="D12" s="7"/>
      <c r="E12" s="6"/>
      <c r="F12" s="6"/>
      <c r="G12" s="40"/>
      <c r="H12" s="41"/>
      <c r="I12" s="58"/>
      <c r="J12" s="58"/>
      <c r="K12" s="58"/>
      <c r="L12" s="8"/>
      <c r="M12" s="9"/>
      <c r="N12" s="9"/>
      <c r="O12" s="52"/>
    </row>
    <row r="13" spans="1:15" customFormat="1" x14ac:dyDescent="0.35">
      <c r="A13" s="1"/>
      <c r="B13" s="6"/>
      <c r="C13" s="7"/>
      <c r="D13" s="7"/>
      <c r="E13" s="6"/>
      <c r="F13" s="6"/>
      <c r="G13" s="40"/>
      <c r="H13" s="41"/>
      <c r="I13" s="58"/>
      <c r="J13" s="58"/>
      <c r="K13" s="58"/>
      <c r="L13" s="8"/>
      <c r="M13" s="9"/>
      <c r="N13" s="9"/>
      <c r="O13" s="52"/>
    </row>
    <row r="14" spans="1:15" customFormat="1" x14ac:dyDescent="0.35">
      <c r="A14" s="1"/>
      <c r="B14" s="6"/>
      <c r="C14" s="7"/>
      <c r="D14" s="7"/>
      <c r="E14" s="6"/>
      <c r="F14" s="6"/>
      <c r="G14" s="40"/>
      <c r="H14" s="41"/>
      <c r="I14" s="58"/>
      <c r="J14" s="58"/>
      <c r="K14" s="58"/>
      <c r="L14" s="8"/>
      <c r="M14" s="9"/>
      <c r="N14" s="9"/>
      <c r="O14" s="52"/>
    </row>
    <row r="15" spans="1:15" customFormat="1" x14ac:dyDescent="0.35">
      <c r="A15" s="1"/>
      <c r="B15" s="6"/>
      <c r="C15" s="7"/>
      <c r="D15" s="7"/>
      <c r="E15" s="6"/>
      <c r="F15" s="6"/>
      <c r="G15" s="40"/>
      <c r="H15" s="41"/>
      <c r="I15" s="58"/>
      <c r="J15" s="58"/>
      <c r="K15" s="58"/>
      <c r="L15" s="8"/>
      <c r="M15" s="9"/>
      <c r="N15" s="9"/>
      <c r="O15" s="52"/>
    </row>
    <row r="16" spans="1:15" customFormat="1" x14ac:dyDescent="0.35">
      <c r="A16" s="1"/>
      <c r="B16" s="6"/>
      <c r="C16" s="7"/>
      <c r="D16" s="7"/>
      <c r="E16" s="6"/>
      <c r="F16" s="6"/>
      <c r="G16" s="40"/>
      <c r="H16" s="41"/>
      <c r="I16" s="58"/>
      <c r="J16" s="58"/>
      <c r="K16" s="58"/>
      <c r="L16" s="8"/>
      <c r="M16" s="9"/>
      <c r="N16" s="9"/>
      <c r="O16" s="52"/>
    </row>
    <row r="17" spans="1:15" customFormat="1" ht="19" customHeight="1" x14ac:dyDescent="0.35">
      <c r="A17" s="1"/>
      <c r="B17" s="6"/>
      <c r="C17" s="6"/>
      <c r="D17" s="6"/>
      <c r="E17" s="6"/>
      <c r="F17" s="6"/>
      <c r="G17" s="40"/>
      <c r="H17" s="41"/>
      <c r="I17" s="58"/>
      <c r="J17" s="58"/>
      <c r="K17" s="58"/>
      <c r="L17" s="8"/>
      <c r="M17" s="9"/>
      <c r="N17" s="9"/>
      <c r="O17" s="52"/>
    </row>
    <row r="18" spans="1:15" customFormat="1" ht="21.5" x14ac:dyDescent="0.6">
      <c r="A18" s="59"/>
      <c r="B18" s="60"/>
      <c r="C18" s="61"/>
      <c r="D18" s="61"/>
      <c r="E18" s="60"/>
      <c r="F18" s="62"/>
      <c r="G18" s="63"/>
      <c r="H18" s="64"/>
      <c r="I18" s="65"/>
      <c r="J18" s="66"/>
      <c r="K18" s="66"/>
      <c r="L18" s="67">
        <f>SUM(L4:L17)</f>
        <v>9</v>
      </c>
      <c r="M18" s="68">
        <f>SUM(M4:M17)</f>
        <v>102920.92</v>
      </c>
      <c r="N18" s="69">
        <f>SUM(N4:N17)</f>
        <v>957.02</v>
      </c>
    </row>
    <row r="19" spans="1:15" customFormat="1" ht="14.5" x14ac:dyDescent="0.35"/>
    <row r="20" spans="1:15" customFormat="1" ht="14.5" x14ac:dyDescent="0.35">
      <c r="N20" t="s">
        <v>39</v>
      </c>
    </row>
    <row r="21" spans="1:15" x14ac:dyDescent="0.35">
      <c r="H21" s="43"/>
      <c r="I21" s="43"/>
      <c r="N21" s="43"/>
      <c r="O21" s="43"/>
    </row>
    <row r="22" spans="1:15" x14ac:dyDescent="0.35">
      <c r="H22" s="43"/>
      <c r="I22" s="43"/>
      <c r="N22" s="43"/>
      <c r="O22" s="43"/>
    </row>
    <row r="23" spans="1:15" x14ac:dyDescent="0.35">
      <c r="H23" s="43"/>
      <c r="I23" s="43"/>
      <c r="N23" s="43"/>
      <c r="O23" s="43"/>
    </row>
    <row r="24" spans="1:15" x14ac:dyDescent="0.35">
      <c r="A24" s="49"/>
    </row>
    <row r="30" spans="1:15" x14ac:dyDescent="0.35">
      <c r="M30" s="50"/>
      <c r="N30" s="51"/>
      <c r="O30" s="50"/>
    </row>
    <row r="31" spans="1:15" x14ac:dyDescent="0.35">
      <c r="M31" s="50"/>
      <c r="N31" s="50"/>
      <c r="O31" s="50"/>
    </row>
    <row r="32" spans="1:15" x14ac:dyDescent="0.35">
      <c r="M32" s="50"/>
      <c r="N32" s="50"/>
      <c r="O32" s="50"/>
    </row>
    <row r="33" spans="13:15" x14ac:dyDescent="0.35">
      <c r="M33" s="50"/>
      <c r="N33" s="50"/>
      <c r="O33" s="50"/>
    </row>
  </sheetData>
  <mergeCells count="7">
    <mergeCell ref="O10:O11"/>
    <mergeCell ref="A1:N1"/>
    <mergeCell ref="G2:H2"/>
    <mergeCell ref="J2:N2"/>
    <mergeCell ref="O4:O5"/>
    <mergeCell ref="O6:O7"/>
    <mergeCell ref="O8:O9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CBEE-254E-47A8-9477-55EB8D1E2544}">
  <dimension ref="A1:O26"/>
  <sheetViews>
    <sheetView topLeftCell="E1" zoomScale="63" workbookViewId="0">
      <selection activeCell="O4" sqref="O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3.26953125" style="10" bestFit="1" customWidth="1"/>
    <col min="15" max="15" width="26.81640625" style="10" customWidth="1"/>
    <col min="16" max="16384" width="8.7265625" style="10"/>
  </cols>
  <sheetData>
    <row r="1" spans="1:15" ht="32.15" customHeight="1" x14ac:dyDescent="0.35"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x14ac:dyDescent="0.35">
      <c r="G2" s="252" t="s">
        <v>10</v>
      </c>
      <c r="H2" s="252"/>
      <c r="J2" s="253" t="s">
        <v>30</v>
      </c>
      <c r="K2" s="253"/>
      <c r="L2" s="253"/>
      <c r="M2" s="253"/>
      <c r="N2" s="253"/>
    </row>
    <row r="3" spans="1:15" x14ac:dyDescent="0.35">
      <c r="A3" s="10" t="s">
        <v>0</v>
      </c>
      <c r="B3" s="10" t="s">
        <v>31</v>
      </c>
      <c r="C3" s="10" t="s">
        <v>1</v>
      </c>
      <c r="D3" s="10" t="s">
        <v>32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11</v>
      </c>
      <c r="J3" s="10" t="s">
        <v>6</v>
      </c>
      <c r="K3" s="10" t="s">
        <v>7</v>
      </c>
      <c r="L3" s="10" t="s">
        <v>8</v>
      </c>
      <c r="M3" s="10" t="s">
        <v>33</v>
      </c>
      <c r="N3" s="10" t="s">
        <v>34</v>
      </c>
      <c r="O3" s="53" t="s">
        <v>28</v>
      </c>
    </row>
    <row r="4" spans="1:15" ht="19.5" x14ac:dyDescent="0.6">
      <c r="A4" s="10">
        <v>1</v>
      </c>
      <c r="B4" s="38" t="s">
        <v>154</v>
      </c>
      <c r="C4" s="10" t="s">
        <v>87</v>
      </c>
      <c r="D4" s="111">
        <v>4510484579</v>
      </c>
      <c r="E4" s="10" t="s">
        <v>15</v>
      </c>
      <c r="F4" s="10" t="s">
        <v>112</v>
      </c>
      <c r="G4" s="40">
        <v>135587.07</v>
      </c>
      <c r="H4" s="41">
        <v>1260.72</v>
      </c>
      <c r="I4" s="42">
        <v>44930</v>
      </c>
      <c r="J4" s="42">
        <v>45032</v>
      </c>
      <c r="K4" s="45" t="s">
        <v>153</v>
      </c>
      <c r="L4" s="10">
        <v>4</v>
      </c>
      <c r="M4" s="74">
        <f t="shared" ref="M4:M16" si="0">SUM(G4*L4)</f>
        <v>542348.28</v>
      </c>
      <c r="N4" s="74">
        <f t="shared" ref="N4:N16" si="1">SUM(H4*L4)</f>
        <v>5042.88</v>
      </c>
      <c r="O4" s="120" t="s">
        <v>160</v>
      </c>
    </row>
    <row r="5" spans="1:15" ht="19.5" x14ac:dyDescent="0.6">
      <c r="A5" s="10">
        <v>2</v>
      </c>
      <c r="B5" s="10" t="s">
        <v>129</v>
      </c>
      <c r="C5" s="10" t="s">
        <v>12</v>
      </c>
      <c r="D5" s="110">
        <v>4510487330</v>
      </c>
      <c r="E5" s="10" t="s">
        <v>152</v>
      </c>
      <c r="F5" s="10" t="s">
        <v>92</v>
      </c>
      <c r="G5" s="40">
        <v>70327.98</v>
      </c>
      <c r="H5" s="41">
        <v>654.08000000000004</v>
      </c>
      <c r="I5" s="45" t="s">
        <v>151</v>
      </c>
      <c r="J5" s="42">
        <v>45045</v>
      </c>
      <c r="K5" s="45">
        <v>45051</v>
      </c>
      <c r="L5" s="10">
        <v>6</v>
      </c>
      <c r="M5" s="74">
        <f t="shared" si="0"/>
        <v>421967.88</v>
      </c>
      <c r="N5" s="74">
        <f t="shared" si="1"/>
        <v>3924.4800000000005</v>
      </c>
      <c r="O5" s="120" t="s">
        <v>160</v>
      </c>
    </row>
    <row r="6" spans="1:15" x14ac:dyDescent="0.35">
      <c r="A6" s="10">
        <v>3</v>
      </c>
      <c r="B6" s="10" t="s">
        <v>150</v>
      </c>
      <c r="C6" s="10" t="s">
        <v>12</v>
      </c>
      <c r="D6" s="109" t="s">
        <v>148</v>
      </c>
      <c r="E6" s="10" t="s">
        <v>61</v>
      </c>
      <c r="F6" s="10" t="s">
        <v>68</v>
      </c>
      <c r="G6" s="40">
        <v>70327.98</v>
      </c>
      <c r="H6" s="41">
        <v>654.08000000000004</v>
      </c>
      <c r="I6" s="45" t="s">
        <v>147</v>
      </c>
      <c r="J6" s="42">
        <v>45039</v>
      </c>
      <c r="K6" s="45" t="s">
        <v>146</v>
      </c>
      <c r="L6" s="10">
        <v>1</v>
      </c>
      <c r="M6" s="74">
        <f t="shared" si="0"/>
        <v>70327.98</v>
      </c>
      <c r="N6" s="74">
        <f t="shared" si="1"/>
        <v>654.08000000000004</v>
      </c>
      <c r="O6" s="120" t="s">
        <v>160</v>
      </c>
    </row>
    <row r="7" spans="1:15" x14ac:dyDescent="0.35">
      <c r="A7" s="10">
        <v>4</v>
      </c>
      <c r="B7" s="10" t="s">
        <v>149</v>
      </c>
      <c r="C7" s="10" t="s">
        <v>9</v>
      </c>
      <c r="D7" s="109" t="s">
        <v>148</v>
      </c>
      <c r="E7" s="10" t="s">
        <v>61</v>
      </c>
      <c r="F7" s="10" t="s">
        <v>68</v>
      </c>
      <c r="G7" s="40">
        <v>32592.94</v>
      </c>
      <c r="H7" s="41">
        <v>302.94</v>
      </c>
      <c r="I7" s="45" t="s">
        <v>147</v>
      </c>
      <c r="J7" s="42">
        <v>45039</v>
      </c>
      <c r="K7" s="45" t="s">
        <v>146</v>
      </c>
      <c r="L7" s="10">
        <v>1</v>
      </c>
      <c r="M7" s="74">
        <f t="shared" si="0"/>
        <v>32592.94</v>
      </c>
      <c r="N7" s="74">
        <f t="shared" si="1"/>
        <v>302.94</v>
      </c>
      <c r="O7" s="120" t="s">
        <v>160</v>
      </c>
    </row>
    <row r="8" spans="1:15" x14ac:dyDescent="0.35">
      <c r="A8" s="10">
        <v>5</v>
      </c>
      <c r="B8" s="10" t="s">
        <v>118</v>
      </c>
      <c r="C8" s="10" t="s">
        <v>12</v>
      </c>
      <c r="D8" s="109">
        <v>4510485277</v>
      </c>
      <c r="E8" s="10" t="s">
        <v>61</v>
      </c>
      <c r="F8" s="10" t="s">
        <v>62</v>
      </c>
      <c r="G8" s="40">
        <v>70327.98</v>
      </c>
      <c r="H8" s="41">
        <v>654.08000000000004</v>
      </c>
      <c r="I8" s="42">
        <v>44930</v>
      </c>
      <c r="J8" s="42">
        <v>45036</v>
      </c>
      <c r="K8" s="45" t="s">
        <v>143</v>
      </c>
      <c r="L8" s="10">
        <v>10</v>
      </c>
      <c r="M8" s="74">
        <f t="shared" si="0"/>
        <v>703279.79999999993</v>
      </c>
      <c r="N8" s="74">
        <f t="shared" si="1"/>
        <v>6540.8</v>
      </c>
      <c r="O8" s="120" t="s">
        <v>160</v>
      </c>
    </row>
    <row r="9" spans="1:15" x14ac:dyDescent="0.35">
      <c r="A9" s="10">
        <v>6</v>
      </c>
      <c r="B9" s="10" t="s">
        <v>145</v>
      </c>
      <c r="C9" s="10" t="s">
        <v>144</v>
      </c>
      <c r="D9" s="109">
        <v>4510485224</v>
      </c>
      <c r="E9" s="10" t="s">
        <v>61</v>
      </c>
      <c r="F9" s="10" t="s">
        <v>62</v>
      </c>
      <c r="G9" s="40">
        <v>37015.29</v>
      </c>
      <c r="H9" s="41">
        <v>344.25</v>
      </c>
      <c r="I9" s="42">
        <v>44930</v>
      </c>
      <c r="J9" s="42">
        <v>45036</v>
      </c>
      <c r="K9" s="45" t="s">
        <v>143</v>
      </c>
      <c r="L9" s="10">
        <v>10</v>
      </c>
      <c r="M9" s="74">
        <f t="shared" si="0"/>
        <v>370152.9</v>
      </c>
      <c r="N9" s="74">
        <f t="shared" si="1"/>
        <v>3442.5</v>
      </c>
      <c r="O9" s="120" t="s">
        <v>160</v>
      </c>
    </row>
    <row r="10" spans="1:15" x14ac:dyDescent="0.35">
      <c r="A10" s="10">
        <v>7</v>
      </c>
      <c r="B10" s="10" t="s">
        <v>142</v>
      </c>
      <c r="C10" s="10" t="s">
        <v>12</v>
      </c>
      <c r="D10" s="109">
        <v>4510484843</v>
      </c>
      <c r="E10" s="10" t="s">
        <v>61</v>
      </c>
      <c r="F10" s="10" t="s">
        <v>62</v>
      </c>
      <c r="G10" s="40">
        <v>70327.98</v>
      </c>
      <c r="H10" s="41">
        <v>654.08000000000004</v>
      </c>
      <c r="I10" s="45" t="s">
        <v>140</v>
      </c>
      <c r="J10" s="42">
        <v>45037</v>
      </c>
      <c r="K10" s="42">
        <v>45043</v>
      </c>
      <c r="L10" s="10">
        <v>6</v>
      </c>
      <c r="M10" s="74">
        <f t="shared" si="0"/>
        <v>421967.88</v>
      </c>
      <c r="N10" s="74">
        <f t="shared" si="1"/>
        <v>3924.4800000000005</v>
      </c>
      <c r="O10" s="120" t="s">
        <v>160</v>
      </c>
    </row>
    <row r="11" spans="1:15" x14ac:dyDescent="0.35">
      <c r="A11" s="10">
        <v>8</v>
      </c>
      <c r="B11" s="10" t="s">
        <v>141</v>
      </c>
      <c r="C11" s="10" t="s">
        <v>9</v>
      </c>
      <c r="D11" s="109">
        <v>4510484843</v>
      </c>
      <c r="E11" s="10" t="s">
        <v>61</v>
      </c>
      <c r="F11" s="10" t="s">
        <v>62</v>
      </c>
      <c r="G11" s="40">
        <v>32592.94</v>
      </c>
      <c r="H11" s="41">
        <v>302.94</v>
      </c>
      <c r="I11" s="45" t="s">
        <v>140</v>
      </c>
      <c r="J11" s="42">
        <v>45037</v>
      </c>
      <c r="K11" s="42">
        <v>45043</v>
      </c>
      <c r="L11" s="10">
        <v>6</v>
      </c>
      <c r="M11" s="74">
        <f t="shared" si="0"/>
        <v>195557.63999999998</v>
      </c>
      <c r="N11" s="74">
        <f t="shared" si="1"/>
        <v>1817.6399999999999</v>
      </c>
      <c r="O11" s="120" t="s">
        <v>160</v>
      </c>
    </row>
    <row r="12" spans="1:15" x14ac:dyDescent="0.35">
      <c r="G12" s="43"/>
      <c r="H12" s="43"/>
      <c r="M12" s="74">
        <f t="shared" si="0"/>
        <v>0</v>
      </c>
      <c r="N12" s="74">
        <f t="shared" si="1"/>
        <v>0</v>
      </c>
      <c r="O12" s="103"/>
    </row>
    <row r="13" spans="1:15" x14ac:dyDescent="0.35">
      <c r="G13" s="43"/>
      <c r="H13" s="43"/>
      <c r="M13" s="74">
        <f t="shared" si="0"/>
        <v>0</v>
      </c>
      <c r="N13" s="74">
        <f t="shared" si="1"/>
        <v>0</v>
      </c>
      <c r="O13" s="103"/>
    </row>
    <row r="14" spans="1:15" x14ac:dyDescent="0.35">
      <c r="G14" s="43"/>
      <c r="H14" s="43"/>
      <c r="M14" s="74">
        <f t="shared" si="0"/>
        <v>0</v>
      </c>
      <c r="N14" s="74">
        <f t="shared" si="1"/>
        <v>0</v>
      </c>
      <c r="O14" s="103"/>
    </row>
    <row r="15" spans="1:15" x14ac:dyDescent="0.35">
      <c r="G15" s="43"/>
      <c r="H15" s="43"/>
      <c r="M15" s="74">
        <f t="shared" si="0"/>
        <v>0</v>
      </c>
      <c r="N15" s="74">
        <f t="shared" si="1"/>
        <v>0</v>
      </c>
      <c r="O15" s="103"/>
    </row>
    <row r="16" spans="1:15" x14ac:dyDescent="0.35">
      <c r="G16" s="43"/>
      <c r="H16" s="43"/>
      <c r="M16" s="74">
        <f t="shared" si="0"/>
        <v>0</v>
      </c>
      <c r="N16" s="74">
        <f t="shared" si="1"/>
        <v>0</v>
      </c>
      <c r="O16" s="103"/>
    </row>
    <row r="17" spans="1:15" x14ac:dyDescent="0.35">
      <c r="A17" s="49"/>
      <c r="K17" s="10" t="s">
        <v>38</v>
      </c>
      <c r="L17" s="10">
        <f>SUM(L4:L15)</f>
        <v>44</v>
      </c>
      <c r="M17" s="74">
        <f>SUBTOTAL(109,Table13456[NGN])</f>
        <v>2758195.3</v>
      </c>
      <c r="N17" s="74">
        <f>SUBTOTAL(109,Table13456[USD])</f>
        <v>25649.8</v>
      </c>
      <c r="O17" s="101"/>
    </row>
    <row r="21" spans="1:15" x14ac:dyDescent="0.35">
      <c r="J21" s="10" t="s">
        <v>39</v>
      </c>
    </row>
    <row r="23" spans="1:15" x14ac:dyDescent="0.35">
      <c r="L23" s="50"/>
      <c r="M23" s="51"/>
      <c r="N23" s="50"/>
    </row>
    <row r="24" spans="1:15" x14ac:dyDescent="0.35">
      <c r="L24" s="50"/>
      <c r="M24" s="50"/>
      <c r="N24" s="50"/>
    </row>
    <row r="25" spans="1:15" x14ac:dyDescent="0.35">
      <c r="L25" s="50"/>
      <c r="M25" s="50"/>
      <c r="N25" s="50"/>
    </row>
    <row r="26" spans="1:15" x14ac:dyDescent="0.35">
      <c r="L26" s="50"/>
      <c r="M26" s="50"/>
      <c r="N26" s="50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AF28A-98B2-4655-98F8-99456FA89740}">
  <dimension ref="A1:N29"/>
  <sheetViews>
    <sheetView topLeftCell="G1" zoomScale="63" workbookViewId="0">
      <selection activeCell="L14" sqref="L14:M1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18" style="10" customWidth="1"/>
    <col min="15" max="16384" width="8.7265625" style="10"/>
  </cols>
  <sheetData>
    <row r="1" spans="1:14" customFormat="1" ht="32.15" customHeight="1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4" customFormat="1" x14ac:dyDescent="0.35">
      <c r="C2" s="52"/>
      <c r="D2" s="52"/>
      <c r="E2" s="52"/>
      <c r="F2" s="256" t="s">
        <v>10</v>
      </c>
      <c r="G2" s="256"/>
      <c r="H2" s="53"/>
      <c r="I2" s="253" t="s">
        <v>41</v>
      </c>
      <c r="J2" s="253"/>
      <c r="K2" s="253"/>
      <c r="L2" s="253"/>
      <c r="M2" s="253"/>
      <c r="N2" s="263" t="s">
        <v>28</v>
      </c>
    </row>
    <row r="3" spans="1:14" customFormat="1" ht="31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42</v>
      </c>
      <c r="I3" s="57" t="s">
        <v>43</v>
      </c>
      <c r="J3" s="57" t="s">
        <v>44</v>
      </c>
      <c r="K3" s="57" t="s">
        <v>8</v>
      </c>
      <c r="L3" s="54" t="s">
        <v>4</v>
      </c>
      <c r="M3" s="54" t="s">
        <v>5</v>
      </c>
      <c r="N3" s="264"/>
    </row>
    <row r="4" spans="1:14" customFormat="1" ht="19" customHeight="1" x14ac:dyDescent="0.35">
      <c r="A4" s="1">
        <v>2</v>
      </c>
      <c r="B4" s="6" t="s">
        <v>60</v>
      </c>
      <c r="C4" s="6" t="s">
        <v>12</v>
      </c>
      <c r="D4" s="6" t="s">
        <v>61</v>
      </c>
      <c r="E4" s="6" t="s">
        <v>62</v>
      </c>
      <c r="F4" s="40">
        <v>70327.98</v>
      </c>
      <c r="G4" s="41">
        <v>654.08000000000004</v>
      </c>
      <c r="H4" s="108">
        <v>45024</v>
      </c>
      <c r="I4" s="75">
        <v>45038</v>
      </c>
      <c r="J4" s="75">
        <v>45038</v>
      </c>
      <c r="K4" s="8">
        <v>15</v>
      </c>
      <c r="L4" s="124">
        <f>SUM(F4*K4)</f>
        <v>1054919.7</v>
      </c>
      <c r="M4" s="124">
        <f>SUM(G4*K4)</f>
        <v>9811.2000000000007</v>
      </c>
      <c r="N4" s="106" t="s">
        <v>166</v>
      </c>
    </row>
    <row r="5" spans="1:14" customFormat="1" x14ac:dyDescent="0.35">
      <c r="A5" s="1">
        <v>3</v>
      </c>
      <c r="B5" s="6" t="s">
        <v>139</v>
      </c>
      <c r="C5" s="7" t="s">
        <v>9</v>
      </c>
      <c r="D5" s="6" t="s">
        <v>61</v>
      </c>
      <c r="E5" s="6" t="s">
        <v>62</v>
      </c>
      <c r="F5" s="40">
        <v>32592.94</v>
      </c>
      <c r="G5" s="41">
        <v>302.94</v>
      </c>
      <c r="H5" s="108">
        <v>45024</v>
      </c>
      <c r="I5" s="75">
        <v>45038</v>
      </c>
      <c r="J5" s="75">
        <v>45038</v>
      </c>
      <c r="K5" s="8">
        <v>15</v>
      </c>
      <c r="L5" s="124">
        <f>SUM(F5*K5)</f>
        <v>488894.1</v>
      </c>
      <c r="M5" s="124">
        <f>SUM(G5*K5)</f>
        <v>4544.1000000000004</v>
      </c>
      <c r="N5" s="106" t="s">
        <v>166</v>
      </c>
    </row>
    <row r="6" spans="1:14" customFormat="1" ht="19" customHeight="1" x14ac:dyDescent="0.35">
      <c r="A6" s="1">
        <v>4</v>
      </c>
      <c r="B6" s="6" t="s">
        <v>167</v>
      </c>
      <c r="C6" s="6" t="s">
        <v>12</v>
      </c>
      <c r="D6" s="6" t="s">
        <v>152</v>
      </c>
      <c r="E6" s="6" t="s">
        <v>155</v>
      </c>
      <c r="F6" s="40">
        <v>70327.98</v>
      </c>
      <c r="G6" s="41">
        <v>654.08000000000004</v>
      </c>
      <c r="H6" s="108">
        <v>45043</v>
      </c>
      <c r="I6" s="75">
        <v>45046</v>
      </c>
      <c r="J6" s="75">
        <v>45046</v>
      </c>
      <c r="K6" s="8">
        <v>4</v>
      </c>
      <c r="L6" s="124">
        <f>SUM(F6*K6)</f>
        <v>281311.92</v>
      </c>
      <c r="M6" s="124">
        <f>SUM(G6*K6)</f>
        <v>2616.3200000000002</v>
      </c>
      <c r="N6" t="s">
        <v>169</v>
      </c>
    </row>
    <row r="7" spans="1:14" customFormat="1" x14ac:dyDescent="0.35">
      <c r="A7" s="1">
        <v>5</v>
      </c>
      <c r="B7" s="6" t="s">
        <v>168</v>
      </c>
      <c r="C7" s="7" t="s">
        <v>12</v>
      </c>
      <c r="D7" s="6" t="s">
        <v>152</v>
      </c>
      <c r="E7" s="6" t="s">
        <v>155</v>
      </c>
      <c r="F7" s="40">
        <v>70327.98</v>
      </c>
      <c r="G7" s="41">
        <v>654.08000000000004</v>
      </c>
      <c r="H7" s="108">
        <v>45043</v>
      </c>
      <c r="I7" s="75">
        <v>45046</v>
      </c>
      <c r="J7" s="75">
        <v>45046</v>
      </c>
      <c r="K7" s="8">
        <v>4</v>
      </c>
      <c r="L7" s="124">
        <f>SUM(F7*K7)</f>
        <v>281311.92</v>
      </c>
      <c r="M7" s="124">
        <f>SUM(G7*K7)</f>
        <v>2616.3200000000002</v>
      </c>
      <c r="N7" t="s">
        <v>170</v>
      </c>
    </row>
    <row r="8" spans="1:14" customFormat="1" x14ac:dyDescent="0.35">
      <c r="A8" s="1"/>
      <c r="B8" s="6"/>
      <c r="C8" s="7"/>
      <c r="D8" s="6"/>
      <c r="E8" s="6"/>
      <c r="F8" s="40"/>
      <c r="G8" s="41"/>
      <c r="H8" s="58"/>
      <c r="I8" s="58"/>
      <c r="J8" s="58"/>
      <c r="K8" s="8"/>
      <c r="L8" s="125"/>
      <c r="M8" s="125"/>
    </row>
    <row r="9" spans="1:14" customFormat="1" x14ac:dyDescent="0.35">
      <c r="A9" s="1"/>
      <c r="B9" s="6"/>
      <c r="C9" s="7"/>
      <c r="D9" s="6"/>
      <c r="E9" s="6"/>
      <c r="F9" s="40"/>
      <c r="G9" s="41"/>
      <c r="H9" s="58"/>
      <c r="I9" s="58"/>
      <c r="J9" s="58"/>
      <c r="K9" s="8"/>
      <c r="L9" s="125"/>
      <c r="M9" s="125"/>
    </row>
    <row r="10" spans="1:14" customFormat="1" x14ac:dyDescent="0.35">
      <c r="A10" s="1"/>
      <c r="B10" s="6"/>
      <c r="C10" s="7"/>
      <c r="D10" s="6"/>
      <c r="E10" s="6"/>
      <c r="F10" s="40"/>
      <c r="G10" s="41"/>
      <c r="H10" s="58"/>
      <c r="I10" s="58"/>
      <c r="J10" s="58"/>
      <c r="K10" s="8"/>
      <c r="L10" s="125"/>
      <c r="M10" s="125"/>
    </row>
    <row r="11" spans="1:14" customFormat="1" x14ac:dyDescent="0.35">
      <c r="A11" s="1"/>
      <c r="B11" s="6"/>
      <c r="C11" s="7"/>
      <c r="D11" s="6"/>
      <c r="E11" s="6"/>
      <c r="F11" s="40"/>
      <c r="G11" s="41"/>
      <c r="H11" s="58"/>
      <c r="I11" s="58"/>
      <c r="J11" s="58"/>
      <c r="K11" s="8"/>
      <c r="L11" s="125"/>
      <c r="M11" s="125"/>
    </row>
    <row r="12" spans="1:14" customFormat="1" x14ac:dyDescent="0.35">
      <c r="A12" s="1"/>
      <c r="B12" s="6"/>
      <c r="C12" s="7"/>
      <c r="D12" s="6"/>
      <c r="E12" s="6"/>
      <c r="F12" s="40"/>
      <c r="G12" s="41"/>
      <c r="H12" s="58"/>
      <c r="I12" s="58"/>
      <c r="J12" s="58"/>
      <c r="K12" s="8"/>
      <c r="L12" s="125"/>
      <c r="M12" s="125"/>
    </row>
    <row r="13" spans="1:14" customFormat="1" ht="19" customHeight="1" x14ac:dyDescent="0.35">
      <c r="A13" s="1"/>
      <c r="B13" s="6"/>
      <c r="C13" s="6"/>
      <c r="D13" s="6"/>
      <c r="E13" s="6"/>
      <c r="F13" s="40"/>
      <c r="G13" s="41"/>
      <c r="H13" s="58"/>
      <c r="I13" s="58"/>
      <c r="J13" s="58"/>
      <c r="K13" s="8"/>
      <c r="L13" s="125"/>
      <c r="M13" s="125"/>
    </row>
    <row r="14" spans="1:14" customFormat="1" ht="21.5" x14ac:dyDescent="0.6">
      <c r="A14" s="59"/>
      <c r="B14" s="60"/>
      <c r="C14" s="61"/>
      <c r="D14" s="60"/>
      <c r="E14" s="62"/>
      <c r="F14" s="63"/>
      <c r="G14" s="64"/>
      <c r="H14" s="65"/>
      <c r="I14" s="66"/>
      <c r="J14" s="66"/>
      <c r="K14" s="67">
        <f>SUM(K4:K13)</f>
        <v>38</v>
      </c>
      <c r="L14" s="68">
        <f>SUM(L4:L13)</f>
        <v>2106437.6399999997</v>
      </c>
      <c r="M14" s="68">
        <f>SUM(M4:M13)</f>
        <v>19587.940000000002</v>
      </c>
    </row>
    <row r="15" spans="1:14" customFormat="1" ht="14.5" x14ac:dyDescent="0.35"/>
    <row r="16" spans="1:14" customFormat="1" ht="14.5" x14ac:dyDescent="0.35">
      <c r="M16" t="s">
        <v>39</v>
      </c>
    </row>
    <row r="17" spans="1:14" x14ac:dyDescent="0.35">
      <c r="G17" s="43"/>
      <c r="H17" s="43"/>
      <c r="M17" s="43"/>
      <c r="N17" s="43"/>
    </row>
    <row r="18" spans="1:14" x14ac:dyDescent="0.35">
      <c r="G18" s="43"/>
      <c r="H18" s="43"/>
      <c r="M18" s="43"/>
      <c r="N18" s="43"/>
    </row>
    <row r="19" spans="1:14" x14ac:dyDescent="0.35">
      <c r="G19" s="43"/>
      <c r="H19" s="43"/>
      <c r="M19" s="43"/>
      <c r="N19" s="43"/>
    </row>
    <row r="20" spans="1:14" x14ac:dyDescent="0.35">
      <c r="A20" s="49"/>
    </row>
    <row r="26" spans="1:14" x14ac:dyDescent="0.35">
      <c r="L26" s="50"/>
      <c r="M26" s="51"/>
      <c r="N26" s="50"/>
    </row>
    <row r="27" spans="1:14" x14ac:dyDescent="0.35">
      <c r="L27" s="50"/>
      <c r="M27" s="50"/>
      <c r="N27" s="50"/>
    </row>
    <row r="28" spans="1:14" x14ac:dyDescent="0.35">
      <c r="L28" s="50"/>
      <c r="M28" s="50"/>
      <c r="N28" s="50"/>
    </row>
    <row r="29" spans="1:14" x14ac:dyDescent="0.35">
      <c r="L29" s="50"/>
      <c r="M29" s="50"/>
      <c r="N29" s="50"/>
    </row>
  </sheetData>
  <mergeCells count="4">
    <mergeCell ref="A1:M1"/>
    <mergeCell ref="F2:G2"/>
    <mergeCell ref="I2:M2"/>
    <mergeCell ref="N2:N3"/>
  </mergeCell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0E4C-8E62-40D6-B982-670C1A0E4B57}">
  <dimension ref="A1:O32"/>
  <sheetViews>
    <sheetView topLeftCell="D1" zoomScale="63" workbookViewId="0">
      <selection activeCell="M17" sqref="M17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4" width="17.26953125" style="10" customWidth="1"/>
    <col min="5" max="5" width="20" style="10" customWidth="1"/>
    <col min="6" max="6" width="15.7265625" style="10" customWidth="1"/>
    <col min="7" max="7" width="20" style="10" customWidth="1"/>
    <col min="8" max="9" width="16.54296875" style="10" customWidth="1"/>
    <col min="10" max="10" width="20.81640625" style="10" customWidth="1"/>
    <col min="11" max="11" width="20.453125" style="10" customWidth="1"/>
    <col min="12" max="12" width="21.81640625" style="10" customWidth="1"/>
    <col min="13" max="13" width="30" style="10" customWidth="1"/>
    <col min="14" max="14" width="19.81640625" style="10" bestFit="1" customWidth="1"/>
    <col min="15" max="15" width="25.1796875" style="10" customWidth="1"/>
    <col min="16" max="16384" width="8.7265625" style="10"/>
  </cols>
  <sheetData>
    <row r="1" spans="1:15" customFormat="1" ht="32.15" customHeight="1" x14ac:dyDescent="0.55000000000000004">
      <c r="A1" s="254" t="s">
        <v>83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5" customFormat="1" x14ac:dyDescent="0.35">
      <c r="C2" s="52"/>
      <c r="D2" s="52"/>
      <c r="E2" s="52"/>
      <c r="F2" s="52"/>
      <c r="G2" s="256" t="s">
        <v>10</v>
      </c>
      <c r="H2" s="256"/>
      <c r="I2" s="53"/>
      <c r="J2" s="253" t="s">
        <v>82</v>
      </c>
      <c r="K2" s="253"/>
      <c r="L2" s="253"/>
      <c r="M2" s="253"/>
      <c r="N2" s="253"/>
    </row>
    <row r="3" spans="1:15" customFormat="1" ht="31" x14ac:dyDescent="0.35">
      <c r="A3" s="54" t="s">
        <v>0</v>
      </c>
      <c r="B3" s="54" t="s">
        <v>31</v>
      </c>
      <c r="C3" s="54" t="s">
        <v>1</v>
      </c>
      <c r="D3" s="54" t="s">
        <v>81</v>
      </c>
      <c r="E3" s="54" t="s">
        <v>2</v>
      </c>
      <c r="F3" s="54" t="s">
        <v>3</v>
      </c>
      <c r="G3" s="55" t="s">
        <v>4</v>
      </c>
      <c r="H3" s="54" t="s">
        <v>5</v>
      </c>
      <c r="I3" s="56" t="s">
        <v>137</v>
      </c>
      <c r="J3" s="57" t="s">
        <v>136</v>
      </c>
      <c r="K3" s="57" t="s">
        <v>135</v>
      </c>
      <c r="L3" s="57" t="s">
        <v>78</v>
      </c>
      <c r="M3" s="54" t="s">
        <v>4</v>
      </c>
      <c r="N3" s="54" t="s">
        <v>5</v>
      </c>
      <c r="O3" s="57" t="s">
        <v>77</v>
      </c>
    </row>
    <row r="4" spans="1:15" customFormat="1" ht="31" x14ac:dyDescent="0.35">
      <c r="A4" s="1">
        <v>1</v>
      </c>
      <c r="B4" s="6" t="s">
        <v>159</v>
      </c>
      <c r="C4" s="7" t="s">
        <v>49</v>
      </c>
      <c r="D4" s="7" t="s">
        <v>158</v>
      </c>
      <c r="E4" s="6" t="s">
        <v>157</v>
      </c>
      <c r="F4" s="6" t="s">
        <v>156</v>
      </c>
      <c r="G4" s="40">
        <v>129000</v>
      </c>
      <c r="H4" s="41"/>
      <c r="I4" s="75">
        <v>45038</v>
      </c>
      <c r="J4" s="75">
        <v>45042</v>
      </c>
      <c r="K4" s="75">
        <v>45042</v>
      </c>
      <c r="L4" s="8">
        <v>4</v>
      </c>
      <c r="M4" s="124">
        <f>SUM(G4*L4)</f>
        <v>516000</v>
      </c>
      <c r="N4" s="41"/>
      <c r="O4" s="113" t="s">
        <v>171</v>
      </c>
    </row>
    <row r="5" spans="1:15" customFormat="1" ht="15.65" customHeight="1" x14ac:dyDescent="0.35">
      <c r="A5" s="1"/>
      <c r="B5" s="6"/>
      <c r="C5" s="7"/>
      <c r="D5" s="7"/>
      <c r="E5" s="6"/>
      <c r="F5" s="6"/>
      <c r="G5" s="40"/>
      <c r="H5" s="41"/>
      <c r="I5" s="75"/>
      <c r="J5" s="75"/>
      <c r="K5" s="75"/>
      <c r="L5" s="8"/>
      <c r="M5" s="40"/>
      <c r="N5" s="41"/>
      <c r="O5" s="267"/>
    </row>
    <row r="6" spans="1:15" customFormat="1" ht="19" customHeight="1" x14ac:dyDescent="0.35">
      <c r="A6" s="1"/>
      <c r="B6" s="6"/>
      <c r="C6" s="6"/>
      <c r="D6" s="6"/>
      <c r="E6" s="6"/>
      <c r="F6" s="6"/>
      <c r="G6" s="40"/>
      <c r="H6" s="41"/>
      <c r="I6" s="76"/>
      <c r="J6" s="75"/>
      <c r="K6" s="75"/>
      <c r="L6" s="8"/>
      <c r="M6" s="40"/>
      <c r="N6" s="41"/>
      <c r="O6" s="268"/>
    </row>
    <row r="7" spans="1:15" customFormat="1" ht="31" customHeight="1" x14ac:dyDescent="0.35">
      <c r="A7" s="1"/>
      <c r="B7" s="6"/>
      <c r="C7" s="7"/>
      <c r="D7" s="7"/>
      <c r="E7" s="6"/>
      <c r="F7" s="6"/>
      <c r="G7" s="40"/>
      <c r="H7" s="41"/>
      <c r="I7" s="76"/>
      <c r="J7" s="75"/>
      <c r="K7" s="75"/>
      <c r="L7" s="8"/>
      <c r="M7" s="40"/>
      <c r="N7" s="41"/>
      <c r="O7" s="267"/>
    </row>
    <row r="8" spans="1:15" customFormat="1" ht="19" customHeight="1" x14ac:dyDescent="0.35">
      <c r="A8" s="1"/>
      <c r="B8" s="6"/>
      <c r="C8" s="6"/>
      <c r="D8" s="77"/>
      <c r="E8" s="6"/>
      <c r="F8" s="6"/>
      <c r="G8" s="40"/>
      <c r="H8" s="41"/>
      <c r="I8" s="76"/>
      <c r="J8" s="75"/>
      <c r="K8" s="75"/>
      <c r="L8" s="8"/>
      <c r="M8" s="40"/>
      <c r="N8" s="41"/>
      <c r="O8" s="268"/>
    </row>
    <row r="9" spans="1:15" customFormat="1" x14ac:dyDescent="0.35">
      <c r="A9" s="1"/>
      <c r="B9" s="6"/>
      <c r="C9" s="7"/>
      <c r="D9" s="7"/>
      <c r="E9" s="6"/>
      <c r="F9" s="6"/>
      <c r="G9" s="40"/>
      <c r="H9" s="41"/>
      <c r="I9" s="76"/>
      <c r="J9" s="75"/>
      <c r="K9" s="75"/>
      <c r="L9" s="8"/>
      <c r="M9" s="40"/>
      <c r="N9" s="41"/>
      <c r="O9" s="265"/>
    </row>
    <row r="10" spans="1:15" customFormat="1" ht="19" customHeight="1" x14ac:dyDescent="0.35">
      <c r="A10" s="1"/>
      <c r="B10" s="6"/>
      <c r="C10" s="6"/>
      <c r="D10" s="6"/>
      <c r="E10" s="6"/>
      <c r="F10" s="6"/>
      <c r="G10" s="40"/>
      <c r="H10" s="41"/>
      <c r="I10" s="76"/>
      <c r="J10" s="75"/>
      <c r="K10" s="75"/>
      <c r="L10" s="8"/>
      <c r="M10" s="40"/>
      <c r="N10" s="41"/>
      <c r="O10" s="266"/>
    </row>
    <row r="11" spans="1:15" customFormat="1" x14ac:dyDescent="0.35">
      <c r="A11" s="1"/>
      <c r="B11" s="6"/>
      <c r="C11" s="7"/>
      <c r="D11" s="7"/>
      <c r="E11" s="6"/>
      <c r="F11" s="6"/>
      <c r="G11" s="40"/>
      <c r="H11" s="41"/>
      <c r="I11" s="58"/>
      <c r="J11" s="58"/>
      <c r="K11" s="58"/>
      <c r="L11" s="8"/>
      <c r="M11" s="9"/>
      <c r="N11" s="9"/>
      <c r="O11" s="52"/>
    </row>
    <row r="12" spans="1:15" customFormat="1" x14ac:dyDescent="0.35">
      <c r="A12" s="1"/>
      <c r="B12" s="6"/>
      <c r="C12" s="7"/>
      <c r="D12" s="7"/>
      <c r="E12" s="6"/>
      <c r="F12" s="6"/>
      <c r="G12" s="40"/>
      <c r="H12" s="41"/>
      <c r="I12" s="58"/>
      <c r="J12" s="58"/>
      <c r="K12" s="58"/>
      <c r="L12" s="8"/>
      <c r="M12" s="9"/>
      <c r="N12" s="9"/>
      <c r="O12" s="52"/>
    </row>
    <row r="13" spans="1:15" customFormat="1" x14ac:dyDescent="0.35">
      <c r="A13" s="1"/>
      <c r="B13" s="6"/>
      <c r="C13" s="7"/>
      <c r="D13" s="7"/>
      <c r="E13" s="6"/>
      <c r="F13" s="6"/>
      <c r="G13" s="40"/>
      <c r="H13" s="41"/>
      <c r="I13" s="58"/>
      <c r="J13" s="58"/>
      <c r="K13" s="58"/>
      <c r="L13" s="8"/>
      <c r="M13" s="9"/>
      <c r="N13" s="9"/>
      <c r="O13" s="52"/>
    </row>
    <row r="14" spans="1:15" customFormat="1" x14ac:dyDescent="0.35">
      <c r="A14" s="1"/>
      <c r="B14" s="6"/>
      <c r="C14" s="7"/>
      <c r="D14" s="7"/>
      <c r="E14" s="6"/>
      <c r="F14" s="6"/>
      <c r="G14" s="40"/>
      <c r="H14" s="41"/>
      <c r="I14" s="58"/>
      <c r="J14" s="58"/>
      <c r="K14" s="58"/>
      <c r="L14" s="8"/>
      <c r="M14" s="9"/>
      <c r="N14" s="9"/>
      <c r="O14" s="52"/>
    </row>
    <row r="15" spans="1:15" customFormat="1" x14ac:dyDescent="0.35">
      <c r="A15" s="1"/>
      <c r="B15" s="6"/>
      <c r="C15" s="7"/>
      <c r="D15" s="7"/>
      <c r="E15" s="6"/>
      <c r="F15" s="6"/>
      <c r="G15" s="40"/>
      <c r="H15" s="41"/>
      <c r="I15" s="58"/>
      <c r="J15" s="58"/>
      <c r="K15" s="58"/>
      <c r="L15" s="8"/>
      <c r="M15" s="9"/>
      <c r="N15" s="9"/>
      <c r="O15" s="52"/>
    </row>
    <row r="16" spans="1:15" customFormat="1" ht="19" customHeight="1" x14ac:dyDescent="0.35">
      <c r="A16" s="1"/>
      <c r="B16" s="6"/>
      <c r="C16" s="6"/>
      <c r="D16" s="6"/>
      <c r="E16" s="6"/>
      <c r="F16" s="6"/>
      <c r="G16" s="40"/>
      <c r="H16" s="41"/>
      <c r="I16" s="58"/>
      <c r="J16" s="58"/>
      <c r="K16" s="58"/>
      <c r="L16" s="8"/>
      <c r="M16" s="9"/>
      <c r="N16" s="9"/>
      <c r="O16" s="52"/>
    </row>
    <row r="17" spans="1:15" customFormat="1" ht="21.5" x14ac:dyDescent="0.6">
      <c r="A17" s="59"/>
      <c r="B17" s="60"/>
      <c r="C17" s="61"/>
      <c r="D17" s="61"/>
      <c r="E17" s="60"/>
      <c r="F17" s="62"/>
      <c r="G17" s="63"/>
      <c r="H17" s="64"/>
      <c r="I17" s="65"/>
      <c r="J17" s="66"/>
      <c r="K17" s="66"/>
      <c r="L17" s="67">
        <f>SUM(L4:L16)</f>
        <v>4</v>
      </c>
      <c r="M17" s="68">
        <f>SUM(M4:M16)</f>
        <v>516000</v>
      </c>
      <c r="N17" s="69">
        <f>SUM(N4:N16)</f>
        <v>0</v>
      </c>
    </row>
    <row r="18" spans="1:15" customFormat="1" ht="14.5" x14ac:dyDescent="0.35"/>
    <row r="19" spans="1:15" customFormat="1" ht="14.5" x14ac:dyDescent="0.35">
      <c r="N19" t="s">
        <v>39</v>
      </c>
    </row>
    <row r="20" spans="1:15" x14ac:dyDescent="0.35">
      <c r="H20" s="43"/>
      <c r="I20" s="43"/>
      <c r="N20" s="43"/>
      <c r="O20" s="43"/>
    </row>
    <row r="21" spans="1:15" x14ac:dyDescent="0.35">
      <c r="H21" s="43"/>
      <c r="I21" s="43"/>
      <c r="N21" s="43"/>
      <c r="O21" s="43"/>
    </row>
    <row r="22" spans="1:15" x14ac:dyDescent="0.35">
      <c r="H22" s="43"/>
      <c r="I22" s="43"/>
      <c r="N22" s="43"/>
      <c r="O22" s="43"/>
    </row>
    <row r="23" spans="1:15" x14ac:dyDescent="0.35">
      <c r="A23" s="49"/>
    </row>
    <row r="29" spans="1:15" x14ac:dyDescent="0.35">
      <c r="M29" s="50"/>
      <c r="N29" s="51"/>
      <c r="O29" s="50"/>
    </row>
    <row r="30" spans="1:15" x14ac:dyDescent="0.35">
      <c r="M30" s="50"/>
      <c r="N30" s="50"/>
      <c r="O30" s="50"/>
    </row>
    <row r="31" spans="1:15" x14ac:dyDescent="0.35">
      <c r="M31" s="50"/>
      <c r="N31" s="50"/>
      <c r="O31" s="50"/>
    </row>
    <row r="32" spans="1:15" x14ac:dyDescent="0.35">
      <c r="M32" s="50"/>
      <c r="N32" s="50"/>
      <c r="O32" s="50"/>
    </row>
  </sheetData>
  <mergeCells count="6">
    <mergeCell ref="O9:O10"/>
    <mergeCell ref="A1:N1"/>
    <mergeCell ref="G2:H2"/>
    <mergeCell ref="J2:N2"/>
    <mergeCell ref="O5:O6"/>
    <mergeCell ref="O7:O8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2B1E-1A00-4308-AA56-FF839F0CBBE9}">
  <dimension ref="A1:O8"/>
  <sheetViews>
    <sheetView topLeftCell="D1" workbookViewId="0">
      <selection activeCell="O3" sqref="O3:O4"/>
    </sheetView>
  </sheetViews>
  <sheetFormatPr defaultRowHeight="14.5" x14ac:dyDescent="0.35"/>
  <cols>
    <col min="1" max="1" width="6" customWidth="1"/>
    <col min="2" max="2" width="17.54296875" customWidth="1"/>
    <col min="3" max="3" width="20.453125" customWidth="1"/>
    <col min="4" max="4" width="20.26953125" customWidth="1"/>
    <col min="5" max="5" width="11.54296875" customWidth="1"/>
    <col min="6" max="6" width="12.26953125" customWidth="1"/>
    <col min="7" max="7" width="10.81640625" customWidth="1"/>
    <col min="8" max="8" width="9.54296875" customWidth="1"/>
    <col min="9" max="9" width="13.7265625" customWidth="1"/>
    <col min="10" max="10" width="12" customWidth="1"/>
    <col min="11" max="11" width="14.7265625" customWidth="1"/>
    <col min="12" max="12" width="13.81640625" customWidth="1"/>
    <col min="13" max="13" width="14.453125" customWidth="1"/>
    <col min="14" max="14" width="17.453125" customWidth="1"/>
    <col min="15" max="15" width="79.453125" customWidth="1"/>
  </cols>
  <sheetData>
    <row r="1" spans="1:15" ht="15.5" x14ac:dyDescent="0.35">
      <c r="A1" s="10"/>
      <c r="B1" s="10"/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ht="15.5" x14ac:dyDescent="0.35">
      <c r="A2" s="10"/>
      <c r="B2" s="10"/>
      <c r="C2" s="10"/>
      <c r="D2" s="10"/>
      <c r="E2" s="10"/>
      <c r="F2" s="10"/>
      <c r="G2" s="252" t="s">
        <v>10</v>
      </c>
      <c r="H2" s="252"/>
      <c r="I2" s="10"/>
      <c r="J2" s="253" t="s">
        <v>13</v>
      </c>
      <c r="K2" s="253"/>
      <c r="L2" s="253"/>
      <c r="M2" s="253"/>
      <c r="N2" s="253"/>
    </row>
    <row r="3" spans="1:15" ht="15.5" x14ac:dyDescent="0.35">
      <c r="A3" s="12" t="s">
        <v>0</v>
      </c>
      <c r="B3" s="12" t="s">
        <v>31</v>
      </c>
      <c r="C3" s="12" t="s">
        <v>1</v>
      </c>
      <c r="D3" s="12" t="s">
        <v>32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11</v>
      </c>
      <c r="J3" s="12" t="s">
        <v>6</v>
      </c>
      <c r="K3" s="12" t="s">
        <v>7</v>
      </c>
      <c r="L3" s="12" t="s">
        <v>8</v>
      </c>
      <c r="M3" s="12" t="s">
        <v>33</v>
      </c>
      <c r="N3" s="12" t="s">
        <v>34</v>
      </c>
      <c r="O3" s="12" t="s">
        <v>77</v>
      </c>
    </row>
    <row r="4" spans="1:15" ht="28.5" customHeight="1" x14ac:dyDescent="0.35">
      <c r="A4" s="128">
        <v>1</v>
      </c>
      <c r="B4" s="135" t="s">
        <v>177</v>
      </c>
      <c r="C4" s="133" t="s">
        <v>12</v>
      </c>
      <c r="D4" s="137" t="s">
        <v>176</v>
      </c>
      <c r="E4" s="128" t="s">
        <v>152</v>
      </c>
      <c r="F4" s="133" t="s">
        <v>172</v>
      </c>
      <c r="G4" s="136">
        <v>70327.98</v>
      </c>
      <c r="H4" s="136">
        <v>654.08000000000004</v>
      </c>
      <c r="I4" s="131">
        <v>44972</v>
      </c>
      <c r="J4" s="131">
        <v>45068</v>
      </c>
      <c r="K4" s="131">
        <v>45107</v>
      </c>
      <c r="L4" s="128">
        <v>39</v>
      </c>
      <c r="M4" s="172">
        <v>632951.81999999995</v>
      </c>
      <c r="N4" s="170">
        <f>SUM(H4*L4)</f>
        <v>25509.120000000003</v>
      </c>
      <c r="O4" s="9" t="s">
        <v>160</v>
      </c>
    </row>
    <row r="5" spans="1:15" ht="15.5" x14ac:dyDescent="0.35">
      <c r="A5" s="128">
        <v>2</v>
      </c>
      <c r="B5" s="135" t="s">
        <v>175</v>
      </c>
      <c r="C5" s="133" t="s">
        <v>174</v>
      </c>
      <c r="D5" s="134" t="s">
        <v>173</v>
      </c>
      <c r="E5" s="128" t="s">
        <v>152</v>
      </c>
      <c r="F5" s="133" t="s">
        <v>172</v>
      </c>
      <c r="G5" s="132">
        <v>120090.84</v>
      </c>
      <c r="H5" s="132">
        <v>1116.8800000000001</v>
      </c>
      <c r="I5" s="131">
        <v>44972</v>
      </c>
      <c r="J5" s="131">
        <v>45068</v>
      </c>
      <c r="K5" s="131">
        <v>45107</v>
      </c>
      <c r="L5" s="128">
        <v>39</v>
      </c>
      <c r="M5" s="172">
        <v>1561180.92</v>
      </c>
      <c r="N5" s="170">
        <f>SUM(H5*L5)</f>
        <v>43558.320000000007</v>
      </c>
      <c r="O5" s="9" t="s">
        <v>160</v>
      </c>
    </row>
    <row r="6" spans="1:15" ht="15.5" x14ac:dyDescent="0.35">
      <c r="A6" s="130"/>
      <c r="B6" s="130"/>
      <c r="C6" s="130"/>
      <c r="D6" s="130"/>
      <c r="E6" s="130"/>
      <c r="F6" s="130"/>
      <c r="G6" s="129"/>
      <c r="H6" s="129"/>
      <c r="I6" s="130"/>
      <c r="J6" s="130"/>
      <c r="K6" s="130"/>
      <c r="L6" s="130"/>
      <c r="M6" s="171"/>
      <c r="N6" s="170"/>
      <c r="O6" s="9"/>
    </row>
    <row r="7" spans="1:15" x14ac:dyDescent="0.35">
      <c r="A7" s="128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 t="s">
        <v>38</v>
      </c>
      <c r="M7" s="173">
        <f>SUM(M4:M6)</f>
        <v>2194132.7399999998</v>
      </c>
      <c r="N7" s="174">
        <f>SUM(N4:N6)</f>
        <v>69067.44</v>
      </c>
      <c r="O7" s="127"/>
    </row>
    <row r="8" spans="1:15" ht="15.5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AF4E5-FEC3-465F-8A8B-26732D7A9A18}">
  <dimension ref="A1:N6"/>
  <sheetViews>
    <sheetView workbookViewId="0">
      <selection activeCell="N4" sqref="N4"/>
    </sheetView>
  </sheetViews>
  <sheetFormatPr defaultRowHeight="14.5" x14ac:dyDescent="0.35"/>
  <cols>
    <col min="1" max="1" width="3.54296875" customWidth="1"/>
    <col min="2" max="2" width="14.7265625" customWidth="1"/>
    <col min="3" max="3" width="10.1796875" customWidth="1"/>
    <col min="4" max="4" width="9.453125" customWidth="1"/>
    <col min="5" max="5" width="9.81640625" customWidth="1"/>
    <col min="6" max="6" width="9.7265625" customWidth="1"/>
    <col min="8" max="8" width="9.7265625" customWidth="1"/>
    <col min="9" max="9" width="10.453125" customWidth="1"/>
    <col min="10" max="10" width="11" customWidth="1"/>
    <col min="12" max="12" width="10.81640625" customWidth="1"/>
    <col min="13" max="13" width="11.453125" customWidth="1"/>
    <col min="14" max="14" width="129.1796875" customWidth="1"/>
  </cols>
  <sheetData>
    <row r="1" spans="1:14" ht="23.5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4" ht="15.5" x14ac:dyDescent="0.35">
      <c r="C2" s="52"/>
      <c r="D2" s="52"/>
      <c r="E2" s="52"/>
      <c r="F2" s="256" t="s">
        <v>10</v>
      </c>
      <c r="G2" s="256"/>
      <c r="H2" s="53"/>
      <c r="I2" s="253" t="s">
        <v>179</v>
      </c>
      <c r="J2" s="253"/>
      <c r="K2" s="253"/>
      <c r="L2" s="253"/>
      <c r="M2" s="262"/>
    </row>
    <row r="3" spans="1:14" ht="46.5" customHeight="1" x14ac:dyDescent="0.35">
      <c r="A3" s="154" t="s">
        <v>0</v>
      </c>
      <c r="B3" s="154" t="s">
        <v>31</v>
      </c>
      <c r="C3" s="154" t="s">
        <v>1</v>
      </c>
      <c r="D3" s="154" t="s">
        <v>2</v>
      </c>
      <c r="E3" s="154" t="s">
        <v>3</v>
      </c>
      <c r="F3" s="154" t="s">
        <v>4</v>
      </c>
      <c r="G3" s="154" t="s">
        <v>5</v>
      </c>
      <c r="H3" s="156" t="s">
        <v>42</v>
      </c>
      <c r="I3" s="155" t="s">
        <v>43</v>
      </c>
      <c r="J3" s="155" t="s">
        <v>44</v>
      </c>
      <c r="K3" s="155" t="s">
        <v>8</v>
      </c>
      <c r="L3" s="154" t="s">
        <v>4</v>
      </c>
      <c r="M3" s="154" t="s">
        <v>5</v>
      </c>
      <c r="N3" s="155" t="s">
        <v>77</v>
      </c>
    </row>
    <row r="4" spans="1:14" x14ac:dyDescent="0.35">
      <c r="A4" s="128">
        <v>1</v>
      </c>
      <c r="B4" s="133" t="s">
        <v>178</v>
      </c>
      <c r="C4" s="133" t="s">
        <v>12</v>
      </c>
      <c r="D4" s="133" t="s">
        <v>152</v>
      </c>
      <c r="E4" s="133" t="s">
        <v>92</v>
      </c>
      <c r="F4" s="150">
        <v>70327.98</v>
      </c>
      <c r="G4" s="135">
        <v>654.08000000000004</v>
      </c>
      <c r="H4" s="153">
        <v>45065</v>
      </c>
      <c r="I4" s="152">
        <v>45072</v>
      </c>
      <c r="J4" s="152">
        <v>45068</v>
      </c>
      <c r="K4" s="148">
        <v>8</v>
      </c>
      <c r="L4" s="175">
        <f>SUM(F4*K4)</f>
        <v>562623.84</v>
      </c>
      <c r="M4" s="175">
        <f>SUM(G4*K4)</f>
        <v>5232.6400000000003</v>
      </c>
      <c r="N4" s="52" t="s">
        <v>194</v>
      </c>
    </row>
    <row r="5" spans="1:14" x14ac:dyDescent="0.35">
      <c r="A5" s="128"/>
      <c r="B5" s="133"/>
      <c r="C5" s="151"/>
      <c r="D5" s="133"/>
      <c r="E5" s="133"/>
      <c r="F5" s="150"/>
      <c r="G5" s="135"/>
      <c r="H5" s="149"/>
      <c r="I5" s="149"/>
      <c r="J5" s="149"/>
      <c r="K5" s="148"/>
      <c r="L5" s="170"/>
      <c r="M5" s="170"/>
      <c r="N5" s="52"/>
    </row>
    <row r="6" spans="1:14" x14ac:dyDescent="0.35">
      <c r="A6" s="138"/>
      <c r="B6" s="146"/>
      <c r="C6" s="147"/>
      <c r="D6" s="146"/>
      <c r="E6" s="145"/>
      <c r="F6" s="144"/>
      <c r="G6" s="143"/>
      <c r="H6" s="142"/>
      <c r="I6" s="141"/>
      <c r="J6" s="141"/>
      <c r="K6" s="140"/>
      <c r="L6" s="139">
        <f>SUM(L4:L5)</f>
        <v>562623.84</v>
      </c>
      <c r="M6" s="170">
        <f>SUM(M4:M5)</f>
        <v>5232.6400000000003</v>
      </c>
      <c r="N6" s="52"/>
    </row>
  </sheetData>
  <mergeCells count="3">
    <mergeCell ref="A1:M1"/>
    <mergeCell ref="F2:G2"/>
    <mergeCell ref="I2:M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D668-81A7-4D85-B2CC-98CBBBA7A786}">
  <dimension ref="A1:O37"/>
  <sheetViews>
    <sheetView topLeftCell="D5" zoomScale="63" workbookViewId="0">
      <selection activeCell="N22" sqref="N22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3.26953125" style="10" bestFit="1" customWidth="1"/>
    <col min="15" max="15" width="53.7265625" style="10" customWidth="1"/>
    <col min="16" max="16384" width="8.7265625" style="10"/>
  </cols>
  <sheetData>
    <row r="1" spans="1:15" ht="32.15" customHeight="1" x14ac:dyDescent="0.35"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x14ac:dyDescent="0.35">
      <c r="G2" s="252" t="s">
        <v>10</v>
      </c>
      <c r="H2" s="252"/>
      <c r="J2" s="253" t="s">
        <v>30</v>
      </c>
      <c r="K2" s="253"/>
      <c r="L2" s="253"/>
      <c r="M2" s="253"/>
      <c r="N2" s="253"/>
    </row>
    <row r="3" spans="1:15" x14ac:dyDescent="0.35">
      <c r="A3" s="10" t="s">
        <v>0</v>
      </c>
      <c r="B3" s="10" t="s">
        <v>31</v>
      </c>
      <c r="C3" s="10" t="s">
        <v>1</v>
      </c>
      <c r="D3" s="10" t="s">
        <v>32</v>
      </c>
      <c r="E3" s="53" t="s">
        <v>2</v>
      </c>
      <c r="F3" s="53" t="s">
        <v>3</v>
      </c>
      <c r="G3" s="10" t="s">
        <v>4</v>
      </c>
      <c r="H3" s="10" t="s">
        <v>5</v>
      </c>
      <c r="I3" s="10" t="s">
        <v>11</v>
      </c>
      <c r="J3" s="10" t="s">
        <v>6</v>
      </c>
      <c r="K3" s="10" t="s">
        <v>7</v>
      </c>
      <c r="L3" s="10" t="s">
        <v>8</v>
      </c>
      <c r="M3" s="10" t="s">
        <v>33</v>
      </c>
      <c r="N3" s="10" t="s">
        <v>34</v>
      </c>
      <c r="O3" s="10" t="s">
        <v>77</v>
      </c>
    </row>
    <row r="4" spans="1:15" x14ac:dyDescent="0.35">
      <c r="A4" s="53">
        <v>1</v>
      </c>
      <c r="B4" s="38" t="s">
        <v>219</v>
      </c>
      <c r="C4" s="53" t="s">
        <v>12</v>
      </c>
      <c r="D4" s="185">
        <v>4510487683</v>
      </c>
      <c r="E4" s="53" t="s">
        <v>152</v>
      </c>
      <c r="F4" s="53" t="s">
        <v>196</v>
      </c>
      <c r="G4" s="181">
        <v>70327.98</v>
      </c>
      <c r="H4" s="41">
        <v>654.08000000000004</v>
      </c>
      <c r="I4" s="42">
        <v>44931</v>
      </c>
      <c r="J4" s="42">
        <v>45062</v>
      </c>
      <c r="K4" s="45" t="s">
        <v>195</v>
      </c>
      <c r="L4" s="10">
        <v>4</v>
      </c>
      <c r="M4" s="74">
        <f t="shared" ref="M4:M27" si="0">SUM(G4*L4)</f>
        <v>281311.92</v>
      </c>
      <c r="N4" s="74">
        <f t="shared" ref="N4:N27" si="1">SUM(H4*L4)</f>
        <v>2616.3200000000002</v>
      </c>
      <c r="O4" s="187" t="s">
        <v>160</v>
      </c>
    </row>
    <row r="5" spans="1:15" x14ac:dyDescent="0.35">
      <c r="A5" s="53">
        <v>2</v>
      </c>
      <c r="B5" s="53" t="s">
        <v>218</v>
      </c>
      <c r="C5" s="53" t="s">
        <v>12</v>
      </c>
      <c r="D5" s="185">
        <v>4510481830</v>
      </c>
      <c r="E5" s="53" t="s">
        <v>214</v>
      </c>
      <c r="F5" s="53" t="s">
        <v>217</v>
      </c>
      <c r="G5" s="181">
        <v>70327.98</v>
      </c>
      <c r="H5" s="41">
        <v>654.08000000000004</v>
      </c>
      <c r="I5" s="45" t="s">
        <v>216</v>
      </c>
      <c r="J5" s="42">
        <v>45076</v>
      </c>
      <c r="K5" s="42">
        <v>45080</v>
      </c>
      <c r="L5" s="10">
        <v>3</v>
      </c>
      <c r="M5" s="74">
        <f t="shared" si="0"/>
        <v>210983.94</v>
      </c>
      <c r="N5" s="74">
        <f t="shared" si="1"/>
        <v>1962.2400000000002</v>
      </c>
      <c r="O5" s="187" t="s">
        <v>160</v>
      </c>
    </row>
    <row r="6" spans="1:15" x14ac:dyDescent="0.35">
      <c r="A6" s="53">
        <v>3</v>
      </c>
      <c r="B6" s="53" t="s">
        <v>141</v>
      </c>
      <c r="C6" s="53" t="s">
        <v>9</v>
      </c>
      <c r="D6" s="184">
        <v>4510481830</v>
      </c>
      <c r="E6" s="53" t="s">
        <v>214</v>
      </c>
      <c r="F6" s="53" t="s">
        <v>217</v>
      </c>
      <c r="G6" s="181">
        <v>32592.94</v>
      </c>
      <c r="H6" s="41">
        <v>302.94</v>
      </c>
      <c r="I6" s="45" t="s">
        <v>216</v>
      </c>
      <c r="J6" s="42">
        <v>45076</v>
      </c>
      <c r="K6" s="42">
        <v>45080</v>
      </c>
      <c r="L6" s="10">
        <v>3</v>
      </c>
      <c r="M6" s="74">
        <f t="shared" si="0"/>
        <v>97778.819999999992</v>
      </c>
      <c r="N6" s="74">
        <f t="shared" si="1"/>
        <v>908.81999999999994</v>
      </c>
      <c r="O6" s="187" t="s">
        <v>160</v>
      </c>
    </row>
    <row r="7" spans="1:15" x14ac:dyDescent="0.35">
      <c r="A7" s="53">
        <v>4</v>
      </c>
      <c r="B7" s="53" t="s">
        <v>215</v>
      </c>
      <c r="C7" s="53" t="s">
        <v>12</v>
      </c>
      <c r="D7" s="183">
        <v>4510484370</v>
      </c>
      <c r="E7" s="53" t="s">
        <v>214</v>
      </c>
      <c r="F7" s="53" t="s">
        <v>213</v>
      </c>
      <c r="G7" s="181">
        <v>70327.98</v>
      </c>
      <c r="H7" s="41">
        <v>654.08000000000004</v>
      </c>
      <c r="I7" s="45">
        <v>44931</v>
      </c>
      <c r="J7" s="42">
        <v>45049</v>
      </c>
      <c r="K7" s="45">
        <v>45112</v>
      </c>
      <c r="L7" s="10">
        <v>4</v>
      </c>
      <c r="M7" s="74">
        <f t="shared" si="0"/>
        <v>281311.92</v>
      </c>
      <c r="N7" s="74">
        <f t="shared" si="1"/>
        <v>2616.3200000000002</v>
      </c>
      <c r="O7" s="187" t="s">
        <v>160</v>
      </c>
    </row>
    <row r="8" spans="1:15" x14ac:dyDescent="0.35">
      <c r="A8" s="53">
        <v>5</v>
      </c>
      <c r="B8" s="38" t="s">
        <v>212</v>
      </c>
      <c r="C8" s="53" t="s">
        <v>12</v>
      </c>
      <c r="D8" s="182">
        <v>4510487565</v>
      </c>
      <c r="E8" s="53" t="s">
        <v>152</v>
      </c>
      <c r="F8" s="53" t="s">
        <v>196</v>
      </c>
      <c r="G8" s="181">
        <v>70327.98</v>
      </c>
      <c r="H8" s="41">
        <v>654.08000000000004</v>
      </c>
      <c r="I8" s="42">
        <v>44990</v>
      </c>
      <c r="J8" s="42">
        <v>45062</v>
      </c>
      <c r="K8" s="45" t="s">
        <v>195</v>
      </c>
      <c r="L8" s="10">
        <v>4</v>
      </c>
      <c r="M8" s="74">
        <f t="shared" si="0"/>
        <v>281311.92</v>
      </c>
      <c r="N8" s="74">
        <f t="shared" si="1"/>
        <v>2616.3200000000002</v>
      </c>
      <c r="O8" s="187" t="s">
        <v>160</v>
      </c>
    </row>
    <row r="9" spans="1:15" x14ac:dyDescent="0.35">
      <c r="A9" s="53">
        <v>6</v>
      </c>
      <c r="B9" s="38" t="s">
        <v>211</v>
      </c>
      <c r="C9" s="53" t="s">
        <v>12</v>
      </c>
      <c r="D9" s="182">
        <v>4510487559</v>
      </c>
      <c r="E9" s="53" t="s">
        <v>152</v>
      </c>
      <c r="F9" s="53" t="s">
        <v>196</v>
      </c>
      <c r="G9" s="181">
        <v>70327.98</v>
      </c>
      <c r="H9" s="41">
        <v>654.08000000000004</v>
      </c>
      <c r="I9" s="42">
        <v>44990</v>
      </c>
      <c r="J9" s="42">
        <v>45062</v>
      </c>
      <c r="K9" s="45" t="s">
        <v>195</v>
      </c>
      <c r="L9" s="10">
        <v>4</v>
      </c>
      <c r="M9" s="74">
        <f t="shared" si="0"/>
        <v>281311.92</v>
      </c>
      <c r="N9" s="74">
        <f t="shared" si="1"/>
        <v>2616.3200000000002</v>
      </c>
      <c r="O9" s="187" t="s">
        <v>160</v>
      </c>
    </row>
    <row r="10" spans="1:15" x14ac:dyDescent="0.35">
      <c r="A10" s="53">
        <v>7</v>
      </c>
      <c r="B10" s="38" t="s">
        <v>210</v>
      </c>
      <c r="C10" s="53" t="s">
        <v>12</v>
      </c>
      <c r="D10" s="182">
        <v>4510487561</v>
      </c>
      <c r="E10" s="53" t="s">
        <v>152</v>
      </c>
      <c r="F10" s="53" t="s">
        <v>196</v>
      </c>
      <c r="G10" s="181">
        <v>70327.98</v>
      </c>
      <c r="H10" s="41">
        <v>654.08000000000004</v>
      </c>
      <c r="I10" s="42">
        <v>44990</v>
      </c>
      <c r="J10" s="42">
        <v>45062</v>
      </c>
      <c r="K10" s="45" t="s">
        <v>195</v>
      </c>
      <c r="L10" s="10">
        <v>4</v>
      </c>
      <c r="M10" s="74">
        <f t="shared" si="0"/>
        <v>281311.92</v>
      </c>
      <c r="N10" s="74">
        <f t="shared" si="1"/>
        <v>2616.3200000000002</v>
      </c>
      <c r="O10" s="187" t="s">
        <v>160</v>
      </c>
    </row>
    <row r="11" spans="1:15" x14ac:dyDescent="0.35">
      <c r="A11" s="53">
        <v>8</v>
      </c>
      <c r="B11" s="38" t="s">
        <v>209</v>
      </c>
      <c r="C11" s="53" t="s">
        <v>12</v>
      </c>
      <c r="D11" s="182">
        <v>4510487560</v>
      </c>
      <c r="E11" s="53" t="s">
        <v>152</v>
      </c>
      <c r="F11" s="53" t="s">
        <v>196</v>
      </c>
      <c r="G11" s="181">
        <v>70327.98</v>
      </c>
      <c r="H11" s="41">
        <v>654.08000000000004</v>
      </c>
      <c r="I11" s="42">
        <v>44990</v>
      </c>
      <c r="J11" s="42">
        <v>45062</v>
      </c>
      <c r="K11" s="45" t="s">
        <v>195</v>
      </c>
      <c r="L11" s="10">
        <v>4</v>
      </c>
      <c r="M11" s="74">
        <f t="shared" si="0"/>
        <v>281311.92</v>
      </c>
      <c r="N11" s="74">
        <f t="shared" si="1"/>
        <v>2616.3200000000002</v>
      </c>
      <c r="O11" s="187" t="s">
        <v>160</v>
      </c>
    </row>
    <row r="12" spans="1:15" x14ac:dyDescent="0.35">
      <c r="A12" s="53">
        <v>9</v>
      </c>
      <c r="B12" s="38" t="s">
        <v>208</v>
      </c>
      <c r="C12" s="53" t="s">
        <v>12</v>
      </c>
      <c r="D12" s="182">
        <v>4510487562</v>
      </c>
      <c r="E12" s="53" t="s">
        <v>152</v>
      </c>
      <c r="F12" s="53" t="s">
        <v>196</v>
      </c>
      <c r="G12" s="181">
        <v>70327.98</v>
      </c>
      <c r="H12" s="41">
        <v>654.08000000000004</v>
      </c>
      <c r="I12" s="42">
        <v>44990</v>
      </c>
      <c r="J12" s="42">
        <v>45062</v>
      </c>
      <c r="K12" s="45" t="s">
        <v>195</v>
      </c>
      <c r="L12" s="10">
        <v>4</v>
      </c>
      <c r="M12" s="74">
        <f t="shared" si="0"/>
        <v>281311.92</v>
      </c>
      <c r="N12" s="74">
        <f t="shared" si="1"/>
        <v>2616.3200000000002</v>
      </c>
      <c r="O12" s="187" t="s">
        <v>160</v>
      </c>
    </row>
    <row r="13" spans="1:15" x14ac:dyDescent="0.35">
      <c r="A13" s="53">
        <v>10</v>
      </c>
      <c r="B13" s="38" t="s">
        <v>207</v>
      </c>
      <c r="C13" s="53" t="s">
        <v>12</v>
      </c>
      <c r="D13" s="179">
        <v>4510484756</v>
      </c>
      <c r="E13" s="53" t="s">
        <v>152</v>
      </c>
      <c r="F13" s="53" t="s">
        <v>196</v>
      </c>
      <c r="G13" s="181">
        <v>70327.98</v>
      </c>
      <c r="H13" s="41">
        <v>654.08000000000004</v>
      </c>
      <c r="I13" s="42">
        <v>44931</v>
      </c>
      <c r="J13" s="42">
        <v>45062</v>
      </c>
      <c r="K13" s="45" t="s">
        <v>195</v>
      </c>
      <c r="L13" s="10">
        <v>4</v>
      </c>
      <c r="M13" s="74">
        <f t="shared" si="0"/>
        <v>281311.92</v>
      </c>
      <c r="N13" s="74">
        <f t="shared" si="1"/>
        <v>2616.3200000000002</v>
      </c>
      <c r="O13" s="187" t="s">
        <v>160</v>
      </c>
    </row>
    <row r="14" spans="1:15" x14ac:dyDescent="0.35">
      <c r="A14" s="53">
        <v>11</v>
      </c>
      <c r="B14" s="38" t="s">
        <v>206</v>
      </c>
      <c r="C14" s="53" t="s">
        <v>12</v>
      </c>
      <c r="D14" s="179">
        <v>4510484756</v>
      </c>
      <c r="E14" s="53" t="s">
        <v>152</v>
      </c>
      <c r="F14" s="53" t="s">
        <v>196</v>
      </c>
      <c r="G14" s="181">
        <v>70327.98</v>
      </c>
      <c r="H14" s="41">
        <v>654.08000000000004</v>
      </c>
      <c r="I14" s="42">
        <v>44931</v>
      </c>
      <c r="J14" s="42">
        <v>45062</v>
      </c>
      <c r="K14" s="45" t="s">
        <v>195</v>
      </c>
      <c r="L14" s="10">
        <v>4</v>
      </c>
      <c r="M14" s="74">
        <f t="shared" si="0"/>
        <v>281311.92</v>
      </c>
      <c r="N14" s="74">
        <f t="shared" si="1"/>
        <v>2616.3200000000002</v>
      </c>
      <c r="O14" s="187" t="s">
        <v>160</v>
      </c>
    </row>
    <row r="15" spans="1:15" x14ac:dyDescent="0.35">
      <c r="A15" s="53">
        <v>12</v>
      </c>
      <c r="B15" s="38" t="s">
        <v>205</v>
      </c>
      <c r="C15" s="53" t="s">
        <v>12</v>
      </c>
      <c r="D15" s="179">
        <v>4510485021</v>
      </c>
      <c r="E15" s="53" t="s">
        <v>152</v>
      </c>
      <c r="F15" s="53" t="s">
        <v>196</v>
      </c>
      <c r="G15" s="181">
        <v>70327.98</v>
      </c>
      <c r="H15" s="41">
        <v>654.08000000000004</v>
      </c>
      <c r="I15" s="42">
        <v>44931</v>
      </c>
      <c r="J15" s="42">
        <v>45062</v>
      </c>
      <c r="K15" s="45" t="s">
        <v>195</v>
      </c>
      <c r="L15" s="10">
        <v>4</v>
      </c>
      <c r="M15" s="74">
        <f t="shared" si="0"/>
        <v>281311.92</v>
      </c>
      <c r="N15" s="74">
        <f t="shared" si="1"/>
        <v>2616.3200000000002</v>
      </c>
      <c r="O15" s="187" t="s">
        <v>160</v>
      </c>
    </row>
    <row r="16" spans="1:15" x14ac:dyDescent="0.35">
      <c r="A16" s="53">
        <v>13</v>
      </c>
      <c r="B16" s="38" t="s">
        <v>204</v>
      </c>
      <c r="C16" s="53" t="s">
        <v>12</v>
      </c>
      <c r="D16" s="179">
        <v>4510485021</v>
      </c>
      <c r="E16" s="53" t="s">
        <v>152</v>
      </c>
      <c r="F16" s="53" t="s">
        <v>196</v>
      </c>
      <c r="G16" s="181">
        <v>70327.98</v>
      </c>
      <c r="H16" s="41">
        <v>654.08000000000004</v>
      </c>
      <c r="I16" s="42">
        <v>44931</v>
      </c>
      <c r="J16" s="42">
        <v>45062</v>
      </c>
      <c r="K16" s="45" t="s">
        <v>195</v>
      </c>
      <c r="L16" s="10">
        <v>4</v>
      </c>
      <c r="M16" s="74">
        <f t="shared" si="0"/>
        <v>281311.92</v>
      </c>
      <c r="N16" s="74">
        <f t="shared" si="1"/>
        <v>2616.3200000000002</v>
      </c>
      <c r="O16" s="187" t="s">
        <v>160</v>
      </c>
    </row>
    <row r="17" spans="1:15" x14ac:dyDescent="0.35">
      <c r="A17" s="53">
        <v>14</v>
      </c>
      <c r="B17" s="53" t="s">
        <v>203</v>
      </c>
      <c r="C17" s="53" t="s">
        <v>197</v>
      </c>
      <c r="D17" s="180">
        <v>4510485846</v>
      </c>
      <c r="E17" s="53" t="s">
        <v>152</v>
      </c>
      <c r="F17" s="53" t="s">
        <v>196</v>
      </c>
      <c r="G17" s="40">
        <v>120090.84</v>
      </c>
      <c r="H17" s="40">
        <v>1116.8800000000001</v>
      </c>
      <c r="I17" s="42">
        <v>44931</v>
      </c>
      <c r="J17" s="42">
        <v>45062</v>
      </c>
      <c r="K17" s="45" t="s">
        <v>195</v>
      </c>
      <c r="L17" s="10">
        <v>4</v>
      </c>
      <c r="M17" s="74">
        <f t="shared" si="0"/>
        <v>480363.36</v>
      </c>
      <c r="N17" s="74">
        <f t="shared" si="1"/>
        <v>4467.5200000000004</v>
      </c>
      <c r="O17" s="187" t="s">
        <v>160</v>
      </c>
    </row>
    <row r="18" spans="1:15" x14ac:dyDescent="0.35">
      <c r="A18" s="53">
        <v>15</v>
      </c>
      <c r="B18" s="53" t="s">
        <v>202</v>
      </c>
      <c r="C18" s="53" t="s">
        <v>197</v>
      </c>
      <c r="D18" s="180">
        <v>4510485846</v>
      </c>
      <c r="E18" s="53" t="s">
        <v>152</v>
      </c>
      <c r="F18" s="53" t="s">
        <v>196</v>
      </c>
      <c r="G18" s="40">
        <v>120090.84</v>
      </c>
      <c r="H18" s="40">
        <v>1116.8800000000001</v>
      </c>
      <c r="I18" s="42">
        <v>44931</v>
      </c>
      <c r="J18" s="42">
        <v>45062</v>
      </c>
      <c r="K18" s="45" t="s">
        <v>195</v>
      </c>
      <c r="L18" s="10">
        <v>4</v>
      </c>
      <c r="M18" s="74">
        <f t="shared" si="0"/>
        <v>480363.36</v>
      </c>
      <c r="N18" s="74">
        <f t="shared" si="1"/>
        <v>4467.5200000000004</v>
      </c>
      <c r="O18" s="187" t="s">
        <v>160</v>
      </c>
    </row>
    <row r="19" spans="1:15" x14ac:dyDescent="0.35">
      <c r="A19" s="53">
        <v>16</v>
      </c>
      <c r="B19" s="53" t="s">
        <v>201</v>
      </c>
      <c r="C19" s="53" t="s">
        <v>197</v>
      </c>
      <c r="D19" s="180">
        <v>4510485845</v>
      </c>
      <c r="E19" s="53" t="s">
        <v>152</v>
      </c>
      <c r="F19" s="53" t="s">
        <v>196</v>
      </c>
      <c r="G19" s="40">
        <v>120090.84</v>
      </c>
      <c r="H19" s="40">
        <v>1116.8800000000001</v>
      </c>
      <c r="I19" s="42">
        <v>44931</v>
      </c>
      <c r="J19" s="42">
        <v>45062</v>
      </c>
      <c r="K19" s="45" t="s">
        <v>195</v>
      </c>
      <c r="L19" s="10">
        <v>4</v>
      </c>
      <c r="M19" s="74">
        <f t="shared" si="0"/>
        <v>480363.36</v>
      </c>
      <c r="N19" s="74">
        <f t="shared" si="1"/>
        <v>4467.5200000000004</v>
      </c>
      <c r="O19" s="187" t="s">
        <v>160</v>
      </c>
    </row>
    <row r="20" spans="1:15" x14ac:dyDescent="0.35">
      <c r="A20" s="53">
        <v>17</v>
      </c>
      <c r="B20" s="53" t="s">
        <v>200</v>
      </c>
      <c r="C20" s="53" t="s">
        <v>197</v>
      </c>
      <c r="D20" s="180">
        <v>4510485845</v>
      </c>
      <c r="E20" s="53" t="s">
        <v>152</v>
      </c>
      <c r="F20" s="53" t="s">
        <v>196</v>
      </c>
      <c r="G20" s="40">
        <v>120090.84</v>
      </c>
      <c r="H20" s="40">
        <v>1116.8800000000001</v>
      </c>
      <c r="I20" s="42">
        <v>44931</v>
      </c>
      <c r="J20" s="42">
        <v>45062</v>
      </c>
      <c r="K20" s="45" t="s">
        <v>195</v>
      </c>
      <c r="L20" s="10">
        <v>4</v>
      </c>
      <c r="M20" s="74">
        <f t="shared" si="0"/>
        <v>480363.36</v>
      </c>
      <c r="N20" s="74">
        <f t="shared" si="1"/>
        <v>4467.5200000000004</v>
      </c>
      <c r="O20" s="187" t="s">
        <v>160</v>
      </c>
    </row>
    <row r="21" spans="1:15" x14ac:dyDescent="0.35">
      <c r="A21" s="53">
        <v>18</v>
      </c>
      <c r="B21" s="53" t="s">
        <v>199</v>
      </c>
      <c r="C21" s="53" t="s">
        <v>197</v>
      </c>
      <c r="D21" s="180">
        <v>4510485845</v>
      </c>
      <c r="E21" s="53" t="s">
        <v>152</v>
      </c>
      <c r="F21" s="53" t="s">
        <v>196</v>
      </c>
      <c r="G21" s="40">
        <v>120090.84</v>
      </c>
      <c r="H21" s="40">
        <v>1116.8800000000001</v>
      </c>
      <c r="I21" s="42">
        <v>44931</v>
      </c>
      <c r="J21" s="42">
        <v>45062</v>
      </c>
      <c r="K21" s="45" t="s">
        <v>195</v>
      </c>
      <c r="L21" s="10">
        <v>4</v>
      </c>
      <c r="M21" s="74">
        <f t="shared" si="0"/>
        <v>480363.36</v>
      </c>
      <c r="N21" s="74">
        <f t="shared" si="1"/>
        <v>4467.5200000000004</v>
      </c>
      <c r="O21" s="187" t="s">
        <v>160</v>
      </c>
    </row>
    <row r="22" spans="1:15" x14ac:dyDescent="0.35">
      <c r="A22" s="53">
        <v>19</v>
      </c>
      <c r="B22" s="53" t="s">
        <v>198</v>
      </c>
      <c r="C22" s="53" t="s">
        <v>197</v>
      </c>
      <c r="D22" s="179">
        <v>4510485123</v>
      </c>
      <c r="E22" s="53" t="s">
        <v>152</v>
      </c>
      <c r="F22" s="53" t="s">
        <v>196</v>
      </c>
      <c r="G22" s="40">
        <v>120090.84</v>
      </c>
      <c r="H22" s="40">
        <v>1116.8800000000001</v>
      </c>
      <c r="I22" s="42">
        <v>44931</v>
      </c>
      <c r="J22" s="42">
        <v>45062</v>
      </c>
      <c r="K22" s="45" t="s">
        <v>195</v>
      </c>
      <c r="L22" s="10">
        <v>4</v>
      </c>
      <c r="M22" s="74">
        <f t="shared" si="0"/>
        <v>480363.36</v>
      </c>
      <c r="N22" s="74">
        <f t="shared" si="1"/>
        <v>4467.5200000000004</v>
      </c>
      <c r="O22" s="187" t="s">
        <v>160</v>
      </c>
    </row>
    <row r="23" spans="1:15" x14ac:dyDescent="0.35">
      <c r="G23" s="43"/>
      <c r="H23" s="43"/>
      <c r="M23" s="74">
        <f t="shared" si="0"/>
        <v>0</v>
      </c>
      <c r="N23" s="74">
        <f t="shared" si="1"/>
        <v>0</v>
      </c>
      <c r="O23" s="187" t="s">
        <v>160</v>
      </c>
    </row>
    <row r="24" spans="1:15" x14ac:dyDescent="0.35">
      <c r="G24" s="43"/>
      <c r="H24" s="43"/>
      <c r="M24" s="74">
        <f t="shared" si="0"/>
        <v>0</v>
      </c>
      <c r="N24" s="74">
        <f t="shared" si="1"/>
        <v>0</v>
      </c>
      <c r="O24" s="187" t="s">
        <v>160</v>
      </c>
    </row>
    <row r="25" spans="1:15" x14ac:dyDescent="0.35">
      <c r="G25" s="43"/>
      <c r="H25" s="43"/>
      <c r="M25" s="74">
        <f t="shared" si="0"/>
        <v>0</v>
      </c>
      <c r="N25" s="74">
        <f t="shared" si="1"/>
        <v>0</v>
      </c>
      <c r="O25" s="187" t="s">
        <v>160</v>
      </c>
    </row>
    <row r="26" spans="1:15" x14ac:dyDescent="0.35">
      <c r="G26" s="43"/>
      <c r="H26" s="43"/>
      <c r="M26" s="74">
        <f t="shared" si="0"/>
        <v>0</v>
      </c>
      <c r="N26" s="74">
        <f t="shared" si="1"/>
        <v>0</v>
      </c>
      <c r="O26" s="187" t="s">
        <v>160</v>
      </c>
    </row>
    <row r="27" spans="1:15" x14ac:dyDescent="0.35">
      <c r="G27" s="43"/>
      <c r="H27" s="43"/>
      <c r="M27" s="74">
        <f t="shared" si="0"/>
        <v>0</v>
      </c>
      <c r="N27" s="74">
        <f t="shared" si="1"/>
        <v>0</v>
      </c>
      <c r="O27" s="187" t="s">
        <v>160</v>
      </c>
    </row>
    <row r="28" spans="1:15" x14ac:dyDescent="0.35">
      <c r="A28" s="49"/>
      <c r="K28" s="10" t="s">
        <v>38</v>
      </c>
      <c r="L28" s="10">
        <f>SUM(L4:L26)</f>
        <v>74</v>
      </c>
      <c r="M28" s="74">
        <f>SUBTOTAL(109,Table134569[NGN])</f>
        <v>6285374.040000001</v>
      </c>
      <c r="N28" s="74">
        <f>SUBTOTAL(109,Table134569[USD])</f>
        <v>58455.700000000012</v>
      </c>
      <c r="O28" s="101"/>
    </row>
    <row r="30" spans="1:15" x14ac:dyDescent="0.35">
      <c r="F30" s="10" t="s">
        <v>39</v>
      </c>
    </row>
    <row r="32" spans="1:15" x14ac:dyDescent="0.35">
      <c r="J32" s="10" t="s">
        <v>39</v>
      </c>
    </row>
    <row r="34" spans="12:14" x14ac:dyDescent="0.35">
      <c r="L34" s="50"/>
      <c r="M34" s="51"/>
      <c r="N34" s="50"/>
    </row>
    <row r="35" spans="12:14" x14ac:dyDescent="0.35">
      <c r="L35" s="50"/>
      <c r="M35" s="50"/>
      <c r="N35" s="50"/>
    </row>
    <row r="36" spans="12:14" x14ac:dyDescent="0.35">
      <c r="L36" s="50"/>
      <c r="M36" s="50"/>
      <c r="N36" s="50"/>
    </row>
    <row r="37" spans="12:14" x14ac:dyDescent="0.35">
      <c r="L37" s="50"/>
      <c r="M37" s="50"/>
      <c r="N37" s="50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210E-5131-43F5-8FCD-E6938774CE80}">
  <dimension ref="A1:N27"/>
  <sheetViews>
    <sheetView topLeftCell="F1" zoomScale="63" workbookViewId="0">
      <selection activeCell="N4" sqref="N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16.1796875" style="10" customWidth="1"/>
    <col min="13" max="13" width="12.453125" style="10" customWidth="1"/>
    <col min="14" max="14" width="105.54296875" style="10" customWidth="1"/>
    <col min="15" max="16384" width="8.7265625" style="10"/>
  </cols>
  <sheetData>
    <row r="1" spans="1:14" customFormat="1" ht="32.15" customHeight="1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4" customFormat="1" x14ac:dyDescent="0.35">
      <c r="C2" s="52"/>
      <c r="D2" s="52"/>
      <c r="E2" s="52"/>
      <c r="F2" s="256" t="s">
        <v>10</v>
      </c>
      <c r="G2" s="256"/>
      <c r="H2" s="53"/>
      <c r="I2" s="253" t="s">
        <v>41</v>
      </c>
      <c r="J2" s="253"/>
      <c r="K2" s="253"/>
      <c r="L2" s="253"/>
      <c r="M2" s="253"/>
    </row>
    <row r="3" spans="1:14" customFormat="1" ht="31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42</v>
      </c>
      <c r="I3" s="57" t="s">
        <v>43</v>
      </c>
      <c r="J3" s="57" t="s">
        <v>44</v>
      </c>
      <c r="K3" s="57" t="s">
        <v>8</v>
      </c>
      <c r="L3" s="54" t="s">
        <v>4</v>
      </c>
      <c r="M3" s="54" t="s">
        <v>5</v>
      </c>
      <c r="N3" s="189" t="s">
        <v>77</v>
      </c>
    </row>
    <row r="4" spans="1:14" customFormat="1" ht="19" customHeight="1" x14ac:dyDescent="0.35">
      <c r="A4" s="1">
        <v>1</v>
      </c>
      <c r="B4" s="6" t="s">
        <v>221</v>
      </c>
      <c r="C4" s="6" t="s">
        <v>12</v>
      </c>
      <c r="D4" s="6" t="s">
        <v>61</v>
      </c>
      <c r="E4" s="6" t="s">
        <v>62</v>
      </c>
      <c r="F4" s="40">
        <v>70327.98</v>
      </c>
      <c r="G4" s="41">
        <v>654.08000000000004</v>
      </c>
      <c r="H4" s="75">
        <v>45066</v>
      </c>
      <c r="I4" s="75">
        <v>45071</v>
      </c>
      <c r="J4" s="75">
        <v>45071</v>
      </c>
      <c r="K4" s="8">
        <f>J4-H4+1</f>
        <v>6</v>
      </c>
      <c r="L4" s="124">
        <f>SUM(F4*K4)</f>
        <v>421967.88</v>
      </c>
      <c r="M4" s="124">
        <f>SUM(G4*K4)</f>
        <v>3924.4800000000005</v>
      </c>
      <c r="N4" s="52" t="s">
        <v>236</v>
      </c>
    </row>
    <row r="5" spans="1:14" customFormat="1" ht="31" x14ac:dyDescent="0.35">
      <c r="A5" s="1">
        <v>2</v>
      </c>
      <c r="B5" s="6" t="s">
        <v>220</v>
      </c>
      <c r="C5" s="7" t="s">
        <v>131</v>
      </c>
      <c r="D5" s="6" t="s">
        <v>61</v>
      </c>
      <c r="E5" s="6" t="s">
        <v>62</v>
      </c>
      <c r="F5" s="40">
        <v>32592.94</v>
      </c>
      <c r="G5" s="41">
        <v>302.94</v>
      </c>
      <c r="H5" s="75">
        <v>45066</v>
      </c>
      <c r="I5" s="75">
        <v>45071</v>
      </c>
      <c r="J5" s="75">
        <v>45071</v>
      </c>
      <c r="K5" s="8">
        <f>J5-H5+1</f>
        <v>6</v>
      </c>
      <c r="L5" s="124">
        <f>SUM(F5*K5)</f>
        <v>195557.63999999998</v>
      </c>
      <c r="M5" s="124">
        <f>SUM(G5*K5)</f>
        <v>1817.6399999999999</v>
      </c>
      <c r="N5" s="52" t="s">
        <v>236</v>
      </c>
    </row>
    <row r="6" spans="1:14" customFormat="1" x14ac:dyDescent="0.35">
      <c r="A6" s="1"/>
      <c r="B6" s="6"/>
      <c r="C6" s="7"/>
      <c r="D6" s="6"/>
      <c r="E6" s="6"/>
      <c r="F6" s="40"/>
      <c r="G6" s="41"/>
      <c r="H6" s="58"/>
      <c r="I6" s="58"/>
      <c r="J6" s="58"/>
      <c r="K6" s="8"/>
      <c r="L6" s="125"/>
      <c r="M6" s="125"/>
    </row>
    <row r="7" spans="1:14" customFormat="1" x14ac:dyDescent="0.35">
      <c r="A7" s="1"/>
      <c r="B7" s="6"/>
      <c r="C7" s="7"/>
      <c r="D7" s="6"/>
      <c r="E7" s="6"/>
      <c r="F7" s="40"/>
      <c r="G7" s="41"/>
      <c r="H7" s="58"/>
      <c r="I7" s="58"/>
      <c r="J7" s="58"/>
      <c r="K7" s="8"/>
      <c r="L7" s="125"/>
      <c r="M7" s="125"/>
    </row>
    <row r="8" spans="1:14" customFormat="1" x14ac:dyDescent="0.35">
      <c r="A8" s="1"/>
      <c r="B8" s="6"/>
      <c r="C8" s="7"/>
      <c r="D8" s="6"/>
      <c r="E8" s="6"/>
      <c r="F8" s="40"/>
      <c r="G8" s="41"/>
      <c r="H8" s="58"/>
      <c r="I8" s="58"/>
      <c r="J8" s="58"/>
      <c r="K8" s="8"/>
      <c r="L8" s="125"/>
      <c r="M8" s="125"/>
    </row>
    <row r="9" spans="1:14" customFormat="1" x14ac:dyDescent="0.35">
      <c r="A9" s="1"/>
      <c r="B9" s="6"/>
      <c r="C9" s="7"/>
      <c r="D9" s="6"/>
      <c r="E9" s="6"/>
      <c r="F9" s="40"/>
      <c r="G9" s="41"/>
      <c r="H9" s="58"/>
      <c r="I9" s="58"/>
      <c r="J9" s="58"/>
      <c r="K9" s="8"/>
      <c r="L9" s="125"/>
      <c r="M9" s="125"/>
    </row>
    <row r="10" spans="1:14" customFormat="1" x14ac:dyDescent="0.35">
      <c r="A10" s="1"/>
      <c r="B10" s="6"/>
      <c r="C10" s="7"/>
      <c r="D10" s="6"/>
      <c r="E10" s="6"/>
      <c r="F10" s="40"/>
      <c r="G10" s="41"/>
      <c r="H10" s="58"/>
      <c r="I10" s="58"/>
      <c r="J10" s="58"/>
      <c r="K10" s="8"/>
      <c r="L10" s="125"/>
      <c r="M10" s="125"/>
    </row>
    <row r="11" spans="1:14" customFormat="1" ht="19" customHeight="1" x14ac:dyDescent="0.35">
      <c r="A11" s="1"/>
      <c r="B11" s="6"/>
      <c r="C11" s="6"/>
      <c r="D11" s="6"/>
      <c r="E11" s="6"/>
      <c r="F11" s="40"/>
      <c r="G11" s="41"/>
      <c r="H11" s="58"/>
      <c r="I11" s="58"/>
      <c r="J11" s="58"/>
      <c r="K11" s="8"/>
      <c r="L11" s="125"/>
      <c r="M11" s="125"/>
    </row>
    <row r="12" spans="1:14" customFormat="1" ht="21.5" x14ac:dyDescent="0.6">
      <c r="A12" s="59"/>
      <c r="B12" s="60"/>
      <c r="C12" s="61"/>
      <c r="D12" s="60"/>
      <c r="E12" s="62"/>
      <c r="F12" s="63"/>
      <c r="G12" s="64"/>
      <c r="H12" s="65"/>
      <c r="I12" s="66"/>
      <c r="J12" s="66"/>
      <c r="K12" s="67">
        <f>SUM(K4:K11)</f>
        <v>12</v>
      </c>
      <c r="L12" s="68">
        <f>SUM(L4:L11)</f>
        <v>617525.52</v>
      </c>
      <c r="M12" s="68">
        <f>SUM(M4:M11)</f>
        <v>5742.1200000000008</v>
      </c>
    </row>
    <row r="13" spans="1:14" customFormat="1" ht="14.5" x14ac:dyDescent="0.35"/>
    <row r="14" spans="1:14" customFormat="1" ht="14.5" x14ac:dyDescent="0.35">
      <c r="M14" t="s">
        <v>39</v>
      </c>
    </row>
    <row r="15" spans="1:14" x14ac:dyDescent="0.35">
      <c r="G15" s="43"/>
      <c r="H15" s="43"/>
      <c r="M15" s="43"/>
      <c r="N15" s="43"/>
    </row>
    <row r="16" spans="1:14" x14ac:dyDescent="0.35">
      <c r="G16" s="43"/>
      <c r="H16" s="43"/>
      <c r="M16" s="43"/>
      <c r="N16" s="43"/>
    </row>
    <row r="17" spans="1:14" x14ac:dyDescent="0.35">
      <c r="G17" s="43"/>
      <c r="H17" s="43"/>
      <c r="M17" s="43"/>
      <c r="N17" s="43"/>
    </row>
    <row r="18" spans="1:14" x14ac:dyDescent="0.35">
      <c r="A18" s="49"/>
    </row>
    <row r="24" spans="1:14" x14ac:dyDescent="0.35">
      <c r="L24" s="50"/>
      <c r="M24" s="51"/>
      <c r="N24" s="50"/>
    </row>
    <row r="25" spans="1:14" x14ac:dyDescent="0.35">
      <c r="L25" s="50"/>
      <c r="M25" s="50"/>
      <c r="N25" s="50"/>
    </row>
    <row r="26" spans="1:14" x14ac:dyDescent="0.35">
      <c r="L26" s="50"/>
      <c r="M26" s="50"/>
      <c r="N26" s="50"/>
    </row>
    <row r="27" spans="1:14" x14ac:dyDescent="0.35">
      <c r="L27" s="50"/>
      <c r="M27" s="50"/>
      <c r="N27" s="50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FCC3-C405-42B8-BACB-58B913AE2A21}">
  <dimension ref="A1:O32"/>
  <sheetViews>
    <sheetView topLeftCell="C1" zoomScale="63" workbookViewId="0">
      <selection activeCell="L10" sqref="L10"/>
    </sheetView>
  </sheetViews>
  <sheetFormatPr defaultColWidth="8.7265625" defaultRowHeight="15.5" x14ac:dyDescent="0.35"/>
  <cols>
    <col min="1" max="1" width="6.81640625" style="10" customWidth="1"/>
    <col min="2" max="2" width="22.7265625" style="10" customWidth="1"/>
    <col min="3" max="4" width="17.26953125" style="10" customWidth="1"/>
    <col min="5" max="5" width="20" style="10" customWidth="1"/>
    <col min="6" max="6" width="15.7265625" style="10" customWidth="1"/>
    <col min="7" max="7" width="20" style="10" customWidth="1"/>
    <col min="8" max="9" width="16.54296875" style="10" customWidth="1"/>
    <col min="10" max="10" width="20.81640625" style="10" customWidth="1"/>
    <col min="11" max="11" width="20.453125" style="10" customWidth="1"/>
    <col min="12" max="12" width="21.81640625" style="10" customWidth="1"/>
    <col min="13" max="13" width="30" style="10" customWidth="1"/>
    <col min="14" max="14" width="19.81640625" style="10" bestFit="1" customWidth="1"/>
    <col min="15" max="15" width="32.26953125" style="10" customWidth="1"/>
    <col min="16" max="16384" width="8.7265625" style="10"/>
  </cols>
  <sheetData>
    <row r="1" spans="1:15" customFormat="1" ht="32.15" customHeight="1" x14ac:dyDescent="0.55000000000000004">
      <c r="A1" s="254" t="s">
        <v>83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5" customFormat="1" x14ac:dyDescent="0.35">
      <c r="C2" s="52"/>
      <c r="D2" s="52"/>
      <c r="E2" s="52"/>
      <c r="F2" s="52"/>
      <c r="G2" s="256" t="s">
        <v>10</v>
      </c>
      <c r="H2" s="256"/>
      <c r="I2" s="53"/>
      <c r="J2" s="253" t="s">
        <v>82</v>
      </c>
      <c r="K2" s="253"/>
      <c r="L2" s="253"/>
      <c r="M2" s="253"/>
      <c r="N2" s="253"/>
    </row>
    <row r="3" spans="1:15" customFormat="1" ht="31" x14ac:dyDescent="0.35">
      <c r="A3" s="54" t="s">
        <v>0</v>
      </c>
      <c r="B3" s="54" t="s">
        <v>31</v>
      </c>
      <c r="C3" s="54" t="s">
        <v>1</v>
      </c>
      <c r="D3" s="54" t="s">
        <v>81</v>
      </c>
      <c r="E3" s="54" t="s">
        <v>2</v>
      </c>
      <c r="F3" s="54" t="s">
        <v>3</v>
      </c>
      <c r="G3" s="55" t="s">
        <v>4</v>
      </c>
      <c r="H3" s="54" t="s">
        <v>5</v>
      </c>
      <c r="I3" s="56" t="s">
        <v>137</v>
      </c>
      <c r="J3" s="57" t="s">
        <v>136</v>
      </c>
      <c r="K3" s="57" t="s">
        <v>135</v>
      </c>
      <c r="L3" s="57" t="s">
        <v>78</v>
      </c>
      <c r="M3" s="54" t="s">
        <v>4</v>
      </c>
      <c r="N3" s="54" t="s">
        <v>5</v>
      </c>
      <c r="O3" s="57" t="s">
        <v>77</v>
      </c>
    </row>
    <row r="4" spans="1:15" customFormat="1" ht="29" x14ac:dyDescent="0.35">
      <c r="A4" s="1">
        <v>1</v>
      </c>
      <c r="B4" s="6" t="s">
        <v>227</v>
      </c>
      <c r="C4" s="7" t="s">
        <v>87</v>
      </c>
      <c r="D4" s="7" t="s">
        <v>226</v>
      </c>
      <c r="E4" s="6" t="s">
        <v>97</v>
      </c>
      <c r="F4" s="6" t="s">
        <v>37</v>
      </c>
      <c r="G4" s="40">
        <v>135587.07</v>
      </c>
      <c r="H4" s="41">
        <v>1260.72</v>
      </c>
      <c r="I4" s="75">
        <v>45075</v>
      </c>
      <c r="J4" s="75">
        <v>45077</v>
      </c>
      <c r="K4" s="75">
        <v>45077</v>
      </c>
      <c r="L4" s="8">
        <v>4</v>
      </c>
      <c r="M4" s="124">
        <f>SUM(G4*L4)</f>
        <v>542348.28</v>
      </c>
      <c r="N4" s="124">
        <f>SUM(H4*L4)</f>
        <v>5042.88</v>
      </c>
      <c r="O4" s="113" t="s">
        <v>225</v>
      </c>
    </row>
    <row r="5" spans="1:15" customFormat="1" ht="15.65" customHeight="1" x14ac:dyDescent="0.35">
      <c r="A5" s="1">
        <v>2</v>
      </c>
      <c r="B5" s="6" t="s">
        <v>224</v>
      </c>
      <c r="C5" s="7" t="s">
        <v>12</v>
      </c>
      <c r="D5" s="7" t="s">
        <v>223</v>
      </c>
      <c r="E5" s="6" t="s">
        <v>97</v>
      </c>
      <c r="F5" s="6" t="s">
        <v>112</v>
      </c>
      <c r="G5" s="40">
        <v>70327.98</v>
      </c>
      <c r="H5" s="41">
        <v>654.08000000000004</v>
      </c>
      <c r="I5" s="75">
        <v>45072</v>
      </c>
      <c r="J5" s="75">
        <v>45077</v>
      </c>
      <c r="K5" s="75">
        <v>45077</v>
      </c>
      <c r="L5" s="8">
        <v>4</v>
      </c>
      <c r="M5" s="124">
        <f>SUM(G5*L5)</f>
        <v>281311.92</v>
      </c>
      <c r="N5" s="124">
        <f>SUM(H5*L5)</f>
        <v>2616.3200000000002</v>
      </c>
      <c r="O5" s="190" t="s">
        <v>222</v>
      </c>
    </row>
    <row r="6" spans="1:15" customFormat="1" ht="19" customHeight="1" x14ac:dyDescent="0.35">
      <c r="A6" s="1"/>
      <c r="B6" s="6"/>
      <c r="C6" s="6"/>
      <c r="D6" s="6"/>
      <c r="E6" s="6"/>
      <c r="F6" s="6"/>
      <c r="G6" s="40"/>
      <c r="H6" s="41"/>
      <c r="I6" s="76"/>
      <c r="J6" s="75"/>
      <c r="K6" s="75"/>
      <c r="L6" s="8"/>
      <c r="M6" s="40"/>
      <c r="N6" s="40"/>
      <c r="O6" s="107"/>
    </row>
    <row r="7" spans="1:15" customFormat="1" ht="31" customHeight="1" x14ac:dyDescent="0.35">
      <c r="A7" s="1"/>
      <c r="B7" s="6"/>
      <c r="C7" s="7"/>
      <c r="D7" s="7"/>
      <c r="E7" s="6"/>
      <c r="F7" s="6"/>
      <c r="G7" s="40"/>
      <c r="H7" s="41"/>
      <c r="I7" s="76"/>
      <c r="J7" s="75"/>
      <c r="K7" s="75"/>
      <c r="L7" s="8"/>
      <c r="M7" s="40"/>
      <c r="N7" s="40"/>
      <c r="O7" s="267"/>
    </row>
    <row r="8" spans="1:15" customFormat="1" ht="19" customHeight="1" x14ac:dyDescent="0.35">
      <c r="A8" s="1"/>
      <c r="B8" s="6"/>
      <c r="C8" s="6"/>
      <c r="D8" s="77"/>
      <c r="E8" s="6"/>
      <c r="F8" s="6"/>
      <c r="G8" s="40"/>
      <c r="H8" s="41"/>
      <c r="I8" s="76"/>
      <c r="J8" s="75"/>
      <c r="K8" s="75"/>
      <c r="L8" s="8"/>
      <c r="M8" s="40"/>
      <c r="N8" s="40"/>
      <c r="O8" s="268"/>
    </row>
    <row r="9" spans="1:15" customFormat="1" x14ac:dyDescent="0.35">
      <c r="A9" s="1"/>
      <c r="B9" s="6"/>
      <c r="C9" s="7"/>
      <c r="D9" s="7"/>
      <c r="E9" s="6"/>
      <c r="F9" s="6"/>
      <c r="G9" s="40"/>
      <c r="H9" s="41"/>
      <c r="I9" s="76"/>
      <c r="J9" s="75"/>
      <c r="K9" s="75"/>
      <c r="L9" s="8"/>
      <c r="M9" s="40"/>
      <c r="N9" s="40"/>
      <c r="O9" s="265"/>
    </row>
    <row r="10" spans="1:15" customFormat="1" ht="19" customHeight="1" x14ac:dyDescent="0.35">
      <c r="A10" s="1"/>
      <c r="B10" s="6"/>
      <c r="C10" s="6"/>
      <c r="D10" s="6"/>
      <c r="E10" s="6"/>
      <c r="F10" s="6"/>
      <c r="G10" s="40"/>
      <c r="H10" s="41"/>
      <c r="I10" s="76"/>
      <c r="J10" s="75"/>
      <c r="K10" s="75"/>
      <c r="L10" s="8"/>
      <c r="M10" s="40"/>
      <c r="N10" s="40"/>
      <c r="O10" s="266"/>
    </row>
    <row r="11" spans="1:15" customFormat="1" x14ac:dyDescent="0.35">
      <c r="A11" s="1"/>
      <c r="B11" s="6"/>
      <c r="C11" s="7"/>
      <c r="D11" s="7"/>
      <c r="E11" s="6"/>
      <c r="F11" s="6"/>
      <c r="G11" s="40"/>
      <c r="H11" s="41"/>
      <c r="I11" s="58"/>
      <c r="J11" s="58"/>
      <c r="K11" s="58"/>
      <c r="L11" s="8"/>
      <c r="M11" s="125"/>
      <c r="N11" s="125"/>
      <c r="O11" s="52"/>
    </row>
    <row r="12" spans="1:15" customFormat="1" x14ac:dyDescent="0.35">
      <c r="A12" s="1"/>
      <c r="B12" s="6"/>
      <c r="C12" s="7"/>
      <c r="D12" s="7"/>
      <c r="E12" s="6"/>
      <c r="F12" s="6"/>
      <c r="G12" s="40"/>
      <c r="H12" s="41"/>
      <c r="I12" s="58"/>
      <c r="J12" s="58"/>
      <c r="K12" s="58"/>
      <c r="L12" s="8"/>
      <c r="M12" s="125"/>
      <c r="N12" s="125"/>
      <c r="O12" s="52"/>
    </row>
    <row r="13" spans="1:15" customFormat="1" x14ac:dyDescent="0.35">
      <c r="A13" s="1"/>
      <c r="B13" s="6"/>
      <c r="C13" s="7"/>
      <c r="D13" s="7"/>
      <c r="E13" s="6"/>
      <c r="F13" s="6"/>
      <c r="G13" s="40"/>
      <c r="H13" s="41"/>
      <c r="I13" s="58"/>
      <c r="J13" s="58"/>
      <c r="K13" s="58"/>
      <c r="L13" s="8"/>
      <c r="M13" s="125"/>
      <c r="N13" s="125"/>
      <c r="O13" s="52"/>
    </row>
    <row r="14" spans="1:15" customFormat="1" x14ac:dyDescent="0.35">
      <c r="A14" s="1"/>
      <c r="B14" s="6"/>
      <c r="C14" s="7"/>
      <c r="D14" s="7"/>
      <c r="E14" s="6"/>
      <c r="F14" s="6"/>
      <c r="G14" s="40"/>
      <c r="H14" s="41"/>
      <c r="I14" s="58"/>
      <c r="J14" s="58"/>
      <c r="K14" s="58"/>
      <c r="L14" s="8"/>
      <c r="M14" s="125"/>
      <c r="N14" s="125"/>
      <c r="O14" s="52"/>
    </row>
    <row r="15" spans="1:15" customFormat="1" x14ac:dyDescent="0.35">
      <c r="A15" s="1"/>
      <c r="B15" s="6"/>
      <c r="C15" s="7"/>
      <c r="D15" s="7"/>
      <c r="E15" s="6"/>
      <c r="F15" s="6"/>
      <c r="G15" s="40"/>
      <c r="H15" s="41"/>
      <c r="I15" s="58"/>
      <c r="J15" s="58"/>
      <c r="K15" s="58"/>
      <c r="L15" s="8"/>
      <c r="M15" s="125"/>
      <c r="N15" s="125"/>
      <c r="O15" s="52"/>
    </row>
    <row r="16" spans="1:15" customFormat="1" ht="19" customHeight="1" x14ac:dyDescent="0.35">
      <c r="A16" s="1"/>
      <c r="B16" s="6"/>
      <c r="C16" s="6"/>
      <c r="D16" s="6"/>
      <c r="E16" s="6"/>
      <c r="F16" s="6"/>
      <c r="G16" s="40"/>
      <c r="H16" s="41"/>
      <c r="I16" s="58"/>
      <c r="J16" s="58"/>
      <c r="K16" s="58"/>
      <c r="L16" s="8"/>
      <c r="M16" s="125"/>
      <c r="N16" s="125"/>
      <c r="O16" s="52"/>
    </row>
    <row r="17" spans="1:15" customFormat="1" ht="21.5" x14ac:dyDescent="0.6">
      <c r="A17" s="59"/>
      <c r="B17" s="60"/>
      <c r="C17" s="61"/>
      <c r="D17" s="61"/>
      <c r="E17" s="60"/>
      <c r="F17" s="62"/>
      <c r="G17" s="63"/>
      <c r="H17" s="64"/>
      <c r="I17" s="65"/>
      <c r="J17" s="66"/>
      <c r="K17" s="66"/>
      <c r="L17" s="67">
        <f>SUM(L4:L16)</f>
        <v>8</v>
      </c>
      <c r="M17" s="68">
        <f>SUM(M4:M16)</f>
        <v>823660.2</v>
      </c>
      <c r="N17" s="68">
        <f>SUM(N4:N16)</f>
        <v>7659.2000000000007</v>
      </c>
    </row>
    <row r="18" spans="1:15" customFormat="1" ht="14.5" x14ac:dyDescent="0.35"/>
    <row r="19" spans="1:15" customFormat="1" ht="14.5" x14ac:dyDescent="0.35">
      <c r="N19" t="s">
        <v>39</v>
      </c>
    </row>
    <row r="20" spans="1:15" x14ac:dyDescent="0.35">
      <c r="H20" s="43"/>
      <c r="I20" s="43"/>
      <c r="N20" s="43"/>
      <c r="O20" s="43"/>
    </row>
    <row r="21" spans="1:15" x14ac:dyDescent="0.35">
      <c r="H21" s="43"/>
      <c r="I21" s="43"/>
      <c r="N21" s="43"/>
      <c r="O21" s="43"/>
    </row>
    <row r="22" spans="1:15" x14ac:dyDescent="0.35">
      <c r="H22" s="43"/>
      <c r="I22" s="43"/>
      <c r="N22" s="43"/>
      <c r="O22" s="43"/>
    </row>
    <row r="23" spans="1:15" x14ac:dyDescent="0.35">
      <c r="A23" s="49"/>
    </row>
    <row r="29" spans="1:15" x14ac:dyDescent="0.35">
      <c r="M29" s="50"/>
      <c r="N29" s="51"/>
      <c r="O29" s="50"/>
    </row>
    <row r="30" spans="1:15" x14ac:dyDescent="0.35">
      <c r="M30" s="50"/>
      <c r="N30" s="50"/>
      <c r="O30" s="50"/>
    </row>
    <row r="31" spans="1:15" x14ac:dyDescent="0.35">
      <c r="M31" s="50"/>
      <c r="N31" s="50"/>
      <c r="O31" s="50"/>
    </row>
    <row r="32" spans="1:15" x14ac:dyDescent="0.35">
      <c r="M32" s="50"/>
      <c r="N32" s="50"/>
      <c r="O32" s="50"/>
    </row>
  </sheetData>
  <mergeCells count="5">
    <mergeCell ref="O9:O10"/>
    <mergeCell ref="A1:N1"/>
    <mergeCell ref="G2:H2"/>
    <mergeCell ref="J2:N2"/>
    <mergeCell ref="O7:O8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565A-CF05-4F8B-B887-1E8054D2A132}">
  <dimension ref="A1:O16"/>
  <sheetViews>
    <sheetView topLeftCell="J1" workbookViewId="0">
      <selection activeCell="O3" sqref="O3:O4"/>
    </sheetView>
  </sheetViews>
  <sheetFormatPr defaultRowHeight="14.5" x14ac:dyDescent="0.35"/>
  <cols>
    <col min="1" max="1" width="3.81640625" customWidth="1"/>
    <col min="2" max="2" width="22.453125" customWidth="1"/>
    <col min="3" max="3" width="20" customWidth="1"/>
    <col min="4" max="4" width="15" customWidth="1"/>
    <col min="5" max="5" width="9.453125" customWidth="1"/>
    <col min="6" max="6" width="11.81640625" customWidth="1"/>
    <col min="7" max="7" width="12.453125" customWidth="1"/>
    <col min="8" max="8" width="10.26953125" customWidth="1"/>
    <col min="9" max="9" width="13.1796875" customWidth="1"/>
    <col min="10" max="10" width="13" customWidth="1"/>
    <col min="11" max="11" width="16.81640625" customWidth="1"/>
    <col min="12" max="12" width="9.54296875" customWidth="1"/>
    <col min="13" max="13" width="13.81640625" customWidth="1"/>
    <col min="14" max="14" width="14.54296875" customWidth="1"/>
    <col min="15" max="15" width="79" customWidth="1"/>
  </cols>
  <sheetData>
    <row r="1" spans="1:15" ht="15.5" x14ac:dyDescent="0.35">
      <c r="A1" s="10"/>
      <c r="B1" s="10"/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ht="15.5" x14ac:dyDescent="0.35">
      <c r="A2" s="10"/>
      <c r="B2" s="10"/>
      <c r="C2" s="10"/>
      <c r="D2" s="10"/>
      <c r="E2" s="10"/>
      <c r="F2" s="10"/>
      <c r="G2" s="252" t="s">
        <v>10</v>
      </c>
      <c r="H2" s="252"/>
      <c r="I2" s="10"/>
      <c r="J2" s="253" t="s">
        <v>13</v>
      </c>
      <c r="K2" s="253"/>
      <c r="L2" s="253"/>
      <c r="M2" s="253"/>
      <c r="N2" s="253"/>
    </row>
    <row r="3" spans="1:15" ht="15.5" x14ac:dyDescent="0.35">
      <c r="A3" s="12" t="s">
        <v>0</v>
      </c>
      <c r="B3" s="12" t="s">
        <v>31</v>
      </c>
      <c r="C3" s="12" t="s">
        <v>1</v>
      </c>
      <c r="D3" s="12" t="s">
        <v>32</v>
      </c>
      <c r="E3" s="12" t="s">
        <v>2</v>
      </c>
      <c r="F3" s="12" t="s">
        <v>3</v>
      </c>
      <c r="G3" s="12" t="s">
        <v>4</v>
      </c>
      <c r="H3" s="12" t="s">
        <v>5</v>
      </c>
      <c r="I3" s="12" t="s">
        <v>11</v>
      </c>
      <c r="J3" s="12" t="s">
        <v>6</v>
      </c>
      <c r="K3" s="12" t="s">
        <v>7</v>
      </c>
      <c r="L3" s="12" t="s">
        <v>8</v>
      </c>
      <c r="M3" s="12" t="s">
        <v>33</v>
      </c>
      <c r="N3" s="12" t="s">
        <v>34</v>
      </c>
      <c r="O3" s="12" t="s">
        <v>77</v>
      </c>
    </row>
    <row r="4" spans="1:15" s="165" customFormat="1" ht="16" customHeight="1" x14ac:dyDescent="0.35">
      <c r="A4" s="158">
        <v>1</v>
      </c>
      <c r="B4" s="163" t="s">
        <v>25</v>
      </c>
      <c r="C4" s="163" t="s">
        <v>12</v>
      </c>
      <c r="D4" s="168">
        <v>4510488276</v>
      </c>
      <c r="E4" s="158" t="s">
        <v>181</v>
      </c>
      <c r="F4" s="163" t="s">
        <v>180</v>
      </c>
      <c r="G4" s="162">
        <v>70327.98</v>
      </c>
      <c r="H4" s="162">
        <v>654.08000000000004</v>
      </c>
      <c r="I4" s="166">
        <v>45035</v>
      </c>
      <c r="J4" s="166">
        <v>45096</v>
      </c>
      <c r="K4" s="166">
        <v>45107</v>
      </c>
      <c r="L4" s="158">
        <v>11</v>
      </c>
      <c r="M4" s="176">
        <v>632951.81999999995</v>
      </c>
      <c r="N4" s="176">
        <f t="shared" ref="N4:N14" si="0">SUM(H4*L4)</f>
        <v>7194.88</v>
      </c>
      <c r="O4" s="9" t="s">
        <v>160</v>
      </c>
    </row>
    <row r="5" spans="1:15" s="165" customFormat="1" ht="15" customHeight="1" x14ac:dyDescent="0.35">
      <c r="A5" s="158">
        <v>2</v>
      </c>
      <c r="B5" s="163" t="s">
        <v>192</v>
      </c>
      <c r="C5" s="163" t="s">
        <v>12</v>
      </c>
      <c r="D5" s="164">
        <v>4510489729</v>
      </c>
      <c r="E5" s="158" t="s">
        <v>181</v>
      </c>
      <c r="F5" s="163" t="s">
        <v>180</v>
      </c>
      <c r="G5" s="162">
        <v>70327.98</v>
      </c>
      <c r="H5" s="162">
        <v>654.08000000000004</v>
      </c>
      <c r="I5" s="166">
        <v>45035</v>
      </c>
      <c r="J5" s="166">
        <v>45096</v>
      </c>
      <c r="K5" s="166">
        <v>45107</v>
      </c>
      <c r="L5" s="158">
        <v>11</v>
      </c>
      <c r="M5" s="176">
        <f t="shared" ref="M5:M14" si="1">SUM(G5*L5)</f>
        <v>773607.77999999991</v>
      </c>
      <c r="N5" s="176">
        <f t="shared" si="0"/>
        <v>7194.88</v>
      </c>
      <c r="O5" s="9" t="s">
        <v>160</v>
      </c>
    </row>
    <row r="6" spans="1:15" s="165" customFormat="1" ht="15" customHeight="1" x14ac:dyDescent="0.35">
      <c r="A6" s="158">
        <v>3</v>
      </c>
      <c r="B6" s="163" t="s">
        <v>191</v>
      </c>
      <c r="C6" s="163" t="s">
        <v>12</v>
      </c>
      <c r="D6" s="164">
        <v>4510489730</v>
      </c>
      <c r="E6" s="158" t="s">
        <v>181</v>
      </c>
      <c r="F6" s="163" t="s">
        <v>180</v>
      </c>
      <c r="G6" s="162">
        <v>70327.98</v>
      </c>
      <c r="H6" s="162">
        <v>654.08000000000004</v>
      </c>
      <c r="I6" s="166">
        <v>45035</v>
      </c>
      <c r="J6" s="166">
        <v>45096</v>
      </c>
      <c r="K6" s="166">
        <v>45107</v>
      </c>
      <c r="L6" s="158">
        <v>11</v>
      </c>
      <c r="M6" s="176">
        <f t="shared" si="1"/>
        <v>773607.77999999991</v>
      </c>
      <c r="N6" s="176">
        <f t="shared" si="0"/>
        <v>7194.88</v>
      </c>
      <c r="O6" s="9" t="s">
        <v>160</v>
      </c>
    </row>
    <row r="7" spans="1:15" s="165" customFormat="1" ht="15" customHeight="1" x14ac:dyDescent="0.35">
      <c r="A7" s="158">
        <v>4</v>
      </c>
      <c r="B7" s="163" t="s">
        <v>190</v>
      </c>
      <c r="C7" s="163" t="s">
        <v>12</v>
      </c>
      <c r="D7" s="164">
        <v>4510488278</v>
      </c>
      <c r="E7" s="158" t="s">
        <v>181</v>
      </c>
      <c r="F7" s="163" t="s">
        <v>180</v>
      </c>
      <c r="G7" s="162">
        <v>70327.98</v>
      </c>
      <c r="H7" s="162">
        <v>654.08000000000004</v>
      </c>
      <c r="I7" s="166">
        <v>45035</v>
      </c>
      <c r="J7" s="166">
        <v>45096</v>
      </c>
      <c r="K7" s="166">
        <v>45107</v>
      </c>
      <c r="L7" s="158">
        <v>11</v>
      </c>
      <c r="M7" s="176">
        <f t="shared" si="1"/>
        <v>773607.77999999991</v>
      </c>
      <c r="N7" s="176">
        <f t="shared" si="0"/>
        <v>7194.88</v>
      </c>
      <c r="O7" s="9" t="s">
        <v>160</v>
      </c>
    </row>
    <row r="8" spans="1:15" s="165" customFormat="1" ht="15" customHeight="1" x14ac:dyDescent="0.35">
      <c r="A8" s="158">
        <v>6</v>
      </c>
      <c r="B8" s="163" t="s">
        <v>189</v>
      </c>
      <c r="C8" s="163" t="s">
        <v>188</v>
      </c>
      <c r="D8" s="164">
        <v>4510488277</v>
      </c>
      <c r="E8" s="158" t="s">
        <v>181</v>
      </c>
      <c r="F8" s="163" t="s">
        <v>180</v>
      </c>
      <c r="G8" s="162">
        <v>109564.07</v>
      </c>
      <c r="H8" s="162">
        <v>1018.98</v>
      </c>
      <c r="I8" s="166">
        <v>45035</v>
      </c>
      <c r="J8" s="166">
        <v>45096</v>
      </c>
      <c r="K8" s="166">
        <v>45107</v>
      </c>
      <c r="L8" s="158">
        <v>11</v>
      </c>
      <c r="M8" s="176">
        <f t="shared" si="1"/>
        <v>1205204.77</v>
      </c>
      <c r="N8" s="176">
        <f t="shared" si="0"/>
        <v>11208.78</v>
      </c>
      <c r="O8" s="9" t="s">
        <v>160</v>
      </c>
    </row>
    <row r="9" spans="1:15" s="165" customFormat="1" ht="15" customHeight="1" x14ac:dyDescent="0.35">
      <c r="A9" s="158">
        <v>7</v>
      </c>
      <c r="B9" s="163" t="s">
        <v>187</v>
      </c>
      <c r="C9" s="163" t="s">
        <v>21</v>
      </c>
      <c r="D9" s="167">
        <v>4510485280</v>
      </c>
      <c r="E9" s="158" t="s">
        <v>181</v>
      </c>
      <c r="F9" s="163" t="s">
        <v>180</v>
      </c>
      <c r="G9" s="162">
        <v>35534.25</v>
      </c>
      <c r="H9" s="162">
        <v>330.48</v>
      </c>
      <c r="I9" s="166">
        <v>45035</v>
      </c>
      <c r="J9" s="166">
        <v>45089</v>
      </c>
      <c r="K9" s="166">
        <v>45107</v>
      </c>
      <c r="L9" s="158">
        <v>18</v>
      </c>
      <c r="M9" s="176">
        <f t="shared" si="1"/>
        <v>639616.5</v>
      </c>
      <c r="N9" s="176">
        <f t="shared" si="0"/>
        <v>5948.64</v>
      </c>
      <c r="O9" s="9" t="s">
        <v>160</v>
      </c>
    </row>
    <row r="10" spans="1:15" s="165" customFormat="1" ht="15" customHeight="1" x14ac:dyDescent="0.35">
      <c r="A10" s="158">
        <v>8</v>
      </c>
      <c r="B10" s="163" t="s">
        <v>186</v>
      </c>
      <c r="C10" s="163" t="s">
        <v>9</v>
      </c>
      <c r="D10" s="164">
        <v>4510488280</v>
      </c>
      <c r="E10" s="158" t="s">
        <v>181</v>
      </c>
      <c r="F10" s="163" t="s">
        <v>180</v>
      </c>
      <c r="G10" s="162">
        <v>32572.94</v>
      </c>
      <c r="H10" s="162">
        <v>302.94</v>
      </c>
      <c r="I10" s="166">
        <v>45035</v>
      </c>
      <c r="J10" s="166">
        <v>45094</v>
      </c>
      <c r="K10" s="166">
        <v>45107</v>
      </c>
      <c r="L10" s="158">
        <v>13</v>
      </c>
      <c r="M10" s="176">
        <f t="shared" si="1"/>
        <v>423448.22</v>
      </c>
      <c r="N10" s="176">
        <f t="shared" si="0"/>
        <v>3938.22</v>
      </c>
      <c r="O10" s="9" t="s">
        <v>160</v>
      </c>
    </row>
    <row r="11" spans="1:15" s="165" customFormat="1" ht="15" customHeight="1" x14ac:dyDescent="0.35">
      <c r="A11" s="158">
        <v>9</v>
      </c>
      <c r="B11" s="163" t="s">
        <v>185</v>
      </c>
      <c r="C11" s="163" t="s">
        <v>9</v>
      </c>
      <c r="D11" s="164">
        <v>4510484595</v>
      </c>
      <c r="E11" s="158" t="s">
        <v>181</v>
      </c>
      <c r="F11" s="163" t="s">
        <v>180</v>
      </c>
      <c r="G11" s="162">
        <v>32572.94</v>
      </c>
      <c r="H11" s="162">
        <v>302.94</v>
      </c>
      <c r="I11" s="166">
        <v>45035</v>
      </c>
      <c r="J11" s="166">
        <v>45093</v>
      </c>
      <c r="K11" s="166">
        <v>45107</v>
      </c>
      <c r="L11" s="158">
        <v>14</v>
      </c>
      <c r="M11" s="176">
        <f t="shared" si="1"/>
        <v>456021.16</v>
      </c>
      <c r="N11" s="176">
        <f t="shared" si="0"/>
        <v>4241.16</v>
      </c>
      <c r="O11" s="9" t="s">
        <v>160</v>
      </c>
    </row>
    <row r="12" spans="1:15" s="165" customFormat="1" ht="15" customHeight="1" x14ac:dyDescent="0.35">
      <c r="A12" s="158">
        <v>10</v>
      </c>
      <c r="B12" s="163" t="s">
        <v>184</v>
      </c>
      <c r="C12" s="163" t="s">
        <v>9</v>
      </c>
      <c r="D12" s="164">
        <v>4510488279</v>
      </c>
      <c r="E12" s="158" t="s">
        <v>181</v>
      </c>
      <c r="F12" s="163" t="s">
        <v>180</v>
      </c>
      <c r="G12" s="162">
        <v>32572.94</v>
      </c>
      <c r="H12" s="162">
        <v>302.94</v>
      </c>
      <c r="I12" s="166">
        <v>45035</v>
      </c>
      <c r="J12" s="166">
        <v>45092</v>
      </c>
      <c r="K12" s="166">
        <v>45107</v>
      </c>
      <c r="L12" s="158">
        <v>15</v>
      </c>
      <c r="M12" s="176">
        <f t="shared" si="1"/>
        <v>488594.1</v>
      </c>
      <c r="N12" s="176">
        <f t="shared" si="0"/>
        <v>4544.1000000000004</v>
      </c>
      <c r="O12" s="9" t="s">
        <v>160</v>
      </c>
    </row>
    <row r="13" spans="1:15" s="165" customFormat="1" ht="15" customHeight="1" x14ac:dyDescent="0.35">
      <c r="A13" s="158">
        <v>11</v>
      </c>
      <c r="B13" s="163" t="s">
        <v>183</v>
      </c>
      <c r="C13" s="163" t="s">
        <v>9</v>
      </c>
      <c r="D13" s="164">
        <v>4510488280</v>
      </c>
      <c r="E13" s="158" t="s">
        <v>181</v>
      </c>
      <c r="F13" s="163" t="s">
        <v>180</v>
      </c>
      <c r="G13" s="162">
        <v>32572.94</v>
      </c>
      <c r="H13" s="162">
        <v>302.94</v>
      </c>
      <c r="I13" s="166">
        <v>45035</v>
      </c>
      <c r="J13" s="166">
        <v>45091</v>
      </c>
      <c r="K13" s="166">
        <v>45107</v>
      </c>
      <c r="L13" s="158">
        <v>16</v>
      </c>
      <c r="M13" s="176">
        <f t="shared" si="1"/>
        <v>521167.04</v>
      </c>
      <c r="N13" s="176">
        <f t="shared" si="0"/>
        <v>4847.04</v>
      </c>
      <c r="O13" s="9" t="s">
        <v>160</v>
      </c>
    </row>
    <row r="14" spans="1:15" ht="15" customHeight="1" x14ac:dyDescent="0.35">
      <c r="A14" s="158">
        <v>12</v>
      </c>
      <c r="B14" s="163" t="s">
        <v>182</v>
      </c>
      <c r="C14" s="163" t="s">
        <v>9</v>
      </c>
      <c r="D14" s="164">
        <v>4510488280</v>
      </c>
      <c r="E14" s="158" t="s">
        <v>181</v>
      </c>
      <c r="F14" s="163" t="s">
        <v>180</v>
      </c>
      <c r="G14" s="162">
        <v>32572.94</v>
      </c>
      <c r="H14" s="162">
        <v>302.94</v>
      </c>
      <c r="I14" s="161">
        <v>45035</v>
      </c>
      <c r="J14" s="161">
        <v>45097</v>
      </c>
      <c r="K14" s="161">
        <v>45107</v>
      </c>
      <c r="L14" s="158">
        <v>10</v>
      </c>
      <c r="M14" s="176">
        <f t="shared" si="1"/>
        <v>325729.39999999997</v>
      </c>
      <c r="N14" s="176">
        <f t="shared" si="0"/>
        <v>3029.4</v>
      </c>
      <c r="O14" s="9" t="s">
        <v>160</v>
      </c>
    </row>
    <row r="15" spans="1:15" ht="15.5" x14ac:dyDescent="0.35">
      <c r="A15" s="160"/>
      <c r="B15" s="160"/>
      <c r="C15" s="160"/>
      <c r="D15" s="160"/>
      <c r="E15" s="160"/>
      <c r="F15" s="160"/>
      <c r="G15" s="159"/>
      <c r="H15" s="159"/>
      <c r="I15" s="160"/>
      <c r="J15" s="160"/>
      <c r="K15" s="160"/>
      <c r="L15" s="160"/>
      <c r="M15" s="159"/>
      <c r="N15" s="159"/>
      <c r="O15" s="169"/>
    </row>
    <row r="16" spans="1:15" ht="15.5" x14ac:dyDescent="0.35">
      <c r="A16" s="158"/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 t="s">
        <v>38</v>
      </c>
      <c r="M16" s="177">
        <f>SUM(M4:M15)</f>
        <v>7013556.3499999996</v>
      </c>
      <c r="N16" s="177">
        <f>SUM(N4:N15)</f>
        <v>66536.86</v>
      </c>
      <c r="O16" s="178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D4BEE-1F8F-4658-B4FC-8E125C898550}">
  <dimension ref="A1:O29"/>
  <sheetViews>
    <sheetView topLeftCell="E1" zoomScale="63" workbookViewId="0">
      <selection activeCell="O3" sqref="O3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3.26953125" style="10" bestFit="1" customWidth="1"/>
    <col min="15" max="15" width="45.1796875" style="10" customWidth="1"/>
    <col min="16" max="16384" width="8.7265625" style="10"/>
  </cols>
  <sheetData>
    <row r="1" spans="1:15" ht="32.15" customHeight="1" x14ac:dyDescent="0.35"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x14ac:dyDescent="0.35">
      <c r="G2" s="252" t="s">
        <v>10</v>
      </c>
      <c r="H2" s="252"/>
      <c r="J2" s="253" t="s">
        <v>30</v>
      </c>
      <c r="K2" s="253"/>
      <c r="L2" s="253"/>
      <c r="M2" s="253"/>
      <c r="N2" s="253"/>
    </row>
    <row r="3" spans="1:15" x14ac:dyDescent="0.35">
      <c r="A3" s="10" t="s">
        <v>0</v>
      </c>
      <c r="B3" s="10" t="s">
        <v>31</v>
      </c>
      <c r="C3" s="10" t="s">
        <v>1</v>
      </c>
      <c r="D3" s="10" t="s">
        <v>32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11</v>
      </c>
      <c r="J3" s="10" t="s">
        <v>6</v>
      </c>
      <c r="K3" s="10" t="s">
        <v>7</v>
      </c>
      <c r="L3" s="10" t="s">
        <v>8</v>
      </c>
      <c r="M3" s="10" t="s">
        <v>33</v>
      </c>
      <c r="N3" s="10" t="s">
        <v>34</v>
      </c>
      <c r="O3" s="10" t="s">
        <v>28</v>
      </c>
    </row>
    <row r="4" spans="1:15" ht="31" x14ac:dyDescent="0.35">
      <c r="A4" s="10">
        <v>1</v>
      </c>
      <c r="B4" s="38" t="s">
        <v>35</v>
      </c>
      <c r="C4" s="10" t="s">
        <v>36</v>
      </c>
      <c r="D4" s="39">
        <v>4510482357</v>
      </c>
      <c r="E4" s="10" t="s">
        <v>15</v>
      </c>
      <c r="F4" s="10" t="s">
        <v>37</v>
      </c>
      <c r="G4" s="40">
        <v>135587.07</v>
      </c>
      <c r="H4" s="41">
        <v>1260.72</v>
      </c>
      <c r="I4" s="42">
        <v>44927</v>
      </c>
      <c r="J4" s="42">
        <v>44954</v>
      </c>
      <c r="K4" s="42">
        <v>45018</v>
      </c>
      <c r="L4" s="10">
        <v>7</v>
      </c>
      <c r="M4" s="74">
        <f t="shared" ref="M4" si="0">SUM(G4*L4)</f>
        <v>949109.49</v>
      </c>
      <c r="N4" s="74">
        <f t="shared" ref="N4" si="1">SUM(H4*L4)</f>
        <v>8825.0400000000009</v>
      </c>
      <c r="O4" s="102" t="s">
        <v>99</v>
      </c>
    </row>
    <row r="5" spans="1:15" x14ac:dyDescent="0.35">
      <c r="G5" s="43"/>
      <c r="H5" s="43"/>
      <c r="M5" s="74"/>
      <c r="N5" s="74"/>
    </row>
    <row r="6" spans="1:15" x14ac:dyDescent="0.35">
      <c r="D6" s="44"/>
      <c r="G6" s="40"/>
      <c r="H6" s="40"/>
      <c r="I6" s="45"/>
      <c r="J6" s="42"/>
      <c r="K6" s="45"/>
      <c r="M6" s="74"/>
      <c r="N6" s="74"/>
    </row>
    <row r="7" spans="1:15" x14ac:dyDescent="0.35">
      <c r="G7" s="43"/>
      <c r="H7" s="43"/>
      <c r="I7" s="46"/>
      <c r="M7" s="74"/>
      <c r="N7" s="74"/>
    </row>
    <row r="8" spans="1:15" x14ac:dyDescent="0.35">
      <c r="D8" s="44"/>
      <c r="G8" s="40"/>
      <c r="H8" s="41"/>
      <c r="I8" s="45"/>
      <c r="J8" s="42"/>
      <c r="K8" s="42"/>
      <c r="M8" s="74"/>
      <c r="N8" s="74"/>
    </row>
    <row r="9" spans="1:15" x14ac:dyDescent="0.35">
      <c r="G9" s="43"/>
      <c r="H9" s="43"/>
      <c r="M9" s="74"/>
      <c r="N9" s="74"/>
    </row>
    <row r="10" spans="1:15" x14ac:dyDescent="0.35">
      <c r="D10" s="47"/>
      <c r="G10" s="41"/>
      <c r="H10" s="40"/>
      <c r="I10" s="42"/>
      <c r="J10" s="42"/>
      <c r="K10" s="42"/>
      <c r="M10" s="74"/>
      <c r="N10" s="74"/>
    </row>
    <row r="11" spans="1:15" x14ac:dyDescent="0.35">
      <c r="G11" s="43"/>
      <c r="H11" s="43"/>
      <c r="M11" s="74"/>
      <c r="N11" s="74"/>
    </row>
    <row r="12" spans="1:15" x14ac:dyDescent="0.35">
      <c r="D12" s="48"/>
      <c r="G12" s="40"/>
      <c r="H12" s="41"/>
      <c r="I12" s="42"/>
      <c r="J12" s="42"/>
      <c r="K12" s="42"/>
      <c r="M12" s="74"/>
      <c r="N12" s="74"/>
    </row>
    <row r="13" spans="1:15" x14ac:dyDescent="0.35">
      <c r="G13" s="43"/>
      <c r="H13" s="43"/>
      <c r="M13" s="74"/>
      <c r="N13" s="74"/>
    </row>
    <row r="14" spans="1:15" x14ac:dyDescent="0.35">
      <c r="D14" s="48"/>
      <c r="G14" s="40"/>
      <c r="H14" s="41"/>
      <c r="I14" s="42"/>
      <c r="J14" s="42"/>
      <c r="K14" s="42"/>
      <c r="M14" s="74"/>
      <c r="N14" s="74"/>
    </row>
    <row r="15" spans="1:15" x14ac:dyDescent="0.35">
      <c r="G15" s="43"/>
      <c r="H15" s="43"/>
      <c r="M15" s="74">
        <f t="shared" ref="M15:M19" si="2">SUM(G15*L15)</f>
        <v>0</v>
      </c>
      <c r="N15" s="74">
        <f t="shared" ref="N15:N19" si="3">SUM(H15*L15)</f>
        <v>0</v>
      </c>
    </row>
    <row r="16" spans="1:15" x14ac:dyDescent="0.35">
      <c r="G16" s="43"/>
      <c r="H16" s="43"/>
      <c r="M16" s="74">
        <f t="shared" si="2"/>
        <v>0</v>
      </c>
      <c r="N16" s="74">
        <f t="shared" si="3"/>
        <v>0</v>
      </c>
    </row>
    <row r="17" spans="1:15" x14ac:dyDescent="0.35">
      <c r="G17" s="43"/>
      <c r="H17" s="43"/>
      <c r="M17" s="74">
        <f t="shared" si="2"/>
        <v>0</v>
      </c>
      <c r="N17" s="74">
        <f t="shared" si="3"/>
        <v>0</v>
      </c>
    </row>
    <row r="18" spans="1:15" x14ac:dyDescent="0.35">
      <c r="G18" s="43"/>
      <c r="H18" s="43"/>
      <c r="M18" s="74">
        <f t="shared" si="2"/>
        <v>0</v>
      </c>
      <c r="N18" s="74">
        <f t="shared" si="3"/>
        <v>0</v>
      </c>
    </row>
    <row r="19" spans="1:15" x14ac:dyDescent="0.35">
      <c r="G19" s="43"/>
      <c r="H19" s="43"/>
      <c r="M19" s="74">
        <f t="shared" si="2"/>
        <v>0</v>
      </c>
      <c r="N19" s="74">
        <f t="shared" si="3"/>
        <v>0</v>
      </c>
    </row>
    <row r="20" spans="1:15" x14ac:dyDescent="0.35">
      <c r="A20" s="49"/>
      <c r="L20" s="10" t="s">
        <v>38</v>
      </c>
      <c r="M20" s="74">
        <f>SUBTOTAL(109,Table1[NGN])</f>
        <v>949109.49</v>
      </c>
      <c r="N20" s="74">
        <f>SUBTOTAL(109,Table1[USD])</f>
        <v>8825.0400000000009</v>
      </c>
      <c r="O20" s="101"/>
    </row>
    <row r="24" spans="1:15" x14ac:dyDescent="0.35">
      <c r="J24" s="10" t="s">
        <v>39</v>
      </c>
    </row>
    <row r="26" spans="1:15" x14ac:dyDescent="0.35">
      <c r="L26" s="50"/>
      <c r="M26" s="51"/>
      <c r="N26" s="50"/>
    </row>
    <row r="27" spans="1:15" x14ac:dyDescent="0.35">
      <c r="L27" s="50"/>
      <c r="M27" s="50"/>
      <c r="N27" s="50"/>
    </row>
    <row r="28" spans="1:15" x14ac:dyDescent="0.35">
      <c r="L28" s="50"/>
      <c r="M28" s="50"/>
      <c r="N28" s="50"/>
    </row>
    <row r="29" spans="1:15" x14ac:dyDescent="0.35">
      <c r="L29" s="50"/>
      <c r="M29" s="50"/>
      <c r="N29" s="50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CE6E-8CA0-4335-98DF-D3F0D09BB0D4}">
  <dimension ref="A1:O24"/>
  <sheetViews>
    <sheetView topLeftCell="F1" zoomScale="63" workbookViewId="0">
      <selection activeCell="O2" sqref="O2:O5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3.26953125" style="10" bestFit="1" customWidth="1"/>
    <col min="15" max="15" width="77.1796875" style="10" customWidth="1"/>
    <col min="16" max="16384" width="8.7265625" style="10"/>
  </cols>
  <sheetData>
    <row r="1" spans="1:15" ht="32.15" customHeight="1" x14ac:dyDescent="0.35"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x14ac:dyDescent="0.35">
      <c r="G2" s="252" t="s">
        <v>10</v>
      </c>
      <c r="H2" s="252"/>
      <c r="J2" s="253" t="s">
        <v>235</v>
      </c>
      <c r="K2" s="253"/>
      <c r="L2" s="253"/>
      <c r="M2" s="253"/>
      <c r="N2" s="253"/>
      <c r="O2" s="188" t="s">
        <v>77</v>
      </c>
    </row>
    <row r="3" spans="1:15" x14ac:dyDescent="0.35">
      <c r="A3" s="10" t="s">
        <v>0</v>
      </c>
      <c r="B3" s="10" t="s">
        <v>31</v>
      </c>
      <c r="C3" s="10" t="s">
        <v>1</v>
      </c>
      <c r="D3" s="10" t="s">
        <v>32</v>
      </c>
      <c r="E3" s="53" t="s">
        <v>2</v>
      </c>
      <c r="F3" s="53" t="s">
        <v>3</v>
      </c>
      <c r="G3" s="10" t="s">
        <v>4</v>
      </c>
      <c r="H3" s="10" t="s">
        <v>5</v>
      </c>
      <c r="I3" s="10" t="s">
        <v>11</v>
      </c>
      <c r="J3" s="10" t="s">
        <v>6</v>
      </c>
      <c r="K3" s="10" t="s">
        <v>7</v>
      </c>
      <c r="L3" s="10" t="s">
        <v>8</v>
      </c>
      <c r="M3" s="10" t="s">
        <v>33</v>
      </c>
      <c r="N3" s="10" t="s">
        <v>34</v>
      </c>
      <c r="O3" s="10" t="s">
        <v>193</v>
      </c>
    </row>
    <row r="4" spans="1:15" x14ac:dyDescent="0.35">
      <c r="A4" s="53">
        <v>1</v>
      </c>
      <c r="B4" s="38" t="s">
        <v>227</v>
      </c>
      <c r="C4" s="53" t="s">
        <v>87</v>
      </c>
      <c r="D4" s="186">
        <v>4510489737</v>
      </c>
      <c r="E4" s="53" t="s">
        <v>15</v>
      </c>
      <c r="F4" s="53" t="s">
        <v>37</v>
      </c>
      <c r="G4" s="40">
        <v>120090.84</v>
      </c>
      <c r="H4" s="40">
        <v>1116.8800000000001</v>
      </c>
      <c r="I4" s="42">
        <v>44932</v>
      </c>
      <c r="J4" s="42">
        <v>45083</v>
      </c>
      <c r="K4" s="45">
        <v>45266</v>
      </c>
      <c r="L4" s="10">
        <v>6</v>
      </c>
      <c r="M4" s="74">
        <f t="shared" ref="M4:M14" si="0">SUM(G4*L4)</f>
        <v>720545.04</v>
      </c>
      <c r="N4" s="74">
        <f t="shared" ref="N4:N14" si="1">SUM(H4*L4)</f>
        <v>6701.2800000000007</v>
      </c>
      <c r="O4" s="187" t="s">
        <v>160</v>
      </c>
    </row>
    <row r="5" spans="1:15" x14ac:dyDescent="0.35">
      <c r="A5" s="53">
        <v>2</v>
      </c>
      <c r="B5" s="53" t="s">
        <v>232</v>
      </c>
      <c r="C5" s="53" t="s">
        <v>131</v>
      </c>
      <c r="D5" s="186">
        <v>4510489737</v>
      </c>
      <c r="E5" s="53" t="s">
        <v>15</v>
      </c>
      <c r="F5" s="53" t="s">
        <v>37</v>
      </c>
      <c r="G5" s="40">
        <v>32592.94</v>
      </c>
      <c r="H5" s="41">
        <v>302.94</v>
      </c>
      <c r="I5" s="42">
        <v>44932</v>
      </c>
      <c r="J5" s="42">
        <v>45083</v>
      </c>
      <c r="K5" s="45">
        <v>45266</v>
      </c>
      <c r="L5" s="10">
        <v>6</v>
      </c>
      <c r="M5" s="74">
        <f t="shared" si="0"/>
        <v>195557.63999999998</v>
      </c>
      <c r="N5" s="74">
        <f t="shared" si="1"/>
        <v>1817.6399999999999</v>
      </c>
      <c r="O5" s="187" t="s">
        <v>160</v>
      </c>
    </row>
    <row r="6" spans="1:15" x14ac:dyDescent="0.35">
      <c r="A6" s="53">
        <v>3</v>
      </c>
      <c r="B6" s="53" t="s">
        <v>231</v>
      </c>
      <c r="C6" s="53" t="s">
        <v>12</v>
      </c>
      <c r="D6" s="184">
        <v>4510489746</v>
      </c>
      <c r="E6" s="53" t="s">
        <v>15</v>
      </c>
      <c r="F6" s="53" t="s">
        <v>213</v>
      </c>
      <c r="G6" s="181">
        <v>70327.98</v>
      </c>
      <c r="H6" s="41">
        <v>654.08000000000004</v>
      </c>
      <c r="I6" s="45">
        <v>45175</v>
      </c>
      <c r="J6" s="42">
        <v>45091</v>
      </c>
      <c r="K6" s="42">
        <v>45097</v>
      </c>
      <c r="L6" s="10">
        <v>6</v>
      </c>
      <c r="M6" s="74">
        <f t="shared" si="0"/>
        <v>421967.88</v>
      </c>
      <c r="N6" s="74">
        <f t="shared" si="1"/>
        <v>3924.4800000000005</v>
      </c>
      <c r="O6" s="187" t="s">
        <v>160</v>
      </c>
    </row>
    <row r="7" spans="1:15" x14ac:dyDescent="0.35">
      <c r="A7" s="53">
        <v>4</v>
      </c>
      <c r="B7" s="53" t="s">
        <v>230</v>
      </c>
      <c r="C7" s="53" t="s">
        <v>12</v>
      </c>
      <c r="D7" s="183">
        <v>4510484370</v>
      </c>
      <c r="E7" s="53" t="s">
        <v>15</v>
      </c>
      <c r="F7" s="53" t="s">
        <v>213</v>
      </c>
      <c r="G7" s="181">
        <v>70327.98</v>
      </c>
      <c r="H7" s="41">
        <v>654.08000000000004</v>
      </c>
      <c r="I7" s="45">
        <v>45175</v>
      </c>
      <c r="J7" s="42">
        <v>45091</v>
      </c>
      <c r="K7" s="42">
        <v>45097</v>
      </c>
      <c r="L7" s="10">
        <v>6</v>
      </c>
      <c r="M7" s="74">
        <f t="shared" si="0"/>
        <v>421967.88</v>
      </c>
      <c r="N7" s="74">
        <f t="shared" si="1"/>
        <v>3924.4800000000005</v>
      </c>
      <c r="O7" s="187" t="s">
        <v>160</v>
      </c>
    </row>
    <row r="8" spans="1:15" x14ac:dyDescent="0.35">
      <c r="A8" s="53">
        <v>5</v>
      </c>
      <c r="B8" s="38" t="s">
        <v>229</v>
      </c>
      <c r="C8" s="53" t="s">
        <v>21</v>
      </c>
      <c r="D8" s="184">
        <v>4510489746</v>
      </c>
      <c r="E8" s="53" t="s">
        <v>15</v>
      </c>
      <c r="F8" s="53" t="s">
        <v>213</v>
      </c>
      <c r="G8" s="40">
        <v>35534.25</v>
      </c>
      <c r="H8" s="41">
        <v>330.48</v>
      </c>
      <c r="I8" s="45">
        <v>44932</v>
      </c>
      <c r="J8" s="42">
        <v>45091</v>
      </c>
      <c r="K8" s="42">
        <v>45097</v>
      </c>
      <c r="L8" s="10">
        <v>6</v>
      </c>
      <c r="M8" s="74">
        <f t="shared" si="0"/>
        <v>213205.5</v>
      </c>
      <c r="N8" s="74">
        <f t="shared" si="1"/>
        <v>1982.88</v>
      </c>
      <c r="O8" s="187" t="s">
        <v>160</v>
      </c>
    </row>
    <row r="9" spans="1:15" x14ac:dyDescent="0.35">
      <c r="A9" s="53">
        <v>6</v>
      </c>
      <c r="B9" s="38" t="s">
        <v>228</v>
      </c>
      <c r="C9" s="53" t="s">
        <v>12</v>
      </c>
      <c r="D9" s="182">
        <v>4510488138</v>
      </c>
      <c r="E9" s="53" t="s">
        <v>26</v>
      </c>
      <c r="F9" s="53" t="s">
        <v>213</v>
      </c>
      <c r="G9" s="181">
        <v>70327.98</v>
      </c>
      <c r="H9" s="41">
        <v>654.08000000000004</v>
      </c>
      <c r="I9" s="45">
        <v>45079</v>
      </c>
      <c r="J9" s="42">
        <v>45091</v>
      </c>
      <c r="K9" s="42">
        <v>45099</v>
      </c>
      <c r="L9" s="10">
        <v>8</v>
      </c>
      <c r="M9" s="74">
        <f t="shared" si="0"/>
        <v>562623.84</v>
      </c>
      <c r="N9" s="74">
        <f t="shared" si="1"/>
        <v>5232.6400000000003</v>
      </c>
      <c r="O9" s="187" t="s">
        <v>160</v>
      </c>
    </row>
    <row r="10" spans="1:15" x14ac:dyDescent="0.35">
      <c r="G10" s="43"/>
      <c r="H10" s="43"/>
      <c r="M10" s="74">
        <f t="shared" si="0"/>
        <v>0</v>
      </c>
      <c r="N10" s="74">
        <f t="shared" si="1"/>
        <v>0</v>
      </c>
      <c r="O10" s="187" t="s">
        <v>160</v>
      </c>
    </row>
    <row r="11" spans="1:15" x14ac:dyDescent="0.35">
      <c r="G11" s="43"/>
      <c r="H11" s="43"/>
      <c r="M11" s="74">
        <f t="shared" si="0"/>
        <v>0</v>
      </c>
      <c r="N11" s="74">
        <f t="shared" si="1"/>
        <v>0</v>
      </c>
      <c r="O11" s="187" t="s">
        <v>160</v>
      </c>
    </row>
    <row r="12" spans="1:15" x14ac:dyDescent="0.35">
      <c r="G12" s="43"/>
      <c r="H12" s="43"/>
      <c r="M12" s="74">
        <f t="shared" si="0"/>
        <v>0</v>
      </c>
      <c r="N12" s="74">
        <f t="shared" si="1"/>
        <v>0</v>
      </c>
      <c r="O12" s="187" t="s">
        <v>160</v>
      </c>
    </row>
    <row r="13" spans="1:15" x14ac:dyDescent="0.35">
      <c r="G13" s="41"/>
      <c r="H13" s="40"/>
      <c r="M13" s="74">
        <f t="shared" si="0"/>
        <v>0</v>
      </c>
      <c r="N13" s="74">
        <f t="shared" si="1"/>
        <v>0</v>
      </c>
      <c r="O13" s="187" t="s">
        <v>160</v>
      </c>
    </row>
    <row r="14" spans="1:15" x14ac:dyDescent="0.35">
      <c r="G14" s="43"/>
      <c r="H14" s="43"/>
      <c r="M14" s="74">
        <f t="shared" si="0"/>
        <v>0</v>
      </c>
      <c r="N14" s="74">
        <f t="shared" si="1"/>
        <v>0</v>
      </c>
      <c r="O14" s="187" t="s">
        <v>160</v>
      </c>
    </row>
    <row r="15" spans="1:15" x14ac:dyDescent="0.35">
      <c r="A15" s="49"/>
      <c r="K15" s="10" t="s">
        <v>38</v>
      </c>
      <c r="L15" s="10">
        <f>SUM(L4:L13)</f>
        <v>38</v>
      </c>
      <c r="M15" s="74">
        <f>SUBTOTAL(109,Table134567[NGN])</f>
        <v>2535867.7799999998</v>
      </c>
      <c r="N15" s="74">
        <f>SUBTOTAL(109,Table134567[USD])</f>
        <v>23583.4</v>
      </c>
      <c r="O15" s="101"/>
    </row>
    <row r="17" spans="6:14" x14ac:dyDescent="0.35">
      <c r="F17" s="10" t="s">
        <v>39</v>
      </c>
    </row>
    <row r="19" spans="6:14" x14ac:dyDescent="0.35">
      <c r="J19" s="10" t="s">
        <v>39</v>
      </c>
    </row>
    <row r="21" spans="6:14" x14ac:dyDescent="0.35">
      <c r="L21" s="50"/>
      <c r="M21" s="51"/>
      <c r="N21" s="50"/>
    </row>
    <row r="22" spans="6:14" x14ac:dyDescent="0.35">
      <c r="L22" s="50"/>
      <c r="M22" s="50"/>
      <c r="N22" s="50"/>
    </row>
    <row r="23" spans="6:14" x14ac:dyDescent="0.35">
      <c r="L23" s="50"/>
      <c r="M23" s="50"/>
      <c r="N23" s="50"/>
    </row>
    <row r="24" spans="6:14" x14ac:dyDescent="0.35">
      <c r="L24" s="50"/>
      <c r="M24" s="50"/>
      <c r="N24" s="50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4EA2-0DFD-480B-A8A6-3EE7573311D5}">
  <dimension ref="A1:N27"/>
  <sheetViews>
    <sheetView topLeftCell="F1" zoomScale="63" workbookViewId="0">
      <selection activeCell="N3" sqref="N3:N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83.1796875" style="10" customWidth="1"/>
    <col min="15" max="16384" width="8.7265625" style="10"/>
  </cols>
  <sheetData>
    <row r="1" spans="1:14" customFormat="1" ht="32.15" customHeight="1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4" customFormat="1" x14ac:dyDescent="0.35">
      <c r="C2" s="52"/>
      <c r="D2" s="52"/>
      <c r="E2" s="52"/>
      <c r="F2" s="256" t="s">
        <v>10</v>
      </c>
      <c r="G2" s="256"/>
      <c r="H2" s="53"/>
      <c r="I2" s="253" t="s">
        <v>41</v>
      </c>
      <c r="J2" s="253"/>
      <c r="K2" s="253"/>
      <c r="L2" s="253"/>
      <c r="M2" s="253"/>
    </row>
    <row r="3" spans="1:14" customFormat="1" ht="31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42</v>
      </c>
      <c r="I3" s="57" t="s">
        <v>43</v>
      </c>
      <c r="J3" s="57" t="s">
        <v>44</v>
      </c>
      <c r="K3" s="57" t="s">
        <v>8</v>
      </c>
      <c r="L3" s="54" t="s">
        <v>4</v>
      </c>
      <c r="M3" s="54" t="s">
        <v>5</v>
      </c>
      <c r="N3" s="189" t="s">
        <v>77</v>
      </c>
    </row>
    <row r="4" spans="1:14" customFormat="1" ht="19" customHeight="1" x14ac:dyDescent="0.35">
      <c r="A4" s="1">
        <v>1</v>
      </c>
      <c r="B4" s="6" t="s">
        <v>60</v>
      </c>
      <c r="C4" s="6" t="s">
        <v>12</v>
      </c>
      <c r="D4" s="6" t="s">
        <v>61</v>
      </c>
      <c r="E4" s="6" t="s">
        <v>62</v>
      </c>
      <c r="F4" s="40">
        <v>70327.98</v>
      </c>
      <c r="G4" s="41">
        <v>654.08000000000004</v>
      </c>
      <c r="H4" s="108">
        <v>45093</v>
      </c>
      <c r="I4" s="75">
        <v>45096</v>
      </c>
      <c r="J4" s="75">
        <v>45096</v>
      </c>
      <c r="K4" s="8">
        <f>J4-H4+1</f>
        <v>4</v>
      </c>
      <c r="L4" s="124">
        <f>SUM(F4*K4)</f>
        <v>281311.92</v>
      </c>
      <c r="M4" s="124">
        <f>SUM(G4*K4)</f>
        <v>2616.3200000000002</v>
      </c>
      <c r="N4" s="52" t="s">
        <v>237</v>
      </c>
    </row>
    <row r="5" spans="1:14" customFormat="1" ht="31" x14ac:dyDescent="0.35">
      <c r="A5" s="1">
        <v>2</v>
      </c>
      <c r="B5" s="6" t="s">
        <v>139</v>
      </c>
      <c r="C5" s="7" t="s">
        <v>131</v>
      </c>
      <c r="D5" s="6" t="s">
        <v>61</v>
      </c>
      <c r="E5" s="6" t="s">
        <v>62</v>
      </c>
      <c r="F5" s="40">
        <v>32592.94</v>
      </c>
      <c r="G5" s="41">
        <v>302.94</v>
      </c>
      <c r="H5" s="108">
        <v>45093</v>
      </c>
      <c r="I5" s="75">
        <v>45096</v>
      </c>
      <c r="J5" s="75">
        <v>45096</v>
      </c>
      <c r="K5" s="8">
        <f>J5-H5+1</f>
        <v>4</v>
      </c>
      <c r="L5" s="124">
        <f>SUM(F5*K5)</f>
        <v>130371.76</v>
      </c>
      <c r="M5" s="124">
        <f>SUM(G5*K5)</f>
        <v>1211.76</v>
      </c>
      <c r="N5" s="52" t="s">
        <v>237</v>
      </c>
    </row>
    <row r="6" spans="1:14" customFormat="1" x14ac:dyDescent="0.35">
      <c r="A6" s="1"/>
      <c r="B6" s="6"/>
      <c r="C6" s="7"/>
      <c r="D6" s="6"/>
      <c r="E6" s="6"/>
      <c r="F6" s="40"/>
      <c r="G6" s="41"/>
      <c r="H6" s="58"/>
      <c r="I6" s="58"/>
      <c r="J6" s="58"/>
      <c r="K6" s="8"/>
      <c r="L6" s="125"/>
      <c r="M6" s="125"/>
      <c r="N6" s="52" t="s">
        <v>237</v>
      </c>
    </row>
    <row r="7" spans="1:14" customFormat="1" x14ac:dyDescent="0.35">
      <c r="A7" s="1"/>
      <c r="B7" s="6"/>
      <c r="C7" s="7"/>
      <c r="D7" s="6"/>
      <c r="E7" s="6"/>
      <c r="F7" s="40"/>
      <c r="G7" s="41"/>
      <c r="H7" s="58"/>
      <c r="I7" s="58"/>
      <c r="J7" s="58"/>
      <c r="K7" s="8"/>
      <c r="L7" s="125"/>
      <c r="M7" s="125"/>
    </row>
    <row r="8" spans="1:14" customFormat="1" x14ac:dyDescent="0.35">
      <c r="A8" s="1"/>
      <c r="B8" s="6"/>
      <c r="C8" s="7"/>
      <c r="D8" s="6"/>
      <c r="E8" s="6"/>
      <c r="F8" s="40"/>
      <c r="G8" s="41"/>
      <c r="H8" s="58"/>
      <c r="I8" s="58"/>
      <c r="J8" s="58"/>
      <c r="K8" s="8"/>
      <c r="L8" s="125"/>
      <c r="M8" s="125"/>
    </row>
    <row r="9" spans="1:14" customFormat="1" x14ac:dyDescent="0.35">
      <c r="A9" s="1"/>
      <c r="B9" s="6"/>
      <c r="C9" s="7"/>
      <c r="D9" s="6"/>
      <c r="E9" s="6"/>
      <c r="F9" s="40"/>
      <c r="G9" s="41"/>
      <c r="H9" s="58"/>
      <c r="I9" s="58"/>
      <c r="J9" s="58"/>
      <c r="K9" s="8"/>
      <c r="L9" s="125"/>
      <c r="M9" s="125"/>
    </row>
    <row r="10" spans="1:14" customFormat="1" x14ac:dyDescent="0.35">
      <c r="A10" s="1"/>
      <c r="B10" s="6"/>
      <c r="C10" s="7"/>
      <c r="D10" s="6"/>
      <c r="E10" s="6"/>
      <c r="F10" s="40"/>
      <c r="G10" s="41"/>
      <c r="H10" s="58"/>
      <c r="I10" s="58"/>
      <c r="J10" s="58"/>
      <c r="K10" s="8"/>
      <c r="L10" s="125"/>
      <c r="M10" s="125"/>
    </row>
    <row r="11" spans="1:14" customFormat="1" ht="19" customHeight="1" x14ac:dyDescent="0.35">
      <c r="A11" s="1"/>
      <c r="B11" s="6"/>
      <c r="C11" s="6"/>
      <c r="D11" s="6"/>
      <c r="E11" s="6"/>
      <c r="F11" s="40"/>
      <c r="G11" s="41"/>
      <c r="H11" s="58"/>
      <c r="I11" s="58"/>
      <c r="J11" s="58"/>
      <c r="K11" s="8"/>
      <c r="L11" s="125"/>
      <c r="M11" s="125"/>
    </row>
    <row r="12" spans="1:14" customFormat="1" ht="21.5" x14ac:dyDescent="0.6">
      <c r="A12" s="59"/>
      <c r="B12" s="60"/>
      <c r="C12" s="61"/>
      <c r="D12" s="60"/>
      <c r="E12" s="62"/>
      <c r="F12" s="63"/>
      <c r="G12" s="64"/>
      <c r="H12" s="65"/>
      <c r="I12" s="66"/>
      <c r="J12" s="66"/>
      <c r="K12" s="67">
        <f>SUM(K4:K11)</f>
        <v>8</v>
      </c>
      <c r="L12" s="68">
        <f>SUM(L4:L11)</f>
        <v>411683.68</v>
      </c>
      <c r="M12" s="68">
        <f>SUM(M4:M11)</f>
        <v>3828.08</v>
      </c>
    </row>
    <row r="13" spans="1:14" customFormat="1" ht="14.5" x14ac:dyDescent="0.35"/>
    <row r="14" spans="1:14" customFormat="1" ht="14.5" x14ac:dyDescent="0.35">
      <c r="M14" t="s">
        <v>39</v>
      </c>
    </row>
    <row r="15" spans="1:14" x14ac:dyDescent="0.35">
      <c r="G15" s="43"/>
      <c r="H15" s="43"/>
      <c r="M15" s="43"/>
      <c r="N15" s="43"/>
    </row>
    <row r="16" spans="1:14" x14ac:dyDescent="0.35">
      <c r="G16" s="43"/>
      <c r="H16" s="43"/>
      <c r="M16" s="43"/>
      <c r="N16" s="43"/>
    </row>
    <row r="17" spans="1:14" x14ac:dyDescent="0.35">
      <c r="G17" s="43"/>
      <c r="H17" s="43"/>
      <c r="M17" s="43"/>
      <c r="N17" s="43"/>
    </row>
    <row r="18" spans="1:14" x14ac:dyDescent="0.35">
      <c r="A18" s="49"/>
    </row>
    <row r="24" spans="1:14" x14ac:dyDescent="0.35">
      <c r="L24" s="50"/>
      <c r="M24" s="51"/>
      <c r="N24" s="50"/>
    </row>
    <row r="25" spans="1:14" x14ac:dyDescent="0.35">
      <c r="L25" s="50"/>
      <c r="M25" s="50"/>
      <c r="N25" s="50"/>
    </row>
    <row r="26" spans="1:14" x14ac:dyDescent="0.35">
      <c r="L26" s="50"/>
      <c r="M26" s="50"/>
      <c r="N26" s="50"/>
    </row>
    <row r="27" spans="1:14" x14ac:dyDescent="0.35">
      <c r="L27" s="50"/>
      <c r="M27" s="50"/>
      <c r="N27" s="50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BBAF-C54B-4187-8E89-D22F36048BFE}">
  <dimension ref="A1:O32"/>
  <sheetViews>
    <sheetView topLeftCell="C1" zoomScale="63" workbookViewId="0">
      <selection activeCell="N20" sqref="N20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4" width="17.26953125" style="10" customWidth="1"/>
    <col min="5" max="5" width="20" style="10" customWidth="1"/>
    <col min="6" max="6" width="15.7265625" style="10" customWidth="1"/>
    <col min="7" max="7" width="20" style="10" customWidth="1"/>
    <col min="8" max="9" width="16.54296875" style="10" customWidth="1"/>
    <col min="10" max="10" width="20.81640625" style="10" customWidth="1"/>
    <col min="11" max="11" width="20.453125" style="10" customWidth="1"/>
    <col min="12" max="12" width="21.81640625" style="10" customWidth="1"/>
    <col min="13" max="13" width="30" style="10" customWidth="1"/>
    <col min="14" max="14" width="19.81640625" style="10" bestFit="1" customWidth="1"/>
    <col min="15" max="15" width="25.1796875" style="10" customWidth="1"/>
    <col min="16" max="16384" width="8.7265625" style="10"/>
  </cols>
  <sheetData>
    <row r="1" spans="1:15" customFormat="1" ht="32.15" customHeight="1" x14ac:dyDescent="0.55000000000000004">
      <c r="A1" s="254" t="s">
        <v>83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5" customFormat="1" x14ac:dyDescent="0.35">
      <c r="C2" s="52"/>
      <c r="D2" s="52"/>
      <c r="E2" s="52"/>
      <c r="F2" s="52"/>
      <c r="G2" s="256" t="s">
        <v>10</v>
      </c>
      <c r="H2" s="256"/>
      <c r="I2" s="53"/>
      <c r="J2" s="253" t="s">
        <v>82</v>
      </c>
      <c r="K2" s="253"/>
      <c r="L2" s="253"/>
      <c r="M2" s="253"/>
      <c r="N2" s="253"/>
    </row>
    <row r="3" spans="1:15" customFormat="1" ht="31" x14ac:dyDescent="0.35">
      <c r="A3" s="54" t="s">
        <v>0</v>
      </c>
      <c r="B3" s="54" t="s">
        <v>31</v>
      </c>
      <c r="C3" s="54" t="s">
        <v>1</v>
      </c>
      <c r="D3" s="54" t="s">
        <v>81</v>
      </c>
      <c r="E3" s="54" t="s">
        <v>2</v>
      </c>
      <c r="F3" s="54" t="s">
        <v>3</v>
      </c>
      <c r="G3" s="55" t="s">
        <v>4</v>
      </c>
      <c r="H3" s="54" t="s">
        <v>5</v>
      </c>
      <c r="I3" s="56" t="s">
        <v>137</v>
      </c>
      <c r="J3" s="57" t="s">
        <v>136</v>
      </c>
      <c r="K3" s="57" t="s">
        <v>135</v>
      </c>
      <c r="L3" s="57" t="s">
        <v>78</v>
      </c>
      <c r="M3" s="54" t="s">
        <v>4</v>
      </c>
      <c r="N3" s="54" t="s">
        <v>5</v>
      </c>
      <c r="O3" s="57" t="s">
        <v>77</v>
      </c>
    </row>
    <row r="4" spans="1:15" customFormat="1" ht="29" x14ac:dyDescent="0.35">
      <c r="A4" s="1">
        <v>1</v>
      </c>
      <c r="B4" s="6" t="s">
        <v>215</v>
      </c>
      <c r="C4" s="7" t="s">
        <v>12</v>
      </c>
      <c r="D4" s="7" t="s">
        <v>233</v>
      </c>
      <c r="E4" s="6" t="s">
        <v>97</v>
      </c>
      <c r="F4" s="6" t="s">
        <v>37</v>
      </c>
      <c r="G4" s="40">
        <v>70327.98</v>
      </c>
      <c r="H4" s="41">
        <v>654.08000000000004</v>
      </c>
      <c r="I4" s="75">
        <v>45095</v>
      </c>
      <c r="J4" s="75">
        <v>45096</v>
      </c>
      <c r="K4" s="75">
        <v>45096</v>
      </c>
      <c r="L4" s="8">
        <v>1</v>
      </c>
      <c r="M4" s="124">
        <f>SUM(G4*L4)</f>
        <v>70327.98</v>
      </c>
      <c r="N4" s="124">
        <f>SUM(H4*L4)</f>
        <v>654.08000000000004</v>
      </c>
      <c r="O4" s="113" t="s">
        <v>225</v>
      </c>
    </row>
    <row r="5" spans="1:15" customFormat="1" x14ac:dyDescent="0.35">
      <c r="A5" s="1">
        <v>2</v>
      </c>
      <c r="B5" s="6" t="s">
        <v>234</v>
      </c>
      <c r="C5" s="7" t="s">
        <v>9</v>
      </c>
      <c r="D5" s="7" t="s">
        <v>233</v>
      </c>
      <c r="E5" s="6" t="s">
        <v>97</v>
      </c>
      <c r="F5" s="6" t="s">
        <v>59</v>
      </c>
      <c r="G5" s="40">
        <v>32592.94</v>
      </c>
      <c r="H5" s="41">
        <v>302.94</v>
      </c>
      <c r="I5" s="75">
        <v>45095</v>
      </c>
      <c r="J5" s="75">
        <v>45096</v>
      </c>
      <c r="K5" s="75">
        <v>45096</v>
      </c>
      <c r="L5" s="8">
        <v>1</v>
      </c>
      <c r="M5" s="124">
        <f>SUM(G5*L5)</f>
        <v>32592.94</v>
      </c>
      <c r="N5" s="124">
        <f>SUM(H5*L5)</f>
        <v>302.94</v>
      </c>
      <c r="O5" s="267" t="s">
        <v>222</v>
      </c>
    </row>
    <row r="6" spans="1:15" customFormat="1" ht="19" customHeight="1" x14ac:dyDescent="0.35">
      <c r="A6" s="1"/>
      <c r="B6" s="6"/>
      <c r="C6" s="6"/>
      <c r="D6" s="6"/>
      <c r="E6" s="6"/>
      <c r="F6" s="6"/>
      <c r="G6" s="40"/>
      <c r="H6" s="41"/>
      <c r="I6" s="76"/>
      <c r="J6" s="75"/>
      <c r="K6" s="75"/>
      <c r="L6" s="8"/>
      <c r="M6" s="40"/>
      <c r="N6" s="40"/>
      <c r="O6" s="268"/>
    </row>
    <row r="7" spans="1:15" customFormat="1" ht="31" customHeight="1" x14ac:dyDescent="0.35">
      <c r="A7" s="1"/>
      <c r="B7" s="6"/>
      <c r="C7" s="7"/>
      <c r="D7" s="7"/>
      <c r="E7" s="6"/>
      <c r="F7" s="6"/>
      <c r="G7" s="40"/>
      <c r="H7" s="41"/>
      <c r="I7" s="76"/>
      <c r="J7" s="75"/>
      <c r="K7" s="75"/>
      <c r="L7" s="8"/>
      <c r="M7" s="40"/>
      <c r="N7" s="40"/>
      <c r="O7" s="267"/>
    </row>
    <row r="8" spans="1:15" customFormat="1" ht="19" customHeight="1" x14ac:dyDescent="0.35">
      <c r="A8" s="1"/>
      <c r="B8" s="6"/>
      <c r="C8" s="6"/>
      <c r="D8" s="77"/>
      <c r="E8" s="6"/>
      <c r="F8" s="6"/>
      <c r="G8" s="40"/>
      <c r="H8" s="41"/>
      <c r="I8" s="76"/>
      <c r="J8" s="75"/>
      <c r="K8" s="75"/>
      <c r="L8" s="8"/>
      <c r="M8" s="40"/>
      <c r="N8" s="40"/>
      <c r="O8" s="268"/>
    </row>
    <row r="9" spans="1:15" customFormat="1" x14ac:dyDescent="0.35">
      <c r="A9" s="1"/>
      <c r="B9" s="6"/>
      <c r="C9" s="7"/>
      <c r="D9" s="7"/>
      <c r="E9" s="6"/>
      <c r="F9" s="6"/>
      <c r="G9" s="40"/>
      <c r="H9" s="41"/>
      <c r="I9" s="76"/>
      <c r="J9" s="75"/>
      <c r="K9" s="75"/>
      <c r="L9" s="8"/>
      <c r="M9" s="40"/>
      <c r="N9" s="40"/>
      <c r="O9" s="265"/>
    </row>
    <row r="10" spans="1:15" customFormat="1" ht="19" customHeight="1" x14ac:dyDescent="0.35">
      <c r="A10" s="1"/>
      <c r="B10" s="6"/>
      <c r="C10" s="6"/>
      <c r="D10" s="6"/>
      <c r="E10" s="6"/>
      <c r="F10" s="6"/>
      <c r="G10" s="40"/>
      <c r="H10" s="41"/>
      <c r="I10" s="76"/>
      <c r="J10" s="75"/>
      <c r="K10" s="75"/>
      <c r="L10" s="8"/>
      <c r="M10" s="40"/>
      <c r="N10" s="40"/>
      <c r="O10" s="266"/>
    </row>
    <row r="11" spans="1:15" customFormat="1" x14ac:dyDescent="0.35">
      <c r="A11" s="1"/>
      <c r="B11" s="6"/>
      <c r="C11" s="7"/>
      <c r="D11" s="7"/>
      <c r="E11" s="6"/>
      <c r="F11" s="6"/>
      <c r="G11" s="40"/>
      <c r="H11" s="41"/>
      <c r="I11" s="58"/>
      <c r="J11" s="58"/>
      <c r="K11" s="58"/>
      <c r="L11" s="8"/>
      <c r="M11" s="125"/>
      <c r="N11" s="125"/>
      <c r="O11" s="52"/>
    </row>
    <row r="12" spans="1:15" customFormat="1" x14ac:dyDescent="0.35">
      <c r="A12" s="1"/>
      <c r="B12" s="6"/>
      <c r="C12" s="7"/>
      <c r="D12" s="7"/>
      <c r="E12" s="6"/>
      <c r="F12" s="6"/>
      <c r="G12" s="40"/>
      <c r="H12" s="41"/>
      <c r="I12" s="58"/>
      <c r="J12" s="58"/>
      <c r="K12" s="58"/>
      <c r="L12" s="8"/>
      <c r="M12" s="125"/>
      <c r="N12" s="125"/>
      <c r="O12" s="52"/>
    </row>
    <row r="13" spans="1:15" customFormat="1" x14ac:dyDescent="0.35">
      <c r="A13" s="1"/>
      <c r="B13" s="6"/>
      <c r="C13" s="7"/>
      <c r="D13" s="7"/>
      <c r="E13" s="6"/>
      <c r="F13" s="6"/>
      <c r="G13" s="40"/>
      <c r="H13" s="41"/>
      <c r="I13" s="58"/>
      <c r="J13" s="58"/>
      <c r="K13" s="58"/>
      <c r="L13" s="8"/>
      <c r="M13" s="125"/>
      <c r="N13" s="125"/>
      <c r="O13" s="52"/>
    </row>
    <row r="14" spans="1:15" customFormat="1" x14ac:dyDescent="0.35">
      <c r="A14" s="1"/>
      <c r="B14" s="6"/>
      <c r="C14" s="7"/>
      <c r="D14" s="7"/>
      <c r="E14" s="6"/>
      <c r="F14" s="6"/>
      <c r="G14" s="40"/>
      <c r="H14" s="41"/>
      <c r="I14" s="58"/>
      <c r="J14" s="58"/>
      <c r="K14" s="58"/>
      <c r="L14" s="8"/>
      <c r="M14" s="125"/>
      <c r="N14" s="125"/>
      <c r="O14" s="52"/>
    </row>
    <row r="15" spans="1:15" customFormat="1" x14ac:dyDescent="0.35">
      <c r="A15" s="1"/>
      <c r="B15" s="6"/>
      <c r="C15" s="7"/>
      <c r="D15" s="7"/>
      <c r="E15" s="6"/>
      <c r="F15" s="6"/>
      <c r="G15" s="40"/>
      <c r="H15" s="41"/>
      <c r="I15" s="58"/>
      <c r="J15" s="58"/>
      <c r="K15" s="58"/>
      <c r="L15" s="8"/>
      <c r="M15" s="125"/>
      <c r="N15" s="125"/>
      <c r="O15" s="52"/>
    </row>
    <row r="16" spans="1:15" customFormat="1" ht="19" customHeight="1" x14ac:dyDescent="0.35">
      <c r="A16" s="1"/>
      <c r="B16" s="6"/>
      <c r="C16" s="6"/>
      <c r="D16" s="6"/>
      <c r="E16" s="6"/>
      <c r="F16" s="6"/>
      <c r="G16" s="40"/>
      <c r="H16" s="41"/>
      <c r="I16" s="58"/>
      <c r="J16" s="58"/>
      <c r="K16" s="58"/>
      <c r="L16" s="8"/>
      <c r="M16" s="125"/>
      <c r="N16" s="125"/>
      <c r="O16" s="52"/>
    </row>
    <row r="17" spans="1:15" customFormat="1" ht="21.5" x14ac:dyDescent="0.6">
      <c r="A17" s="59"/>
      <c r="B17" s="60"/>
      <c r="C17" s="61"/>
      <c r="D17" s="61"/>
      <c r="E17" s="60"/>
      <c r="F17" s="62"/>
      <c r="G17" s="63"/>
      <c r="H17" s="64"/>
      <c r="I17" s="65"/>
      <c r="J17" s="66"/>
      <c r="K17" s="66"/>
      <c r="L17" s="67">
        <f>SUM(L4:L16)</f>
        <v>2</v>
      </c>
      <c r="M17" s="68">
        <f>SUM(M4:M16)</f>
        <v>102920.92</v>
      </c>
      <c r="N17" s="68">
        <f>SUM(N4:N16)</f>
        <v>957.02</v>
      </c>
    </row>
    <row r="18" spans="1:15" customFormat="1" ht="14.5" x14ac:dyDescent="0.35"/>
    <row r="19" spans="1:15" customFormat="1" ht="14.5" x14ac:dyDescent="0.35">
      <c r="N19" t="s">
        <v>39</v>
      </c>
    </row>
    <row r="20" spans="1:15" x14ac:dyDescent="0.35">
      <c r="H20" s="43"/>
      <c r="I20" s="43"/>
      <c r="N20" s="43"/>
      <c r="O20" s="43"/>
    </row>
    <row r="21" spans="1:15" x14ac:dyDescent="0.35">
      <c r="H21" s="43"/>
      <c r="I21" s="43"/>
      <c r="N21" s="43"/>
      <c r="O21" s="43"/>
    </row>
    <row r="22" spans="1:15" x14ac:dyDescent="0.35">
      <c r="H22" s="43"/>
      <c r="I22" s="43"/>
      <c r="N22" s="43"/>
      <c r="O22" s="43"/>
    </row>
    <row r="23" spans="1:15" x14ac:dyDescent="0.35">
      <c r="A23" s="49"/>
    </row>
    <row r="29" spans="1:15" x14ac:dyDescent="0.35">
      <c r="M29" s="50"/>
      <c r="N29" s="51"/>
      <c r="O29" s="50"/>
    </row>
    <row r="30" spans="1:15" x14ac:dyDescent="0.35">
      <c r="M30" s="50"/>
      <c r="N30" s="50"/>
      <c r="O30" s="50"/>
    </row>
    <row r="31" spans="1:15" x14ac:dyDescent="0.35">
      <c r="M31" s="50"/>
      <c r="N31" s="50"/>
      <c r="O31" s="50"/>
    </row>
    <row r="32" spans="1:15" x14ac:dyDescent="0.35">
      <c r="M32" s="50"/>
      <c r="N32" s="50"/>
      <c r="O32" s="50"/>
    </row>
  </sheetData>
  <mergeCells count="6">
    <mergeCell ref="O9:O10"/>
    <mergeCell ref="A1:N1"/>
    <mergeCell ref="G2:H2"/>
    <mergeCell ref="J2:N2"/>
    <mergeCell ref="O5:O6"/>
    <mergeCell ref="O7:O8"/>
  </mergeCells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67F7-66EC-4E82-B27B-F0AC0FBD1189}">
  <dimension ref="A1:O24"/>
  <sheetViews>
    <sheetView zoomScale="63" workbookViewId="0">
      <selection activeCell="M21" sqref="M21"/>
    </sheetView>
  </sheetViews>
  <sheetFormatPr defaultColWidth="8.7265625" defaultRowHeight="15.5" x14ac:dyDescent="0.35"/>
  <cols>
    <col min="1" max="1" width="6.81640625" style="83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15.453125" style="10" customWidth="1"/>
    <col min="13" max="13" width="19.81640625" style="10" bestFit="1" customWidth="1"/>
    <col min="14" max="14" width="13.26953125" style="10" bestFit="1" customWidth="1"/>
    <col min="15" max="15" width="116.7265625" style="10" customWidth="1"/>
    <col min="16" max="16384" width="8.7265625" style="10"/>
  </cols>
  <sheetData>
    <row r="1" spans="1:15" ht="32.15" customHeight="1" x14ac:dyDescent="0.35"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x14ac:dyDescent="0.35">
      <c r="G2" s="252" t="s">
        <v>10</v>
      </c>
      <c r="H2" s="252"/>
      <c r="J2" s="253" t="s">
        <v>30</v>
      </c>
      <c r="K2" s="253"/>
      <c r="L2" s="253"/>
      <c r="M2" s="253"/>
      <c r="N2" s="253"/>
      <c r="O2" s="269" t="s">
        <v>77</v>
      </c>
    </row>
    <row r="3" spans="1:15" x14ac:dyDescent="0.35">
      <c r="A3" s="83" t="s">
        <v>0</v>
      </c>
      <c r="B3" s="10" t="s">
        <v>31</v>
      </c>
      <c r="C3" s="10" t="s">
        <v>1</v>
      </c>
      <c r="D3" s="10" t="s">
        <v>32</v>
      </c>
      <c r="E3" s="53" t="s">
        <v>2</v>
      </c>
      <c r="F3" s="53" t="s">
        <v>3</v>
      </c>
      <c r="G3" s="10" t="s">
        <v>4</v>
      </c>
      <c r="H3" s="10" t="s">
        <v>5</v>
      </c>
      <c r="I3" s="10" t="s">
        <v>11</v>
      </c>
      <c r="J3" s="10" t="s">
        <v>6</v>
      </c>
      <c r="K3" s="10" t="s">
        <v>7</v>
      </c>
      <c r="L3" s="10" t="s">
        <v>8</v>
      </c>
      <c r="M3" s="10" t="s">
        <v>33</v>
      </c>
      <c r="N3" s="10" t="s">
        <v>34</v>
      </c>
      <c r="O3" s="270"/>
    </row>
    <row r="4" spans="1:15" x14ac:dyDescent="0.35">
      <c r="A4" s="194">
        <v>1</v>
      </c>
      <c r="B4" s="38" t="s">
        <v>238</v>
      </c>
      <c r="C4" s="53" t="s">
        <v>239</v>
      </c>
      <c r="D4" s="192">
        <v>4510490457</v>
      </c>
      <c r="E4" s="53" t="s">
        <v>15</v>
      </c>
      <c r="F4" s="53" t="s">
        <v>213</v>
      </c>
      <c r="G4" s="181">
        <v>70327.98</v>
      </c>
      <c r="H4" s="41">
        <v>654.08000000000004</v>
      </c>
      <c r="I4" s="42">
        <v>45023</v>
      </c>
      <c r="J4" s="42">
        <v>45121</v>
      </c>
      <c r="K4" s="45" t="s">
        <v>240</v>
      </c>
      <c r="L4" s="10">
        <v>14</v>
      </c>
      <c r="M4" s="74">
        <f t="shared" ref="M4:M14" si="0">SUM(G4*L4)</f>
        <v>984591.72</v>
      </c>
      <c r="N4" s="74">
        <f t="shared" ref="N4:N14" si="1">SUM(H4*L4)</f>
        <v>9157.1200000000008</v>
      </c>
      <c r="O4" s="187" t="s">
        <v>302</v>
      </c>
    </row>
    <row r="5" spans="1:15" x14ac:dyDescent="0.35">
      <c r="A5" s="194">
        <v>2</v>
      </c>
      <c r="B5" s="38" t="s">
        <v>118</v>
      </c>
      <c r="C5" s="53" t="s">
        <v>239</v>
      </c>
      <c r="D5" s="192">
        <v>4510490457</v>
      </c>
      <c r="E5" s="53" t="s">
        <v>15</v>
      </c>
      <c r="F5" s="53" t="s">
        <v>213</v>
      </c>
      <c r="G5" s="181">
        <v>70327.98</v>
      </c>
      <c r="H5" s="41">
        <v>654.08000000000004</v>
      </c>
      <c r="I5" s="42">
        <v>45267</v>
      </c>
      <c r="J5" s="42">
        <v>45129</v>
      </c>
      <c r="K5" s="45" t="s">
        <v>241</v>
      </c>
      <c r="L5" s="10">
        <v>8</v>
      </c>
      <c r="M5" s="74">
        <f t="shared" si="0"/>
        <v>562623.84</v>
      </c>
      <c r="N5" s="74">
        <f t="shared" si="1"/>
        <v>5232.6400000000003</v>
      </c>
      <c r="O5" s="187" t="s">
        <v>302</v>
      </c>
    </row>
    <row r="6" spans="1:15" x14ac:dyDescent="0.35">
      <c r="A6" s="194">
        <v>3</v>
      </c>
      <c r="B6" s="53" t="s">
        <v>242</v>
      </c>
      <c r="C6" s="53" t="s">
        <v>12</v>
      </c>
      <c r="D6" s="109">
        <v>4510490812</v>
      </c>
      <c r="E6" s="53" t="s">
        <v>61</v>
      </c>
      <c r="F6" s="53" t="s">
        <v>68</v>
      </c>
      <c r="G6" s="181">
        <v>70327.98</v>
      </c>
      <c r="H6" s="41">
        <v>654.08000000000004</v>
      </c>
      <c r="I6" s="45" t="s">
        <v>243</v>
      </c>
      <c r="J6" s="42">
        <v>45132</v>
      </c>
      <c r="K6" s="42">
        <v>45138</v>
      </c>
      <c r="L6" s="10">
        <v>6</v>
      </c>
      <c r="M6" s="74">
        <f t="shared" si="0"/>
        <v>421967.88</v>
      </c>
      <c r="N6" s="74">
        <f t="shared" si="1"/>
        <v>3924.4800000000005</v>
      </c>
      <c r="O6" s="187" t="s">
        <v>302</v>
      </c>
    </row>
    <row r="7" spans="1:15" x14ac:dyDescent="0.35">
      <c r="A7" s="194">
        <v>4</v>
      </c>
      <c r="B7" s="53" t="s">
        <v>134</v>
      </c>
      <c r="C7" s="53" t="s">
        <v>144</v>
      </c>
      <c r="D7" s="109">
        <v>4510490812</v>
      </c>
      <c r="E7" s="53" t="s">
        <v>61</v>
      </c>
      <c r="F7" s="53" t="s">
        <v>68</v>
      </c>
      <c r="G7" s="40">
        <v>37015.29</v>
      </c>
      <c r="H7" s="41">
        <v>344.25</v>
      </c>
      <c r="I7" s="45" t="s">
        <v>243</v>
      </c>
      <c r="J7" s="42">
        <v>45132</v>
      </c>
      <c r="K7" s="42">
        <v>45138</v>
      </c>
      <c r="L7" s="10">
        <v>6</v>
      </c>
      <c r="M7" s="74">
        <f t="shared" si="0"/>
        <v>222091.74</v>
      </c>
      <c r="N7" s="74">
        <f t="shared" si="1"/>
        <v>2065.5</v>
      </c>
      <c r="O7" s="187" t="s">
        <v>302</v>
      </c>
    </row>
    <row r="8" spans="1:15" x14ac:dyDescent="0.35">
      <c r="A8" s="194">
        <v>5</v>
      </c>
      <c r="B8" s="38" t="s">
        <v>244</v>
      </c>
      <c r="C8" s="53" t="s">
        <v>12</v>
      </c>
      <c r="D8" s="193">
        <v>4510490455</v>
      </c>
      <c r="E8" s="53" t="s">
        <v>15</v>
      </c>
      <c r="F8" s="53" t="s">
        <v>213</v>
      </c>
      <c r="G8" s="181">
        <v>70327.98</v>
      </c>
      <c r="H8" s="41">
        <v>654.08000000000004</v>
      </c>
      <c r="I8" s="42">
        <v>45267</v>
      </c>
      <c r="J8" s="42">
        <v>45129</v>
      </c>
      <c r="K8" s="45" t="s">
        <v>241</v>
      </c>
      <c r="L8" s="10">
        <v>8</v>
      </c>
      <c r="M8" s="74">
        <f t="shared" si="0"/>
        <v>562623.84</v>
      </c>
      <c r="N8" s="74">
        <f t="shared" si="1"/>
        <v>5232.6400000000003</v>
      </c>
      <c r="O8" s="187" t="s">
        <v>302</v>
      </c>
    </row>
    <row r="9" spans="1:15" x14ac:dyDescent="0.35">
      <c r="A9" s="194">
        <v>6</v>
      </c>
      <c r="B9" s="38" t="s">
        <v>245</v>
      </c>
      <c r="C9" s="53" t="s">
        <v>12</v>
      </c>
      <c r="D9" s="192">
        <v>4510489711</v>
      </c>
      <c r="E9" s="53" t="s">
        <v>15</v>
      </c>
      <c r="F9" s="53" t="s">
        <v>112</v>
      </c>
      <c r="G9" s="181">
        <v>70327.98</v>
      </c>
      <c r="H9" s="41">
        <v>654.08000000000004</v>
      </c>
      <c r="I9" s="42">
        <v>45267</v>
      </c>
      <c r="J9" s="42">
        <v>45136</v>
      </c>
      <c r="K9" s="45">
        <v>45054</v>
      </c>
      <c r="L9" s="10">
        <v>7</v>
      </c>
      <c r="M9" s="74">
        <f t="shared" si="0"/>
        <v>492295.86</v>
      </c>
      <c r="N9" s="74">
        <f t="shared" si="1"/>
        <v>4578.5600000000004</v>
      </c>
      <c r="O9" s="187" t="s">
        <v>302</v>
      </c>
    </row>
    <row r="10" spans="1:15" x14ac:dyDescent="0.35">
      <c r="G10" s="43"/>
      <c r="H10" s="43"/>
      <c r="M10" s="74">
        <f t="shared" si="0"/>
        <v>0</v>
      </c>
      <c r="N10" s="74">
        <f t="shared" si="1"/>
        <v>0</v>
      </c>
    </row>
    <row r="11" spans="1:15" x14ac:dyDescent="0.35">
      <c r="G11" s="43"/>
      <c r="H11" s="43"/>
      <c r="M11" s="74">
        <f t="shared" si="0"/>
        <v>0</v>
      </c>
      <c r="N11" s="74">
        <f t="shared" si="1"/>
        <v>0</v>
      </c>
    </row>
    <row r="12" spans="1:15" x14ac:dyDescent="0.35">
      <c r="G12" s="43"/>
      <c r="H12" s="43"/>
      <c r="M12" s="74">
        <f t="shared" si="0"/>
        <v>0</v>
      </c>
      <c r="N12" s="74">
        <f t="shared" si="1"/>
        <v>0</v>
      </c>
    </row>
    <row r="13" spans="1:15" x14ac:dyDescent="0.35">
      <c r="G13" s="41"/>
      <c r="H13" s="40"/>
      <c r="M13" s="74">
        <f t="shared" si="0"/>
        <v>0</v>
      </c>
      <c r="N13" s="74">
        <f t="shared" si="1"/>
        <v>0</v>
      </c>
    </row>
    <row r="14" spans="1:15" x14ac:dyDescent="0.35">
      <c r="G14" s="43"/>
      <c r="H14" s="43"/>
      <c r="M14" s="74">
        <f t="shared" si="0"/>
        <v>0</v>
      </c>
      <c r="N14" s="74">
        <f t="shared" si="1"/>
        <v>0</v>
      </c>
    </row>
    <row r="15" spans="1:15" x14ac:dyDescent="0.35">
      <c r="A15" s="84"/>
      <c r="K15" s="10" t="s">
        <v>38</v>
      </c>
      <c r="L15" s="10">
        <f>SUM(L4:L13)</f>
        <v>49</v>
      </c>
      <c r="M15" s="74">
        <f>SUBTOTAL(109,Table1345678[NGN])</f>
        <v>3246194.8799999994</v>
      </c>
      <c r="N15" s="74">
        <f>SUBTOTAL(109,Table1345678[USD])</f>
        <v>30190.940000000002</v>
      </c>
    </row>
    <row r="17" spans="6:14" x14ac:dyDescent="0.35">
      <c r="F17" s="10" t="s">
        <v>39</v>
      </c>
    </row>
    <row r="19" spans="6:14" x14ac:dyDescent="0.35">
      <c r="J19" s="10" t="s">
        <v>39</v>
      </c>
    </row>
    <row r="21" spans="6:14" x14ac:dyDescent="0.35">
      <c r="L21" s="50"/>
      <c r="M21" s="51"/>
      <c r="N21" s="50"/>
    </row>
    <row r="22" spans="6:14" x14ac:dyDescent="0.35">
      <c r="L22" s="50"/>
      <c r="M22" s="50"/>
      <c r="N22" s="50"/>
    </row>
    <row r="23" spans="6:14" x14ac:dyDescent="0.35">
      <c r="L23" s="50"/>
      <c r="M23" s="50"/>
      <c r="N23" s="50"/>
    </row>
    <row r="24" spans="6:14" x14ac:dyDescent="0.35">
      <c r="L24" s="50"/>
      <c r="M24" s="50"/>
      <c r="N24" s="50"/>
    </row>
  </sheetData>
  <mergeCells count="4">
    <mergeCell ref="C1:N1"/>
    <mergeCell ref="G2:H2"/>
    <mergeCell ref="J2:N2"/>
    <mergeCell ref="O2:O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6749-3CF2-478B-B88F-6E5C18C8F25A}">
  <dimension ref="A1:N27"/>
  <sheetViews>
    <sheetView zoomScale="63" workbookViewId="0">
      <selection activeCell="K23" sqref="K23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3.26953125" style="10" bestFit="1" customWidth="1"/>
    <col min="15" max="16384" width="8.7265625" style="10"/>
  </cols>
  <sheetData>
    <row r="1" spans="1:14" customFormat="1" ht="32.15" customHeight="1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  <c r="N1" s="269" t="s">
        <v>77</v>
      </c>
    </row>
    <row r="2" spans="1:14" customFormat="1" x14ac:dyDescent="0.35">
      <c r="C2" s="52"/>
      <c r="D2" s="52"/>
      <c r="E2" s="52"/>
      <c r="F2" s="256" t="s">
        <v>10</v>
      </c>
      <c r="G2" s="256"/>
      <c r="H2" s="53"/>
      <c r="I2" s="253" t="s">
        <v>41</v>
      </c>
      <c r="J2" s="253"/>
      <c r="K2" s="253"/>
      <c r="L2" s="253"/>
      <c r="M2" s="253"/>
      <c r="N2" s="270"/>
    </row>
    <row r="3" spans="1:14" customFormat="1" ht="31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42</v>
      </c>
      <c r="I3" s="57" t="s">
        <v>43</v>
      </c>
      <c r="J3" s="57" t="s">
        <v>44</v>
      </c>
      <c r="K3" s="57" t="s">
        <v>8</v>
      </c>
      <c r="L3" s="54" t="s">
        <v>4</v>
      </c>
      <c r="M3" s="54" t="s">
        <v>5</v>
      </c>
      <c r="N3" s="52"/>
    </row>
    <row r="4" spans="1:14" customFormat="1" ht="19" customHeight="1" x14ac:dyDescent="0.35">
      <c r="A4" s="1"/>
      <c r="B4" s="6"/>
      <c r="C4" s="6"/>
      <c r="D4" s="6"/>
      <c r="E4" s="6"/>
      <c r="F4" s="40"/>
      <c r="G4" s="41"/>
      <c r="H4" s="108"/>
      <c r="I4" s="75"/>
      <c r="J4" s="75"/>
      <c r="K4" s="8"/>
      <c r="L4" s="112"/>
      <c r="M4" s="112"/>
      <c r="N4" s="52"/>
    </row>
    <row r="5" spans="1:14" customFormat="1" x14ac:dyDescent="0.35">
      <c r="A5" s="1"/>
      <c r="B5" s="6"/>
      <c r="C5" s="7"/>
      <c r="D5" s="6"/>
      <c r="E5" s="6"/>
      <c r="F5" s="40"/>
      <c r="G5" s="41"/>
      <c r="H5" s="108"/>
      <c r="I5" s="75"/>
      <c r="J5" s="75"/>
      <c r="K5" s="8"/>
      <c r="L5" s="112"/>
      <c r="M5" s="112"/>
      <c r="N5" s="52"/>
    </row>
    <row r="6" spans="1:14" customFormat="1" x14ac:dyDescent="0.35">
      <c r="A6" s="1"/>
      <c r="B6" s="6"/>
      <c r="C6" s="7"/>
      <c r="D6" s="6"/>
      <c r="E6" s="6"/>
      <c r="F6" s="40"/>
      <c r="G6" s="41"/>
      <c r="H6" s="58"/>
      <c r="I6" s="58"/>
      <c r="J6" s="58"/>
      <c r="K6" s="8"/>
      <c r="L6" s="9"/>
      <c r="M6" s="9"/>
      <c r="N6" s="52"/>
    </row>
    <row r="7" spans="1:14" customFormat="1" x14ac:dyDescent="0.35">
      <c r="A7" s="1"/>
      <c r="B7" s="6"/>
      <c r="C7" s="7"/>
      <c r="D7" s="6"/>
      <c r="E7" s="6"/>
      <c r="F7" s="40"/>
      <c r="G7" s="41"/>
      <c r="H7" s="58"/>
      <c r="I7" s="58"/>
      <c r="J7" s="58"/>
      <c r="K7" s="8"/>
      <c r="L7" s="9"/>
      <c r="M7" s="9"/>
      <c r="N7" s="52"/>
    </row>
    <row r="8" spans="1:14" customFormat="1" x14ac:dyDescent="0.35">
      <c r="A8" s="1"/>
      <c r="B8" s="6"/>
      <c r="C8" s="7"/>
      <c r="D8" s="6"/>
      <c r="E8" s="6"/>
      <c r="F8" s="40"/>
      <c r="G8" s="41"/>
      <c r="H8" s="58"/>
      <c r="I8" s="58"/>
      <c r="J8" s="58"/>
      <c r="K8" s="8"/>
      <c r="L8" s="9"/>
      <c r="M8" s="9"/>
      <c r="N8" s="52"/>
    </row>
    <row r="9" spans="1:14" customFormat="1" x14ac:dyDescent="0.35">
      <c r="A9" s="1"/>
      <c r="B9" s="6"/>
      <c r="C9" s="7"/>
      <c r="D9" s="6"/>
      <c r="E9" s="6"/>
      <c r="F9" s="40"/>
      <c r="G9" s="41"/>
      <c r="H9" s="58"/>
      <c r="I9" s="58"/>
      <c r="J9" s="58"/>
      <c r="K9" s="8"/>
      <c r="L9" s="9"/>
      <c r="M9" s="9"/>
      <c r="N9" s="52"/>
    </row>
    <row r="10" spans="1:14" customFormat="1" x14ac:dyDescent="0.35">
      <c r="A10" s="1"/>
      <c r="B10" s="6"/>
      <c r="C10" s="7"/>
      <c r="D10" s="6"/>
      <c r="E10" s="6"/>
      <c r="F10" s="40"/>
      <c r="G10" s="41"/>
      <c r="H10" s="58"/>
      <c r="I10" s="58"/>
      <c r="J10" s="58"/>
      <c r="K10" s="8"/>
      <c r="L10" s="9"/>
      <c r="M10" s="9"/>
      <c r="N10" s="52"/>
    </row>
    <row r="11" spans="1:14" customFormat="1" ht="19" customHeight="1" x14ac:dyDescent="0.35">
      <c r="A11" s="1"/>
      <c r="B11" s="6"/>
      <c r="C11" s="6"/>
      <c r="D11" s="6"/>
      <c r="E11" s="6"/>
      <c r="F11" s="40"/>
      <c r="G11" s="41"/>
      <c r="H11" s="58"/>
      <c r="I11" s="58"/>
      <c r="J11" s="58"/>
      <c r="K11" s="8"/>
      <c r="L11" s="9"/>
      <c r="M11" s="9"/>
      <c r="N11" s="52"/>
    </row>
    <row r="12" spans="1:14" customFormat="1" ht="21.5" x14ac:dyDescent="0.6">
      <c r="A12" s="59"/>
      <c r="B12" s="60"/>
      <c r="C12" s="61"/>
      <c r="D12" s="60"/>
      <c r="E12" s="62"/>
      <c r="F12" s="63"/>
      <c r="G12" s="64"/>
      <c r="H12" s="65"/>
      <c r="I12" s="66"/>
      <c r="J12" s="66"/>
      <c r="K12" s="67">
        <f>SUM(K4:K11)</f>
        <v>0</v>
      </c>
      <c r="L12" s="68">
        <f>SUM(L4:L11)</f>
        <v>0</v>
      </c>
      <c r="M12" s="195">
        <f>SUM(M4:M11)</f>
        <v>0</v>
      </c>
      <c r="N12" s="52"/>
    </row>
    <row r="13" spans="1:14" customFormat="1" ht="14.5" x14ac:dyDescent="0.35"/>
    <row r="14" spans="1:14" customFormat="1" ht="14.5" x14ac:dyDescent="0.35">
      <c r="M14" t="s">
        <v>39</v>
      </c>
    </row>
    <row r="15" spans="1:14" x14ac:dyDescent="0.35">
      <c r="G15" s="43"/>
      <c r="H15" s="43"/>
      <c r="M15" s="43"/>
      <c r="N15" s="43"/>
    </row>
    <row r="16" spans="1:14" x14ac:dyDescent="0.35">
      <c r="G16" s="43"/>
      <c r="H16" s="43"/>
      <c r="M16" s="43"/>
      <c r="N16" s="43"/>
    </row>
    <row r="17" spans="1:14" x14ac:dyDescent="0.35">
      <c r="G17" s="43"/>
      <c r="H17" s="43"/>
      <c r="M17" s="43"/>
      <c r="N17" s="43"/>
    </row>
    <row r="18" spans="1:14" x14ac:dyDescent="0.35">
      <c r="A18" s="49"/>
    </row>
    <row r="24" spans="1:14" x14ac:dyDescent="0.35">
      <c r="L24" s="50"/>
      <c r="M24" s="51"/>
      <c r="N24" s="50"/>
    </row>
    <row r="25" spans="1:14" x14ac:dyDescent="0.35">
      <c r="L25" s="50"/>
      <c r="M25" s="50"/>
      <c r="N25" s="50"/>
    </row>
    <row r="26" spans="1:14" x14ac:dyDescent="0.35">
      <c r="L26" s="50"/>
      <c r="M26" s="50"/>
      <c r="N26" s="50"/>
    </row>
    <row r="27" spans="1:14" x14ac:dyDescent="0.35">
      <c r="L27" s="50"/>
      <c r="M27" s="50"/>
      <c r="N27" s="50"/>
    </row>
  </sheetData>
  <mergeCells count="4">
    <mergeCell ref="A1:M1"/>
    <mergeCell ref="F2:G2"/>
    <mergeCell ref="I2:M2"/>
    <mergeCell ref="N1:N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42FA3-D311-4C13-855A-C223AE1F27C9}">
  <dimension ref="A1:O30"/>
  <sheetViews>
    <sheetView zoomScale="63" workbookViewId="0">
      <selection activeCell="I19" sqref="I19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4" width="17.26953125" style="10" customWidth="1"/>
    <col min="5" max="5" width="20" style="10" customWidth="1"/>
    <col min="6" max="6" width="15.7265625" style="10" customWidth="1"/>
    <col min="7" max="7" width="20" style="10" customWidth="1"/>
    <col min="8" max="9" width="16.54296875" style="10" customWidth="1"/>
    <col min="10" max="10" width="20.81640625" style="10" customWidth="1"/>
    <col min="11" max="11" width="20.453125" style="10" customWidth="1"/>
    <col min="12" max="12" width="21.81640625" style="10" customWidth="1"/>
    <col min="13" max="13" width="30" style="10" customWidth="1"/>
    <col min="14" max="14" width="19.81640625" style="10" bestFit="1" customWidth="1"/>
    <col min="15" max="15" width="25.1796875" style="10" customWidth="1"/>
    <col min="16" max="16384" width="8.7265625" style="10"/>
  </cols>
  <sheetData>
    <row r="1" spans="1:15" customFormat="1" ht="32.15" customHeight="1" x14ac:dyDescent="0.55000000000000004">
      <c r="A1" s="254" t="s">
        <v>83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5" customFormat="1" x14ac:dyDescent="0.35">
      <c r="C2" s="52"/>
      <c r="D2" s="52"/>
      <c r="E2" s="52"/>
      <c r="F2" s="52"/>
      <c r="G2" s="256" t="s">
        <v>10</v>
      </c>
      <c r="H2" s="256"/>
      <c r="I2" s="53"/>
      <c r="J2" s="253" t="s">
        <v>82</v>
      </c>
      <c r="K2" s="253"/>
      <c r="L2" s="253"/>
      <c r="M2" s="253"/>
      <c r="N2" s="253"/>
    </row>
    <row r="3" spans="1:15" customFormat="1" ht="31" x14ac:dyDescent="0.35">
      <c r="A3" s="54" t="s">
        <v>0</v>
      </c>
      <c r="B3" s="54" t="s">
        <v>31</v>
      </c>
      <c r="C3" s="54" t="s">
        <v>1</v>
      </c>
      <c r="D3" s="54" t="s">
        <v>81</v>
      </c>
      <c r="E3" s="54" t="s">
        <v>2</v>
      </c>
      <c r="F3" s="54" t="s">
        <v>3</v>
      </c>
      <c r="G3" s="55" t="s">
        <v>4</v>
      </c>
      <c r="H3" s="54" t="s">
        <v>5</v>
      </c>
      <c r="I3" s="56" t="s">
        <v>137</v>
      </c>
      <c r="J3" s="57" t="s">
        <v>136</v>
      </c>
      <c r="K3" s="57" t="s">
        <v>135</v>
      </c>
      <c r="L3" s="57" t="s">
        <v>78</v>
      </c>
      <c r="M3" s="54" t="s">
        <v>4</v>
      </c>
      <c r="N3" s="54" t="s">
        <v>5</v>
      </c>
      <c r="O3" s="57" t="s">
        <v>77</v>
      </c>
    </row>
    <row r="4" spans="1:15" customFormat="1" ht="19" customHeight="1" x14ac:dyDescent="0.35">
      <c r="A4" s="1"/>
      <c r="B4" s="6"/>
      <c r="C4" s="6"/>
      <c r="D4" s="6"/>
      <c r="E4" s="6"/>
      <c r="F4" s="6"/>
      <c r="G4" s="40"/>
      <c r="H4" s="41"/>
      <c r="I4" s="76"/>
      <c r="J4" s="75"/>
      <c r="K4" s="75"/>
      <c r="L4" s="8"/>
      <c r="M4" s="40"/>
      <c r="N4" s="41"/>
      <c r="O4" s="126"/>
    </row>
    <row r="5" spans="1:15" customFormat="1" ht="31" customHeight="1" x14ac:dyDescent="0.35">
      <c r="A5" s="1"/>
      <c r="B5" s="6"/>
      <c r="C5" s="7"/>
      <c r="D5" s="7"/>
      <c r="E5" s="6"/>
      <c r="F5" s="6"/>
      <c r="G5" s="40"/>
      <c r="H5" s="41"/>
      <c r="I5" s="76"/>
      <c r="J5" s="75"/>
      <c r="K5" s="75"/>
      <c r="L5" s="8"/>
      <c r="M5" s="40"/>
      <c r="N5" s="41"/>
      <c r="O5" s="267"/>
    </row>
    <row r="6" spans="1:15" customFormat="1" ht="19" customHeight="1" x14ac:dyDescent="0.35">
      <c r="A6" s="1"/>
      <c r="B6" s="6"/>
      <c r="C6" s="6"/>
      <c r="D6" s="77"/>
      <c r="E6" s="6"/>
      <c r="F6" s="6"/>
      <c r="G6" s="40"/>
      <c r="H6" s="41"/>
      <c r="I6" s="76"/>
      <c r="J6" s="75"/>
      <c r="K6" s="75"/>
      <c r="L6" s="8"/>
      <c r="M6" s="40"/>
      <c r="N6" s="41"/>
      <c r="O6" s="268"/>
    </row>
    <row r="7" spans="1:15" customFormat="1" x14ac:dyDescent="0.35">
      <c r="A7" s="1"/>
      <c r="B7" s="6"/>
      <c r="C7" s="7"/>
      <c r="D7" s="7"/>
      <c r="E7" s="6"/>
      <c r="F7" s="6"/>
      <c r="G7" s="40"/>
      <c r="H7" s="41"/>
      <c r="I7" s="76"/>
      <c r="J7" s="75"/>
      <c r="K7" s="75"/>
      <c r="L7" s="8"/>
      <c r="M7" s="40"/>
      <c r="N7" s="41"/>
      <c r="O7" s="265"/>
    </row>
    <row r="8" spans="1:15" customFormat="1" ht="19" customHeight="1" x14ac:dyDescent="0.35">
      <c r="A8" s="1"/>
      <c r="B8" s="6"/>
      <c r="C8" s="6"/>
      <c r="D8" s="6"/>
      <c r="E8" s="6"/>
      <c r="F8" s="6"/>
      <c r="G8" s="40"/>
      <c r="H8" s="41"/>
      <c r="I8" s="76"/>
      <c r="J8" s="75"/>
      <c r="K8" s="75"/>
      <c r="L8" s="8"/>
      <c r="M8" s="40"/>
      <c r="N8" s="41"/>
      <c r="O8" s="266"/>
    </row>
    <row r="9" spans="1:15" customFormat="1" x14ac:dyDescent="0.35">
      <c r="A9" s="1"/>
      <c r="B9" s="6"/>
      <c r="C9" s="7"/>
      <c r="D9" s="7"/>
      <c r="E9" s="6"/>
      <c r="F9" s="6"/>
      <c r="G9" s="40"/>
      <c r="H9" s="41"/>
      <c r="I9" s="58"/>
      <c r="J9" s="58"/>
      <c r="K9" s="58"/>
      <c r="L9" s="8"/>
      <c r="M9" s="9"/>
      <c r="N9" s="9"/>
      <c r="O9" s="52"/>
    </row>
    <row r="10" spans="1:15" customFormat="1" x14ac:dyDescent="0.35">
      <c r="A10" s="1"/>
      <c r="B10" s="6"/>
      <c r="C10" s="7"/>
      <c r="D10" s="7"/>
      <c r="E10" s="6"/>
      <c r="F10" s="6"/>
      <c r="G10" s="40"/>
      <c r="H10" s="41"/>
      <c r="I10" s="58"/>
      <c r="J10" s="58"/>
      <c r="K10" s="58"/>
      <c r="L10" s="8"/>
      <c r="M10" s="9"/>
      <c r="N10" s="9"/>
      <c r="O10" s="52"/>
    </row>
    <row r="11" spans="1:15" customFormat="1" x14ac:dyDescent="0.35">
      <c r="A11" s="1"/>
      <c r="B11" s="6"/>
      <c r="C11" s="7"/>
      <c r="D11" s="7"/>
      <c r="E11" s="6"/>
      <c r="F11" s="6"/>
      <c r="G11" s="40"/>
      <c r="H11" s="41"/>
      <c r="I11" s="58"/>
      <c r="J11" s="58"/>
      <c r="K11" s="58"/>
      <c r="L11" s="8"/>
      <c r="M11" s="9"/>
      <c r="N11" s="9"/>
      <c r="O11" s="52"/>
    </row>
    <row r="12" spans="1:15" customFormat="1" x14ac:dyDescent="0.35">
      <c r="A12" s="1"/>
      <c r="B12" s="6"/>
      <c r="C12" s="7"/>
      <c r="D12" s="7"/>
      <c r="E12" s="6"/>
      <c r="F12" s="6"/>
      <c r="G12" s="40"/>
      <c r="H12" s="41"/>
      <c r="I12" s="58"/>
      <c r="J12" s="58"/>
      <c r="K12" s="58"/>
      <c r="L12" s="8"/>
      <c r="M12" s="9"/>
      <c r="N12" s="9"/>
      <c r="O12" s="52"/>
    </row>
    <row r="13" spans="1:15" customFormat="1" x14ac:dyDescent="0.35">
      <c r="A13" s="1"/>
      <c r="B13" s="6"/>
      <c r="C13" s="7"/>
      <c r="D13" s="7"/>
      <c r="E13" s="6"/>
      <c r="F13" s="6"/>
      <c r="G13" s="40"/>
      <c r="H13" s="41"/>
      <c r="I13" s="58"/>
      <c r="J13" s="58"/>
      <c r="K13" s="58"/>
      <c r="L13" s="8"/>
      <c r="M13" s="9"/>
      <c r="N13" s="9"/>
      <c r="O13" s="52"/>
    </row>
    <row r="14" spans="1:15" customFormat="1" ht="19" customHeight="1" x14ac:dyDescent="0.35">
      <c r="A14" s="1"/>
      <c r="B14" s="6"/>
      <c r="C14" s="6"/>
      <c r="D14" s="6"/>
      <c r="E14" s="6"/>
      <c r="F14" s="6"/>
      <c r="G14" s="40"/>
      <c r="H14" s="41"/>
      <c r="I14" s="58"/>
      <c r="J14" s="58"/>
      <c r="K14" s="58"/>
      <c r="L14" s="8"/>
      <c r="M14" s="9"/>
      <c r="N14" s="9"/>
      <c r="O14" s="52"/>
    </row>
    <row r="15" spans="1:15" customFormat="1" ht="21.5" x14ac:dyDescent="0.6">
      <c r="A15" s="59"/>
      <c r="B15" s="60"/>
      <c r="C15" s="61"/>
      <c r="D15" s="61"/>
      <c r="E15" s="60"/>
      <c r="F15" s="62"/>
      <c r="G15" s="63"/>
      <c r="H15" s="64"/>
      <c r="I15" s="65"/>
      <c r="J15" s="66"/>
      <c r="K15" s="66"/>
      <c r="L15" s="67">
        <f>SUM(L4:L14)</f>
        <v>0</v>
      </c>
      <c r="M15" s="68">
        <f>SUM(M4:M14)</f>
        <v>0</v>
      </c>
      <c r="N15" s="69">
        <f>SUM(N4:N14)</f>
        <v>0</v>
      </c>
    </row>
    <row r="16" spans="1:15" customFormat="1" ht="14.5" x14ac:dyDescent="0.35"/>
    <row r="17" spans="1:15" customFormat="1" ht="14.5" x14ac:dyDescent="0.35">
      <c r="N17" t="s">
        <v>39</v>
      </c>
    </row>
    <row r="18" spans="1:15" x14ac:dyDescent="0.35">
      <c r="H18" s="43"/>
      <c r="I18" s="43"/>
      <c r="N18" s="43"/>
      <c r="O18" s="43"/>
    </row>
    <row r="19" spans="1:15" x14ac:dyDescent="0.35">
      <c r="H19" s="43"/>
      <c r="I19" s="43"/>
      <c r="N19" s="43"/>
      <c r="O19" s="43"/>
    </row>
    <row r="20" spans="1:15" x14ac:dyDescent="0.35">
      <c r="H20" s="43"/>
      <c r="I20" s="43"/>
      <c r="N20" s="43"/>
      <c r="O20" s="43"/>
    </row>
    <row r="21" spans="1:15" x14ac:dyDescent="0.35">
      <c r="A21" s="49"/>
    </row>
    <row r="27" spans="1:15" x14ac:dyDescent="0.35">
      <c r="M27" s="50"/>
      <c r="N27" s="51"/>
      <c r="O27" s="50"/>
    </row>
    <row r="28" spans="1:15" x14ac:dyDescent="0.35">
      <c r="M28" s="50"/>
      <c r="N28" s="50"/>
      <c r="O28" s="50"/>
    </row>
    <row r="29" spans="1:15" x14ac:dyDescent="0.35">
      <c r="M29" s="50"/>
      <c r="N29" s="50"/>
      <c r="O29" s="50"/>
    </row>
    <row r="30" spans="1:15" x14ac:dyDescent="0.35">
      <c r="M30" s="50"/>
      <c r="N30" s="50"/>
      <c r="O30" s="50"/>
    </row>
  </sheetData>
  <mergeCells count="5">
    <mergeCell ref="A1:N1"/>
    <mergeCell ref="G2:H2"/>
    <mergeCell ref="J2:N2"/>
    <mergeCell ref="O5:O6"/>
    <mergeCell ref="O7:O8"/>
  </mergeCells>
  <pageMargins left="0.7" right="0.7" top="0.75" bottom="0.75" header="0.3" footer="0.3"/>
  <pageSetup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E50E-A86F-4D0B-B98E-F35D240ED60D}">
  <dimension ref="A1:O42"/>
  <sheetViews>
    <sheetView topLeftCell="G1" zoomScale="63" workbookViewId="0">
      <selection activeCell="O2" sqref="O2:O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2.54296875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83" customWidth="1"/>
    <col min="10" max="10" width="20.453125" style="83" customWidth="1"/>
    <col min="11" max="11" width="21.81640625" style="83" customWidth="1"/>
    <col min="12" max="12" width="19.453125" style="83" customWidth="1"/>
    <col min="13" max="13" width="19.81640625" style="74" bestFit="1" customWidth="1"/>
    <col min="14" max="14" width="13.26953125" style="74" bestFit="1" customWidth="1"/>
    <col min="15" max="15" width="108.453125" style="10" customWidth="1"/>
    <col min="16" max="16384" width="8.7265625" style="10"/>
  </cols>
  <sheetData>
    <row r="1" spans="1:15" ht="32.15" customHeight="1" x14ac:dyDescent="0.35"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x14ac:dyDescent="0.35">
      <c r="G2" s="252" t="s">
        <v>10</v>
      </c>
      <c r="H2" s="252"/>
      <c r="J2" s="253" t="s">
        <v>30</v>
      </c>
      <c r="K2" s="253"/>
      <c r="L2" s="253"/>
      <c r="M2" s="253"/>
      <c r="N2" s="253"/>
      <c r="O2" s="269" t="s">
        <v>77</v>
      </c>
    </row>
    <row r="3" spans="1:15" ht="31" x14ac:dyDescent="0.35">
      <c r="A3" s="10" t="s">
        <v>0</v>
      </c>
      <c r="B3" s="10" t="s">
        <v>31</v>
      </c>
      <c r="C3" s="10" t="s">
        <v>1</v>
      </c>
      <c r="D3" s="10" t="s">
        <v>32</v>
      </c>
      <c r="E3" s="201" t="s">
        <v>2</v>
      </c>
      <c r="F3" s="201" t="s">
        <v>3</v>
      </c>
      <c r="G3" s="10" t="s">
        <v>4</v>
      </c>
      <c r="H3" s="10" t="s">
        <v>5</v>
      </c>
      <c r="I3" s="83" t="s">
        <v>11</v>
      </c>
      <c r="J3" s="83" t="s">
        <v>6</v>
      </c>
      <c r="K3" s="83" t="s">
        <v>7</v>
      </c>
      <c r="L3" s="210" t="s">
        <v>8</v>
      </c>
      <c r="M3" s="74" t="s">
        <v>33</v>
      </c>
      <c r="N3" s="74" t="s">
        <v>34</v>
      </c>
      <c r="O3" s="271"/>
    </row>
    <row r="4" spans="1:15" x14ac:dyDescent="0.35">
      <c r="A4" s="53">
        <v>1</v>
      </c>
      <c r="B4" s="38" t="s">
        <v>246</v>
      </c>
      <c r="C4" s="53" t="s">
        <v>49</v>
      </c>
      <c r="D4" s="202" t="s">
        <v>247</v>
      </c>
      <c r="E4" s="53" t="s">
        <v>15</v>
      </c>
      <c r="F4" s="53" t="s">
        <v>248</v>
      </c>
      <c r="G4" s="40">
        <v>129000</v>
      </c>
      <c r="H4" s="41"/>
      <c r="I4" s="208">
        <v>45114</v>
      </c>
      <c r="J4" s="208" t="s">
        <v>249</v>
      </c>
      <c r="K4" s="208" t="s">
        <v>250</v>
      </c>
      <c r="L4" s="194">
        <v>5</v>
      </c>
      <c r="M4" s="119">
        <f t="shared" ref="M4:M32" si="0">SUM(G4*L4)</f>
        <v>645000</v>
      </c>
      <c r="N4" s="119">
        <f t="shared" ref="N4:N32" si="1">SUM(H4*L4)</f>
        <v>0</v>
      </c>
      <c r="O4" s="187" t="s">
        <v>302</v>
      </c>
    </row>
    <row r="5" spans="1:15" x14ac:dyDescent="0.35">
      <c r="A5" s="53">
        <v>2</v>
      </c>
      <c r="B5" s="38" t="s">
        <v>251</v>
      </c>
      <c r="C5" s="53" t="s">
        <v>49</v>
      </c>
      <c r="D5" s="196" t="s">
        <v>252</v>
      </c>
      <c r="E5" s="53" t="s">
        <v>15</v>
      </c>
      <c r="F5" s="53" t="s">
        <v>253</v>
      </c>
      <c r="G5" s="40">
        <v>57249</v>
      </c>
      <c r="H5" s="41"/>
      <c r="I5" s="208">
        <v>44927</v>
      </c>
      <c r="J5" s="208">
        <v>45115</v>
      </c>
      <c r="K5" s="208" t="s">
        <v>250</v>
      </c>
      <c r="L5" s="194">
        <v>24</v>
      </c>
      <c r="M5" s="119">
        <f t="shared" si="0"/>
        <v>1373976</v>
      </c>
      <c r="N5" s="119">
        <f t="shared" si="1"/>
        <v>0</v>
      </c>
      <c r="O5" s="187" t="s">
        <v>302</v>
      </c>
    </row>
    <row r="6" spans="1:15" x14ac:dyDescent="0.35">
      <c r="A6" s="53">
        <v>3</v>
      </c>
      <c r="B6" s="53" t="s">
        <v>254</v>
      </c>
      <c r="C6" s="53" t="s">
        <v>12</v>
      </c>
      <c r="D6" s="197">
        <v>4510490813</v>
      </c>
      <c r="E6" s="53" t="s">
        <v>61</v>
      </c>
      <c r="F6" s="53" t="s">
        <v>217</v>
      </c>
      <c r="G6" s="40">
        <v>70327.98</v>
      </c>
      <c r="H6" s="41">
        <v>654.08000000000004</v>
      </c>
      <c r="I6" s="208">
        <v>44934</v>
      </c>
      <c r="J6" s="208">
        <v>45177</v>
      </c>
      <c r="K6" s="208">
        <v>45157</v>
      </c>
      <c r="L6" s="194">
        <v>10</v>
      </c>
      <c r="M6" s="119">
        <f t="shared" si="0"/>
        <v>703279.79999999993</v>
      </c>
      <c r="N6" s="119">
        <f t="shared" si="1"/>
        <v>6540.8</v>
      </c>
      <c r="O6" s="187" t="s">
        <v>302</v>
      </c>
    </row>
    <row r="7" spans="1:15" x14ac:dyDescent="0.35">
      <c r="A7" s="53">
        <v>4</v>
      </c>
      <c r="B7" s="53" t="s">
        <v>255</v>
      </c>
      <c r="C7" s="53" t="s">
        <v>9</v>
      </c>
      <c r="D7" s="197">
        <v>4510490813</v>
      </c>
      <c r="E7" s="53" t="s">
        <v>61</v>
      </c>
      <c r="F7" s="53" t="s">
        <v>217</v>
      </c>
      <c r="G7" s="40">
        <v>32592.94</v>
      </c>
      <c r="H7" s="41">
        <v>302.94</v>
      </c>
      <c r="I7" s="208">
        <v>44934</v>
      </c>
      <c r="J7" s="208">
        <v>45177</v>
      </c>
      <c r="K7" s="208">
        <v>45157</v>
      </c>
      <c r="L7" s="194">
        <v>10</v>
      </c>
      <c r="M7" s="119">
        <f t="shared" si="0"/>
        <v>325929.39999999997</v>
      </c>
      <c r="N7" s="119">
        <f t="shared" si="1"/>
        <v>3029.4</v>
      </c>
      <c r="O7" s="187" t="s">
        <v>302</v>
      </c>
    </row>
    <row r="8" spans="1:15" ht="18.649999999999999" customHeight="1" x14ac:dyDescent="0.35">
      <c r="A8" s="53">
        <v>5</v>
      </c>
      <c r="B8" s="38" t="s">
        <v>256</v>
      </c>
      <c r="C8" s="53" t="s">
        <v>12</v>
      </c>
      <c r="D8" s="198" t="s">
        <v>257</v>
      </c>
      <c r="E8" s="53" t="s">
        <v>15</v>
      </c>
      <c r="F8" s="53" t="s">
        <v>248</v>
      </c>
      <c r="G8" s="40">
        <v>70327.98</v>
      </c>
      <c r="H8" s="41">
        <v>654.08000000000004</v>
      </c>
      <c r="I8" s="208">
        <v>44934</v>
      </c>
      <c r="J8" s="208">
        <v>45151</v>
      </c>
      <c r="K8" s="208" t="s">
        <v>250</v>
      </c>
      <c r="L8" s="194">
        <v>18</v>
      </c>
      <c r="M8" s="119">
        <f t="shared" si="0"/>
        <v>1265903.6399999999</v>
      </c>
      <c r="N8" s="119">
        <f t="shared" si="1"/>
        <v>11773.44</v>
      </c>
      <c r="O8" s="187" t="s">
        <v>302</v>
      </c>
    </row>
    <row r="9" spans="1:15" x14ac:dyDescent="0.35">
      <c r="A9" s="53">
        <v>6</v>
      </c>
      <c r="B9" s="38" t="s">
        <v>258</v>
      </c>
      <c r="C9" s="53" t="s">
        <v>87</v>
      </c>
      <c r="D9" s="196" t="s">
        <v>259</v>
      </c>
      <c r="E9" s="53" t="s">
        <v>15</v>
      </c>
      <c r="F9" s="53" t="s">
        <v>253</v>
      </c>
      <c r="G9" s="40">
        <v>135587.07</v>
      </c>
      <c r="H9" s="41">
        <v>1260.72</v>
      </c>
      <c r="I9" s="208">
        <v>43475</v>
      </c>
      <c r="J9" s="208">
        <v>45164</v>
      </c>
      <c r="K9" s="208" t="s">
        <v>250</v>
      </c>
      <c r="L9" s="194">
        <v>5</v>
      </c>
      <c r="M9" s="119">
        <f t="shared" si="0"/>
        <v>677935.35000000009</v>
      </c>
      <c r="N9" s="119">
        <f t="shared" si="1"/>
        <v>6303.6</v>
      </c>
      <c r="O9" s="187" t="s">
        <v>302</v>
      </c>
    </row>
    <row r="10" spans="1:15" x14ac:dyDescent="0.35">
      <c r="A10" s="53">
        <v>7</v>
      </c>
      <c r="B10" s="38" t="s">
        <v>260</v>
      </c>
      <c r="C10" s="53" t="s">
        <v>87</v>
      </c>
      <c r="D10" s="196" t="s">
        <v>259</v>
      </c>
      <c r="E10" s="53" t="s">
        <v>15</v>
      </c>
      <c r="F10" s="53" t="s">
        <v>253</v>
      </c>
      <c r="G10" s="40">
        <v>135587.07</v>
      </c>
      <c r="H10" s="41">
        <v>1260.72</v>
      </c>
      <c r="I10" s="208">
        <v>43475</v>
      </c>
      <c r="J10" s="208">
        <v>45164</v>
      </c>
      <c r="K10" s="208" t="s">
        <v>250</v>
      </c>
      <c r="L10" s="194">
        <v>5</v>
      </c>
      <c r="M10" s="119">
        <f t="shared" si="0"/>
        <v>677935.35000000009</v>
      </c>
      <c r="N10" s="119">
        <f t="shared" si="1"/>
        <v>6303.6</v>
      </c>
      <c r="O10" s="187" t="s">
        <v>302</v>
      </c>
    </row>
    <row r="11" spans="1:15" x14ac:dyDescent="0.35">
      <c r="A11" s="53">
        <v>8</v>
      </c>
      <c r="B11" s="53" t="s">
        <v>261</v>
      </c>
      <c r="C11" s="53" t="s">
        <v>131</v>
      </c>
      <c r="D11" s="204" t="s">
        <v>262</v>
      </c>
      <c r="E11" s="53" t="s">
        <v>15</v>
      </c>
      <c r="F11" s="53" t="s">
        <v>253</v>
      </c>
      <c r="G11" s="40">
        <v>32592.94</v>
      </c>
      <c r="H11" s="41">
        <v>302.94</v>
      </c>
      <c r="I11" s="208">
        <v>44934</v>
      </c>
      <c r="J11" s="208">
        <v>45163</v>
      </c>
      <c r="K11" s="208" t="s">
        <v>250</v>
      </c>
      <c r="L11" s="194">
        <v>6</v>
      </c>
      <c r="M11" s="119">
        <f t="shared" si="0"/>
        <v>195557.63999999998</v>
      </c>
      <c r="N11" s="119">
        <f t="shared" si="1"/>
        <v>1817.6399999999999</v>
      </c>
      <c r="O11" s="187" t="s">
        <v>302</v>
      </c>
    </row>
    <row r="12" spans="1:15" x14ac:dyDescent="0.35">
      <c r="A12" s="53">
        <v>9</v>
      </c>
      <c r="B12" s="53" t="s">
        <v>263</v>
      </c>
      <c r="C12" s="53" t="s">
        <v>9</v>
      </c>
      <c r="D12" s="200">
        <v>4510491499</v>
      </c>
      <c r="E12" s="53" t="s">
        <v>15</v>
      </c>
      <c r="F12" s="53" t="s">
        <v>248</v>
      </c>
      <c r="G12" s="40">
        <v>32592.94</v>
      </c>
      <c r="H12" s="41">
        <v>302.94</v>
      </c>
      <c r="I12" s="208">
        <v>44934</v>
      </c>
      <c r="J12" s="208">
        <v>45154</v>
      </c>
      <c r="K12" s="208" t="s">
        <v>250</v>
      </c>
      <c r="L12" s="194">
        <v>15</v>
      </c>
      <c r="M12" s="119">
        <f t="shared" si="0"/>
        <v>488894.1</v>
      </c>
      <c r="N12" s="119">
        <f t="shared" si="1"/>
        <v>4544.1000000000004</v>
      </c>
      <c r="O12" s="187" t="s">
        <v>302</v>
      </c>
    </row>
    <row r="13" spans="1:15" ht="18.649999999999999" customHeight="1" x14ac:dyDescent="0.35">
      <c r="A13" s="53">
        <v>10</v>
      </c>
      <c r="B13" s="38" t="s">
        <v>264</v>
      </c>
      <c r="C13" s="53" t="s">
        <v>12</v>
      </c>
      <c r="D13" s="197">
        <v>4510488796</v>
      </c>
      <c r="E13" s="53" t="s">
        <v>15</v>
      </c>
      <c r="F13" s="53" t="s">
        <v>265</v>
      </c>
      <c r="G13" s="40">
        <v>70327.98</v>
      </c>
      <c r="H13" s="41">
        <v>654.08000000000004</v>
      </c>
      <c r="I13" s="208">
        <v>44934</v>
      </c>
      <c r="J13" s="208">
        <v>45144</v>
      </c>
      <c r="K13" s="208" t="s">
        <v>266</v>
      </c>
      <c r="L13" s="194">
        <v>15</v>
      </c>
      <c r="M13" s="119">
        <f t="shared" si="0"/>
        <v>1054919.7</v>
      </c>
      <c r="N13" s="119">
        <f t="shared" si="1"/>
        <v>9811.2000000000007</v>
      </c>
      <c r="O13" s="187" t="s">
        <v>302</v>
      </c>
    </row>
    <row r="14" spans="1:15" ht="18.649999999999999" customHeight="1" x14ac:dyDescent="0.35">
      <c r="A14" s="53">
        <v>11</v>
      </c>
      <c r="B14" s="38" t="s">
        <v>230</v>
      </c>
      <c r="C14" s="53" t="s">
        <v>12</v>
      </c>
      <c r="D14" s="205" t="s">
        <v>267</v>
      </c>
      <c r="E14" s="53" t="s">
        <v>15</v>
      </c>
      <c r="F14" s="53" t="s">
        <v>248</v>
      </c>
      <c r="G14" s="40">
        <v>70327.98</v>
      </c>
      <c r="H14" s="41">
        <v>654.08000000000004</v>
      </c>
      <c r="I14" s="208">
        <v>44934</v>
      </c>
      <c r="J14" s="208">
        <v>45164</v>
      </c>
      <c r="K14" s="208" t="s">
        <v>250</v>
      </c>
      <c r="L14" s="194">
        <v>5</v>
      </c>
      <c r="M14" s="119">
        <f>SUM(G14*L14)</f>
        <v>351639.89999999997</v>
      </c>
      <c r="N14" s="119">
        <f>SUM(H14*L14)</f>
        <v>3270.4</v>
      </c>
      <c r="O14" s="187" t="s">
        <v>302</v>
      </c>
    </row>
    <row r="15" spans="1:15" ht="18.649999999999999" customHeight="1" x14ac:dyDescent="0.35">
      <c r="A15" s="53">
        <v>12</v>
      </c>
      <c r="B15" s="38" t="s">
        <v>264</v>
      </c>
      <c r="C15" s="53" t="s">
        <v>12</v>
      </c>
      <c r="D15" s="205" t="s">
        <v>267</v>
      </c>
      <c r="E15" s="53" t="s">
        <v>15</v>
      </c>
      <c r="F15" s="53" t="s">
        <v>248</v>
      </c>
      <c r="G15" s="40">
        <v>70327.98</v>
      </c>
      <c r="H15" s="41">
        <v>654.08000000000004</v>
      </c>
      <c r="I15" s="208">
        <v>45177</v>
      </c>
      <c r="J15" s="208">
        <v>45158</v>
      </c>
      <c r="K15" s="208" t="s">
        <v>268</v>
      </c>
      <c r="L15" s="194">
        <v>3</v>
      </c>
      <c r="M15" s="119">
        <f>SUM(G15*L15)</f>
        <v>210983.94</v>
      </c>
      <c r="N15" s="119">
        <f>SUM(H15*L15)</f>
        <v>1962.2400000000002</v>
      </c>
      <c r="O15" s="187" t="s">
        <v>302</v>
      </c>
    </row>
    <row r="16" spans="1:15" ht="18.649999999999999" customHeight="1" x14ac:dyDescent="0.35">
      <c r="A16" s="53">
        <v>13</v>
      </c>
      <c r="B16" s="38" t="s">
        <v>269</v>
      </c>
      <c r="C16" s="53" t="s">
        <v>12</v>
      </c>
      <c r="D16" s="205" t="s">
        <v>267</v>
      </c>
      <c r="E16" s="53" t="s">
        <v>15</v>
      </c>
      <c r="F16" s="53" t="s">
        <v>248</v>
      </c>
      <c r="G16" s="40">
        <v>70327.98</v>
      </c>
      <c r="H16" s="41">
        <v>654.08000000000004</v>
      </c>
      <c r="I16" s="208">
        <v>45207</v>
      </c>
      <c r="J16" s="208">
        <v>45158</v>
      </c>
      <c r="K16" s="208" t="s">
        <v>270</v>
      </c>
      <c r="L16" s="194">
        <v>4</v>
      </c>
      <c r="M16" s="119">
        <f>SUM(G16*L16)</f>
        <v>281311.92</v>
      </c>
      <c r="N16" s="119">
        <f>SUM(H16*L16)</f>
        <v>2616.3200000000002</v>
      </c>
      <c r="O16" s="187" t="s">
        <v>302</v>
      </c>
    </row>
    <row r="17" spans="1:15" x14ac:dyDescent="0.35">
      <c r="A17" s="53">
        <v>14</v>
      </c>
      <c r="B17" s="53" t="s">
        <v>271</v>
      </c>
      <c r="C17" s="53" t="s">
        <v>9</v>
      </c>
      <c r="D17" s="205" t="s">
        <v>267</v>
      </c>
      <c r="E17" s="53" t="s">
        <v>15</v>
      </c>
      <c r="F17" s="53" t="s">
        <v>248</v>
      </c>
      <c r="G17" s="40">
        <v>32592.94</v>
      </c>
      <c r="H17" s="41">
        <v>302.94</v>
      </c>
      <c r="I17" s="208">
        <v>44934</v>
      </c>
      <c r="J17" s="208">
        <v>45154</v>
      </c>
      <c r="K17" s="208" t="s">
        <v>250</v>
      </c>
      <c r="L17" s="194">
        <v>15</v>
      </c>
      <c r="M17" s="119">
        <f t="shared" ref="M17:M31" si="2">SUM(G17*L17)</f>
        <v>488894.1</v>
      </c>
      <c r="N17" s="119">
        <f t="shared" ref="N17:N31" si="3">SUM(H17*L17)</f>
        <v>4544.1000000000004</v>
      </c>
      <c r="O17" s="187" t="s">
        <v>302</v>
      </c>
    </row>
    <row r="18" spans="1:15" ht="18.649999999999999" customHeight="1" x14ac:dyDescent="0.35">
      <c r="A18" s="53">
        <v>15</v>
      </c>
      <c r="B18" s="206" t="s">
        <v>272</v>
      </c>
      <c r="C18" s="53" t="s">
        <v>9</v>
      </c>
      <c r="D18" s="205" t="s">
        <v>267</v>
      </c>
      <c r="E18" s="53" t="s">
        <v>15</v>
      </c>
      <c r="F18" s="53" t="s">
        <v>248</v>
      </c>
      <c r="G18" s="40">
        <v>32592.94</v>
      </c>
      <c r="H18" s="41">
        <v>302.94</v>
      </c>
      <c r="I18" s="208">
        <v>44934</v>
      </c>
      <c r="J18" s="208">
        <v>45162</v>
      </c>
      <c r="K18" s="208" t="s">
        <v>250</v>
      </c>
      <c r="L18" s="194">
        <v>7</v>
      </c>
      <c r="M18" s="119">
        <f t="shared" si="2"/>
        <v>228150.58</v>
      </c>
      <c r="N18" s="119">
        <f t="shared" si="3"/>
        <v>2120.58</v>
      </c>
      <c r="O18" s="187" t="s">
        <v>302</v>
      </c>
    </row>
    <row r="19" spans="1:15" ht="18.649999999999999" customHeight="1" x14ac:dyDescent="0.35">
      <c r="A19" s="53">
        <v>16</v>
      </c>
      <c r="B19" s="206" t="s">
        <v>273</v>
      </c>
      <c r="C19" s="53" t="s">
        <v>21</v>
      </c>
      <c r="D19" s="205" t="s">
        <v>267</v>
      </c>
      <c r="E19" s="53" t="s">
        <v>15</v>
      </c>
      <c r="F19" s="53" t="s">
        <v>248</v>
      </c>
      <c r="G19" s="40">
        <v>35534.25</v>
      </c>
      <c r="H19" s="41">
        <v>330.48</v>
      </c>
      <c r="I19" s="208">
        <v>44934</v>
      </c>
      <c r="J19" s="208">
        <v>45152</v>
      </c>
      <c r="K19" s="208" t="s">
        <v>250</v>
      </c>
      <c r="L19" s="194">
        <v>17</v>
      </c>
      <c r="M19" s="119">
        <f t="shared" si="2"/>
        <v>604082.25</v>
      </c>
      <c r="N19" s="119">
        <f t="shared" si="3"/>
        <v>5618.16</v>
      </c>
      <c r="O19" s="187" t="s">
        <v>302</v>
      </c>
    </row>
    <row r="20" spans="1:15" ht="18.649999999999999" customHeight="1" x14ac:dyDescent="0.35">
      <c r="A20" s="53">
        <v>17</v>
      </c>
      <c r="B20" s="206" t="s">
        <v>274</v>
      </c>
      <c r="C20" s="53" t="s">
        <v>131</v>
      </c>
      <c r="D20" s="204" t="s">
        <v>275</v>
      </c>
      <c r="E20" s="53" t="s">
        <v>15</v>
      </c>
      <c r="F20" s="53" t="s">
        <v>253</v>
      </c>
      <c r="G20" s="40">
        <v>32592.94</v>
      </c>
      <c r="H20" s="41">
        <v>302.94</v>
      </c>
      <c r="I20" s="208">
        <v>44934</v>
      </c>
      <c r="J20" s="208">
        <v>45148</v>
      </c>
      <c r="K20" s="208" t="s">
        <v>250</v>
      </c>
      <c r="L20" s="194">
        <v>21</v>
      </c>
      <c r="M20" s="119">
        <f t="shared" si="2"/>
        <v>684451.74</v>
      </c>
      <c r="N20" s="119">
        <f t="shared" si="3"/>
        <v>6361.74</v>
      </c>
      <c r="O20" s="187" t="s">
        <v>302</v>
      </c>
    </row>
    <row r="21" spans="1:15" ht="18.649999999999999" customHeight="1" x14ac:dyDescent="0.35">
      <c r="A21" s="53">
        <v>18</v>
      </c>
      <c r="B21" s="206" t="s">
        <v>276</v>
      </c>
      <c r="C21" s="53" t="s">
        <v>131</v>
      </c>
      <c r="D21" s="204" t="s">
        <v>275</v>
      </c>
      <c r="E21" s="53" t="s">
        <v>15</v>
      </c>
      <c r="F21" s="53" t="s">
        <v>253</v>
      </c>
      <c r="G21" s="40">
        <v>32592.94</v>
      </c>
      <c r="H21" s="41">
        <v>302.94</v>
      </c>
      <c r="I21" s="208">
        <v>44934</v>
      </c>
      <c r="J21" s="208">
        <v>45163</v>
      </c>
      <c r="K21" s="208" t="s">
        <v>250</v>
      </c>
      <c r="L21" s="194">
        <v>6</v>
      </c>
      <c r="M21" s="119">
        <f t="shared" si="2"/>
        <v>195557.63999999998</v>
      </c>
      <c r="N21" s="119">
        <f t="shared" si="3"/>
        <v>1817.6399999999999</v>
      </c>
      <c r="O21" s="187" t="s">
        <v>302</v>
      </c>
    </row>
    <row r="22" spans="1:15" ht="18.649999999999999" customHeight="1" x14ac:dyDescent="0.35">
      <c r="A22" s="53">
        <v>19</v>
      </c>
      <c r="B22" s="38" t="s">
        <v>277</v>
      </c>
      <c r="C22" s="53" t="s">
        <v>12</v>
      </c>
      <c r="D22" s="197" t="s">
        <v>275</v>
      </c>
      <c r="E22" s="53" t="s">
        <v>15</v>
      </c>
      <c r="F22" s="53" t="s">
        <v>253</v>
      </c>
      <c r="G22" s="40">
        <v>70327.98</v>
      </c>
      <c r="H22" s="41">
        <v>654.08000000000004</v>
      </c>
      <c r="I22" s="208">
        <v>44934</v>
      </c>
      <c r="J22" s="208">
        <v>45168</v>
      </c>
      <c r="K22" s="208" t="s">
        <v>250</v>
      </c>
      <c r="L22" s="194">
        <v>1</v>
      </c>
      <c r="M22" s="119">
        <f t="shared" si="2"/>
        <v>70327.98</v>
      </c>
      <c r="N22" s="119">
        <f t="shared" si="3"/>
        <v>654.08000000000004</v>
      </c>
      <c r="O22" s="187" t="s">
        <v>302</v>
      </c>
    </row>
    <row r="23" spans="1:15" ht="18.649999999999999" customHeight="1" x14ac:dyDescent="0.35">
      <c r="A23" s="53">
        <v>20</v>
      </c>
      <c r="B23" s="38" t="s">
        <v>278</v>
      </c>
      <c r="C23" s="53" t="s">
        <v>279</v>
      </c>
      <c r="D23" s="197" t="s">
        <v>275</v>
      </c>
      <c r="E23" s="53" t="s">
        <v>15</v>
      </c>
      <c r="F23" s="53" t="s">
        <v>253</v>
      </c>
      <c r="G23" s="40">
        <v>37015.29</v>
      </c>
      <c r="H23" s="41">
        <v>344.25</v>
      </c>
      <c r="I23" s="208">
        <v>44934</v>
      </c>
      <c r="J23" s="208">
        <v>45163</v>
      </c>
      <c r="K23" s="208" t="s">
        <v>250</v>
      </c>
      <c r="L23" s="194">
        <v>6</v>
      </c>
      <c r="M23" s="119">
        <f t="shared" si="2"/>
        <v>222091.74</v>
      </c>
      <c r="N23" s="119">
        <f t="shared" si="3"/>
        <v>2065.5</v>
      </c>
      <c r="O23" s="187" t="s">
        <v>302</v>
      </c>
    </row>
    <row r="24" spans="1:15" ht="18.649999999999999" customHeight="1" x14ac:dyDescent="0.35">
      <c r="A24" s="53">
        <v>21</v>
      </c>
      <c r="B24" s="206" t="s">
        <v>280</v>
      </c>
      <c r="C24" s="53" t="s">
        <v>21</v>
      </c>
      <c r="D24" s="197" t="s">
        <v>275</v>
      </c>
      <c r="E24" s="53" t="s">
        <v>15</v>
      </c>
      <c r="F24" s="53" t="s">
        <v>253</v>
      </c>
      <c r="G24" s="40">
        <v>35534.25</v>
      </c>
      <c r="H24" s="41">
        <v>330.48</v>
      </c>
      <c r="I24" s="208">
        <v>44934</v>
      </c>
      <c r="J24" s="208">
        <v>45164</v>
      </c>
      <c r="K24" s="208" t="s">
        <v>250</v>
      </c>
      <c r="L24" s="194">
        <v>5</v>
      </c>
      <c r="M24" s="119">
        <f t="shared" si="2"/>
        <v>177671.25</v>
      </c>
      <c r="N24" s="119">
        <f t="shared" si="3"/>
        <v>1652.4</v>
      </c>
      <c r="O24" s="187" t="s">
        <v>302</v>
      </c>
    </row>
    <row r="25" spans="1:15" ht="18.649999999999999" customHeight="1" x14ac:dyDescent="0.35">
      <c r="A25" s="53">
        <v>22</v>
      </c>
      <c r="B25" s="206" t="s">
        <v>276</v>
      </c>
      <c r="C25" s="53" t="s">
        <v>131</v>
      </c>
      <c r="D25" s="204" t="s">
        <v>275</v>
      </c>
      <c r="E25" s="53" t="s">
        <v>15</v>
      </c>
      <c r="F25" s="53" t="s">
        <v>253</v>
      </c>
      <c r="G25" s="40">
        <v>32592.94</v>
      </c>
      <c r="H25" s="41">
        <v>302.94</v>
      </c>
      <c r="I25" s="208">
        <v>44934</v>
      </c>
      <c r="J25" s="208">
        <v>45166</v>
      </c>
      <c r="K25" s="208" t="s">
        <v>250</v>
      </c>
      <c r="L25" s="194">
        <v>3</v>
      </c>
      <c r="M25" s="119">
        <f t="shared" si="2"/>
        <v>97778.819999999992</v>
      </c>
      <c r="N25" s="119">
        <f t="shared" si="3"/>
        <v>908.81999999999994</v>
      </c>
      <c r="O25" s="187" t="s">
        <v>302</v>
      </c>
    </row>
    <row r="26" spans="1:15" ht="18.649999999999999" customHeight="1" x14ac:dyDescent="0.35">
      <c r="A26" s="53">
        <v>23</v>
      </c>
      <c r="B26" s="206" t="s">
        <v>281</v>
      </c>
      <c r="C26" s="53" t="s">
        <v>279</v>
      </c>
      <c r="D26" s="199">
        <v>4510488696</v>
      </c>
      <c r="E26" s="53" t="s">
        <v>15</v>
      </c>
      <c r="F26" s="53" t="s">
        <v>253</v>
      </c>
      <c r="G26" s="40">
        <v>37015.29</v>
      </c>
      <c r="H26" s="41">
        <v>344.25</v>
      </c>
      <c r="I26" s="208">
        <v>44934</v>
      </c>
      <c r="J26" s="208">
        <v>45146</v>
      </c>
      <c r="K26" s="208" t="s">
        <v>282</v>
      </c>
      <c r="L26" s="194">
        <v>14</v>
      </c>
      <c r="M26" s="119">
        <f t="shared" si="2"/>
        <v>518214.06</v>
      </c>
      <c r="N26" s="119">
        <f t="shared" si="3"/>
        <v>4819.5</v>
      </c>
      <c r="O26" s="187" t="s">
        <v>302</v>
      </c>
    </row>
    <row r="27" spans="1:15" ht="18.649999999999999" customHeight="1" x14ac:dyDescent="0.35">
      <c r="A27" s="53">
        <v>24</v>
      </c>
      <c r="B27" s="206" t="s">
        <v>283</v>
      </c>
      <c r="C27" s="53" t="s">
        <v>131</v>
      </c>
      <c r="D27" s="200" t="s">
        <v>284</v>
      </c>
      <c r="E27" s="53" t="s">
        <v>15</v>
      </c>
      <c r="F27" s="53" t="s">
        <v>248</v>
      </c>
      <c r="G27" s="40">
        <v>32592.94</v>
      </c>
      <c r="H27" s="41">
        <v>302.94</v>
      </c>
      <c r="I27" s="208">
        <v>44934</v>
      </c>
      <c r="J27" s="208">
        <v>45160</v>
      </c>
      <c r="K27" s="208" t="s">
        <v>250</v>
      </c>
      <c r="L27" s="194">
        <v>9</v>
      </c>
      <c r="M27" s="119">
        <f t="shared" si="2"/>
        <v>293336.45999999996</v>
      </c>
      <c r="N27" s="119">
        <f t="shared" si="3"/>
        <v>2726.46</v>
      </c>
      <c r="O27" s="187" t="s">
        <v>302</v>
      </c>
    </row>
    <row r="28" spans="1:15" ht="18.649999999999999" customHeight="1" x14ac:dyDescent="0.35">
      <c r="A28" s="53">
        <v>25</v>
      </c>
      <c r="B28" s="206" t="s">
        <v>285</v>
      </c>
      <c r="C28" s="53" t="s">
        <v>144</v>
      </c>
      <c r="D28" s="200" t="s">
        <v>286</v>
      </c>
      <c r="E28" s="53" t="s">
        <v>15</v>
      </c>
      <c r="F28" s="53" t="s">
        <v>248</v>
      </c>
      <c r="G28" s="40">
        <v>37015.29</v>
      </c>
      <c r="H28" s="41">
        <v>344.25</v>
      </c>
      <c r="I28" s="208">
        <v>44934</v>
      </c>
      <c r="J28" s="208">
        <v>45158</v>
      </c>
      <c r="K28" s="208" t="s">
        <v>250</v>
      </c>
      <c r="L28" s="194">
        <v>11</v>
      </c>
      <c r="M28" s="119">
        <f t="shared" si="2"/>
        <v>407168.19</v>
      </c>
      <c r="N28" s="119">
        <f t="shared" si="3"/>
        <v>3786.75</v>
      </c>
      <c r="O28" s="187" t="s">
        <v>302</v>
      </c>
    </row>
    <row r="29" spans="1:15" ht="18.649999999999999" customHeight="1" x14ac:dyDescent="0.35">
      <c r="A29" s="53">
        <v>26</v>
      </c>
      <c r="B29" s="206" t="s">
        <v>287</v>
      </c>
      <c r="C29" s="53" t="s">
        <v>36</v>
      </c>
      <c r="D29" s="205" t="s">
        <v>288</v>
      </c>
      <c r="E29" s="53" t="s">
        <v>15</v>
      </c>
      <c r="F29" s="53" t="s">
        <v>253</v>
      </c>
      <c r="G29" s="40">
        <v>135587.07</v>
      </c>
      <c r="H29" s="41">
        <v>1260.72</v>
      </c>
      <c r="I29" s="208">
        <v>44934</v>
      </c>
      <c r="J29" s="208">
        <v>45146</v>
      </c>
      <c r="K29" s="208" t="s">
        <v>250</v>
      </c>
      <c r="L29" s="194">
        <v>23</v>
      </c>
      <c r="M29" s="119">
        <f t="shared" si="2"/>
        <v>3118502.6100000003</v>
      </c>
      <c r="N29" s="119">
        <f t="shared" si="3"/>
        <v>28996.560000000001</v>
      </c>
      <c r="O29" s="187" t="s">
        <v>302</v>
      </c>
    </row>
    <row r="30" spans="1:15" ht="18.649999999999999" customHeight="1" x14ac:dyDescent="0.35">
      <c r="A30" s="53">
        <v>27</v>
      </c>
      <c r="B30" s="206" t="s">
        <v>57</v>
      </c>
      <c r="C30" s="53" t="s">
        <v>289</v>
      </c>
      <c r="D30" s="205" t="s">
        <v>288</v>
      </c>
      <c r="E30" s="53" t="s">
        <v>15</v>
      </c>
      <c r="F30" s="53" t="s">
        <v>253</v>
      </c>
      <c r="G30" s="40">
        <v>34547.4</v>
      </c>
      <c r="H30" s="41">
        <v>321.3</v>
      </c>
      <c r="I30" s="208">
        <v>44934</v>
      </c>
      <c r="J30" s="208">
        <v>45146</v>
      </c>
      <c r="K30" s="208" t="s">
        <v>250</v>
      </c>
      <c r="L30" s="194">
        <v>23</v>
      </c>
      <c r="M30" s="119">
        <f t="shared" si="2"/>
        <v>794590.20000000007</v>
      </c>
      <c r="N30" s="119">
        <f t="shared" si="3"/>
        <v>7389.9000000000005</v>
      </c>
      <c r="O30" s="187" t="s">
        <v>302</v>
      </c>
    </row>
    <row r="31" spans="1:15" ht="18.649999999999999" customHeight="1" x14ac:dyDescent="0.35">
      <c r="A31" s="53"/>
      <c r="B31" s="206"/>
      <c r="C31" s="53"/>
      <c r="D31" s="53"/>
      <c r="E31" s="53"/>
      <c r="F31" s="53"/>
      <c r="G31" s="207"/>
      <c r="H31" s="207"/>
      <c r="I31" s="208"/>
      <c r="J31" s="208"/>
      <c r="K31" s="208"/>
      <c r="L31" s="194"/>
      <c r="M31" s="119">
        <f t="shared" si="2"/>
        <v>0</v>
      </c>
      <c r="N31" s="119">
        <f t="shared" si="3"/>
        <v>0</v>
      </c>
      <c r="O31" s="53"/>
    </row>
    <row r="32" spans="1:15" x14ac:dyDescent="0.35">
      <c r="A32" s="53"/>
      <c r="B32" s="53"/>
      <c r="C32" s="53"/>
      <c r="D32" s="53"/>
      <c r="E32" s="53"/>
      <c r="F32" s="53"/>
      <c r="G32" s="203"/>
      <c r="H32" s="203"/>
      <c r="I32" s="194"/>
      <c r="J32" s="194"/>
      <c r="K32" s="194"/>
      <c r="L32" s="194"/>
      <c r="M32" s="119">
        <f t="shared" si="0"/>
        <v>0</v>
      </c>
      <c r="N32" s="119">
        <f t="shared" si="1"/>
        <v>0</v>
      </c>
      <c r="O32" s="53"/>
    </row>
    <row r="33" spans="1:15" x14ac:dyDescent="0.35">
      <c r="A33" s="9"/>
      <c r="B33" s="53"/>
      <c r="C33" s="53"/>
      <c r="D33" s="53"/>
      <c r="E33" s="53"/>
      <c r="F33" s="53"/>
      <c r="G33" s="53"/>
      <c r="H33" s="53"/>
      <c r="I33" s="194"/>
      <c r="J33" s="194"/>
      <c r="K33" s="194" t="s">
        <v>38</v>
      </c>
      <c r="L33" s="194">
        <f>SUM(L4:L13)</f>
        <v>113</v>
      </c>
      <c r="M33" s="119">
        <f>SUBTOTAL(109,Table13456789[NGN])</f>
        <v>16154084.360000003</v>
      </c>
      <c r="N33" s="119">
        <f>SUBTOTAL(109,Table13456789[USD])</f>
        <v>131434.93000000002</v>
      </c>
      <c r="O33" s="53"/>
    </row>
    <row r="35" spans="1:15" x14ac:dyDescent="0.35">
      <c r="F35" s="10" t="s">
        <v>39</v>
      </c>
    </row>
    <row r="37" spans="1:15" x14ac:dyDescent="0.35">
      <c r="J37" s="83" t="s">
        <v>39</v>
      </c>
    </row>
    <row r="39" spans="1:15" x14ac:dyDescent="0.35">
      <c r="L39" s="105"/>
      <c r="M39" s="209"/>
      <c r="N39" s="209"/>
    </row>
    <row r="40" spans="1:15" x14ac:dyDescent="0.35">
      <c r="L40" s="105"/>
      <c r="M40" s="209"/>
      <c r="N40" s="209"/>
    </row>
    <row r="41" spans="1:15" x14ac:dyDescent="0.35">
      <c r="L41" s="105"/>
      <c r="M41" s="209"/>
      <c r="N41" s="209"/>
    </row>
    <row r="42" spans="1:15" x14ac:dyDescent="0.35">
      <c r="L42" s="105"/>
      <c r="M42" s="209"/>
      <c r="N42" s="209"/>
    </row>
  </sheetData>
  <mergeCells count="4">
    <mergeCell ref="C1:N1"/>
    <mergeCell ref="G2:H2"/>
    <mergeCell ref="J2:N2"/>
    <mergeCell ref="O2:O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E46D-E422-4B67-B2B4-CDAC539970BF}">
  <dimension ref="A1:N27"/>
  <sheetViews>
    <sheetView zoomScale="63" workbookViewId="0">
      <selection activeCell="N2" sqref="N2:N4"/>
    </sheetView>
  </sheetViews>
  <sheetFormatPr defaultColWidth="8.7265625" defaultRowHeight="15.5" x14ac:dyDescent="0.35"/>
  <cols>
    <col min="1" max="1" width="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19.453125" style="10" customWidth="1"/>
    <col min="10" max="10" width="20.453125" style="10" customWidth="1"/>
    <col min="11" max="11" width="14.1796875" style="10" customWidth="1"/>
    <col min="12" max="13" width="16.54296875" style="83" customWidth="1"/>
    <col min="14" max="14" width="116" style="10" customWidth="1"/>
    <col min="15" max="16384" width="8.7265625" style="10"/>
  </cols>
  <sheetData>
    <row r="1" spans="1:14" customFormat="1" ht="32.15" customHeight="1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4" customFormat="1" x14ac:dyDescent="0.35">
      <c r="C2" s="52"/>
      <c r="D2" s="52"/>
      <c r="E2" s="52"/>
      <c r="F2" s="256" t="s">
        <v>10</v>
      </c>
      <c r="G2" s="256"/>
      <c r="H2" s="53"/>
      <c r="I2" s="253" t="s">
        <v>41</v>
      </c>
      <c r="J2" s="253"/>
      <c r="K2" s="253"/>
      <c r="L2" s="253"/>
      <c r="M2" s="253"/>
      <c r="N2" s="272" t="s">
        <v>77</v>
      </c>
    </row>
    <row r="3" spans="1:14" customFormat="1" ht="46.5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42</v>
      </c>
      <c r="I3" s="57" t="s">
        <v>43</v>
      </c>
      <c r="J3" s="57" t="s">
        <v>44</v>
      </c>
      <c r="K3" s="57" t="s">
        <v>303</v>
      </c>
      <c r="L3" s="54" t="s">
        <v>4</v>
      </c>
      <c r="M3" s="54" t="s">
        <v>5</v>
      </c>
      <c r="N3" s="273"/>
    </row>
    <row r="4" spans="1:14" customFormat="1" ht="19" customHeight="1" x14ac:dyDescent="0.35">
      <c r="A4" s="1">
        <v>1</v>
      </c>
      <c r="B4" s="6" t="s">
        <v>60</v>
      </c>
      <c r="C4" s="6" t="s">
        <v>12</v>
      </c>
      <c r="D4" s="6" t="s">
        <v>61</v>
      </c>
      <c r="E4" s="6" t="s">
        <v>62</v>
      </c>
      <c r="F4" s="40">
        <v>70327.98</v>
      </c>
      <c r="G4" s="41">
        <v>654.08000000000004</v>
      </c>
      <c r="H4" s="75">
        <v>45135</v>
      </c>
      <c r="I4" s="75">
        <v>45142</v>
      </c>
      <c r="J4" s="75">
        <v>45142</v>
      </c>
      <c r="K4" s="211">
        <f t="shared" ref="K4:K10" si="0">J4-H4+1</f>
        <v>8</v>
      </c>
      <c r="L4" s="212">
        <f t="shared" ref="L4:L10" si="1">SUM(F4*K4)</f>
        <v>562623.84</v>
      </c>
      <c r="M4" s="212">
        <f t="shared" ref="M4:M10" si="2">SUM(G4*K4)</f>
        <v>5232.6400000000003</v>
      </c>
      <c r="N4" s="52" t="s">
        <v>304</v>
      </c>
    </row>
    <row r="5" spans="1:14" customFormat="1" ht="31" x14ac:dyDescent="0.35">
      <c r="A5" s="1">
        <v>2</v>
      </c>
      <c r="B5" s="6" t="s">
        <v>139</v>
      </c>
      <c r="C5" s="7" t="s">
        <v>131</v>
      </c>
      <c r="D5" s="6" t="s">
        <v>61</v>
      </c>
      <c r="E5" s="6" t="s">
        <v>62</v>
      </c>
      <c r="F5" s="40">
        <v>32592.94</v>
      </c>
      <c r="G5" s="41">
        <v>302.94</v>
      </c>
      <c r="H5" s="75">
        <v>45135</v>
      </c>
      <c r="I5" s="75">
        <v>45142</v>
      </c>
      <c r="J5" s="75">
        <v>45142</v>
      </c>
      <c r="K5" s="211">
        <f t="shared" si="0"/>
        <v>8</v>
      </c>
      <c r="L5" s="212">
        <f t="shared" si="1"/>
        <v>260743.52</v>
      </c>
      <c r="M5" s="212">
        <f t="shared" si="2"/>
        <v>2423.52</v>
      </c>
      <c r="N5" s="52" t="s">
        <v>304</v>
      </c>
    </row>
    <row r="6" spans="1:14" customFormat="1" ht="19" customHeight="1" x14ac:dyDescent="0.35">
      <c r="A6" s="1">
        <v>3</v>
      </c>
      <c r="B6" s="6" t="s">
        <v>290</v>
      </c>
      <c r="C6" s="6" t="s">
        <v>12</v>
      </c>
      <c r="D6" s="6" t="s">
        <v>61</v>
      </c>
      <c r="E6" s="6" t="s">
        <v>66</v>
      </c>
      <c r="F6" s="40">
        <v>70327.98</v>
      </c>
      <c r="G6" s="41">
        <v>654.08000000000004</v>
      </c>
      <c r="H6" s="75">
        <v>45150</v>
      </c>
      <c r="I6" s="75">
        <v>45152</v>
      </c>
      <c r="J6" s="75">
        <v>45152</v>
      </c>
      <c r="K6" s="211">
        <f t="shared" si="0"/>
        <v>3</v>
      </c>
      <c r="L6" s="212">
        <f t="shared" si="1"/>
        <v>210983.94</v>
      </c>
      <c r="M6" s="212">
        <f t="shared" si="2"/>
        <v>1962.2400000000002</v>
      </c>
      <c r="N6" s="52" t="s">
        <v>305</v>
      </c>
    </row>
    <row r="7" spans="1:14" customFormat="1" x14ac:dyDescent="0.35">
      <c r="A7" s="1">
        <v>4</v>
      </c>
      <c r="B7" s="6" t="s">
        <v>291</v>
      </c>
      <c r="C7" s="7" t="s">
        <v>9</v>
      </c>
      <c r="D7" s="6" t="s">
        <v>61</v>
      </c>
      <c r="E7" s="6" t="s">
        <v>66</v>
      </c>
      <c r="F7" s="40">
        <v>32592.94</v>
      </c>
      <c r="G7" s="41">
        <v>302.94</v>
      </c>
      <c r="H7" s="75">
        <v>45150</v>
      </c>
      <c r="I7" s="75">
        <v>45152</v>
      </c>
      <c r="J7" s="75">
        <v>45152</v>
      </c>
      <c r="K7" s="211">
        <f t="shared" si="0"/>
        <v>3</v>
      </c>
      <c r="L7" s="212">
        <f t="shared" si="1"/>
        <v>97778.819999999992</v>
      </c>
      <c r="M7" s="212">
        <f t="shared" si="2"/>
        <v>908.81999999999994</v>
      </c>
      <c r="N7" s="52" t="s">
        <v>305</v>
      </c>
    </row>
    <row r="8" spans="1:14" customFormat="1" x14ac:dyDescent="0.35">
      <c r="A8" s="1">
        <v>5</v>
      </c>
      <c r="B8" s="6" t="s">
        <v>292</v>
      </c>
      <c r="C8" s="7" t="s">
        <v>9</v>
      </c>
      <c r="D8" s="6" t="s">
        <v>15</v>
      </c>
      <c r="E8" s="6" t="s">
        <v>213</v>
      </c>
      <c r="F8" s="40">
        <v>32592.94</v>
      </c>
      <c r="G8" s="41">
        <v>302.94</v>
      </c>
      <c r="H8" s="75">
        <v>45140</v>
      </c>
      <c r="I8" s="75">
        <v>45149</v>
      </c>
      <c r="J8" s="75">
        <v>45149</v>
      </c>
      <c r="K8" s="211">
        <f t="shared" si="0"/>
        <v>10</v>
      </c>
      <c r="L8" s="212">
        <f t="shared" si="1"/>
        <v>325929.39999999997</v>
      </c>
      <c r="M8" s="212">
        <f t="shared" si="2"/>
        <v>3029.4</v>
      </c>
      <c r="N8" s="52" t="s">
        <v>306</v>
      </c>
    </row>
    <row r="9" spans="1:14" customFormat="1" x14ac:dyDescent="0.35">
      <c r="A9" s="1">
        <v>6</v>
      </c>
      <c r="B9" s="6" t="s">
        <v>269</v>
      </c>
      <c r="C9" s="7" t="s">
        <v>12</v>
      </c>
      <c r="D9" s="6" t="s">
        <v>65</v>
      </c>
      <c r="E9" s="6" t="s">
        <v>37</v>
      </c>
      <c r="F9" s="40">
        <v>70327.98</v>
      </c>
      <c r="G9" s="41">
        <v>654.08000000000004</v>
      </c>
      <c r="H9" s="75">
        <v>45166</v>
      </c>
      <c r="I9" s="75">
        <v>45170</v>
      </c>
      <c r="J9" s="75">
        <v>45170</v>
      </c>
      <c r="K9" s="211">
        <f t="shared" si="0"/>
        <v>5</v>
      </c>
      <c r="L9" s="212">
        <f t="shared" si="1"/>
        <v>351639.89999999997</v>
      </c>
      <c r="M9" s="212">
        <f t="shared" si="2"/>
        <v>3270.4</v>
      </c>
      <c r="N9" s="52" t="s">
        <v>307</v>
      </c>
    </row>
    <row r="10" spans="1:14" customFormat="1" x14ac:dyDescent="0.35">
      <c r="A10" s="1">
        <v>7</v>
      </c>
      <c r="B10" s="6" t="s">
        <v>293</v>
      </c>
      <c r="C10" s="7" t="s">
        <v>9</v>
      </c>
      <c r="D10" s="6" t="s">
        <v>65</v>
      </c>
      <c r="E10" s="6" t="s">
        <v>37</v>
      </c>
      <c r="F10" s="40">
        <v>32592.94</v>
      </c>
      <c r="G10" s="41">
        <v>302.94</v>
      </c>
      <c r="H10" s="75">
        <v>45166</v>
      </c>
      <c r="I10" s="75">
        <v>45170</v>
      </c>
      <c r="J10" s="75">
        <v>45170</v>
      </c>
      <c r="K10" s="211">
        <f t="shared" si="0"/>
        <v>5</v>
      </c>
      <c r="L10" s="212">
        <f t="shared" si="1"/>
        <v>162964.69999999998</v>
      </c>
      <c r="M10" s="212">
        <f t="shared" si="2"/>
        <v>1514.7</v>
      </c>
      <c r="N10" s="52" t="s">
        <v>307</v>
      </c>
    </row>
    <row r="11" spans="1:14" customFormat="1" ht="19" customHeight="1" x14ac:dyDescent="0.35">
      <c r="A11" s="1"/>
      <c r="B11" s="6"/>
      <c r="C11" s="6"/>
      <c r="D11" s="6"/>
      <c r="E11" s="6"/>
      <c r="F11" s="40"/>
      <c r="G11" s="41"/>
      <c r="H11" s="58"/>
      <c r="I11" s="58"/>
      <c r="J11" s="58"/>
      <c r="K11" s="8"/>
      <c r="L11" s="213"/>
      <c r="M11" s="213"/>
      <c r="N11" s="52"/>
    </row>
    <row r="12" spans="1:14" customFormat="1" ht="21.5" x14ac:dyDescent="0.6">
      <c r="A12" s="59"/>
      <c r="B12" s="60"/>
      <c r="C12" s="61"/>
      <c r="D12" s="60"/>
      <c r="E12" s="62"/>
      <c r="F12" s="63"/>
      <c r="G12" s="64"/>
      <c r="H12" s="65"/>
      <c r="I12" s="66"/>
      <c r="J12" s="66"/>
      <c r="K12" s="67">
        <f>SUM(K4:K11)</f>
        <v>42</v>
      </c>
      <c r="L12" s="94">
        <f>SUM(L4:L11)</f>
        <v>1972664.1199999999</v>
      </c>
      <c r="M12" s="94">
        <f>SUM(M4:M11)</f>
        <v>18341.72</v>
      </c>
      <c r="N12" s="52"/>
    </row>
    <row r="13" spans="1:14" customFormat="1" ht="14.5" x14ac:dyDescent="0.35">
      <c r="L13" s="81"/>
      <c r="M13" s="81"/>
    </row>
    <row r="14" spans="1:14" customFormat="1" ht="14.5" x14ac:dyDescent="0.35">
      <c r="L14" s="81"/>
      <c r="M14" s="81" t="s">
        <v>39</v>
      </c>
    </row>
    <row r="15" spans="1:14" x14ac:dyDescent="0.35">
      <c r="G15" s="43"/>
      <c r="H15" s="43"/>
      <c r="M15" s="214"/>
      <c r="N15" s="43"/>
    </row>
    <row r="16" spans="1:14" x14ac:dyDescent="0.35">
      <c r="G16" s="43"/>
      <c r="H16" s="43"/>
      <c r="M16" s="214"/>
      <c r="N16" s="43"/>
    </row>
    <row r="17" spans="1:14" x14ac:dyDescent="0.35">
      <c r="G17" s="43"/>
      <c r="H17" s="43"/>
      <c r="M17" s="214"/>
      <c r="N17" s="43"/>
    </row>
    <row r="18" spans="1:14" x14ac:dyDescent="0.35">
      <c r="A18" s="49"/>
    </row>
    <row r="24" spans="1:14" x14ac:dyDescent="0.35">
      <c r="L24" s="105"/>
      <c r="M24" s="215"/>
      <c r="N24" s="50"/>
    </row>
    <row r="25" spans="1:14" x14ac:dyDescent="0.35">
      <c r="L25" s="105"/>
      <c r="M25" s="105"/>
      <c r="N25" s="50"/>
    </row>
    <row r="26" spans="1:14" x14ac:dyDescent="0.35">
      <c r="L26" s="105"/>
      <c r="M26" s="105"/>
      <c r="N26" s="50"/>
    </row>
    <row r="27" spans="1:14" x14ac:dyDescent="0.35">
      <c r="L27" s="105"/>
      <c r="M27" s="105"/>
      <c r="N27" s="50"/>
    </row>
  </sheetData>
  <mergeCells count="4">
    <mergeCell ref="A1:M1"/>
    <mergeCell ref="F2:G2"/>
    <mergeCell ref="I2:M2"/>
    <mergeCell ref="N2:N3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3786-9474-40D9-992F-1AA0E7CACF67}">
  <dimension ref="A1:O30"/>
  <sheetViews>
    <sheetView topLeftCell="D1" zoomScale="63" workbookViewId="0">
      <selection activeCell="L24" sqref="L2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4" width="17.26953125" style="10" customWidth="1"/>
    <col min="5" max="5" width="20" style="10" customWidth="1"/>
    <col min="6" max="6" width="15.7265625" style="10" customWidth="1"/>
    <col min="7" max="7" width="20" style="10" customWidth="1"/>
    <col min="8" max="9" width="16.54296875" style="10" customWidth="1"/>
    <col min="10" max="10" width="20.81640625" style="10" customWidth="1"/>
    <col min="11" max="11" width="20.453125" style="10" customWidth="1"/>
    <col min="12" max="12" width="21.81640625" style="10" customWidth="1"/>
    <col min="13" max="13" width="16.1796875" style="10" customWidth="1"/>
    <col min="14" max="14" width="14.7265625" style="10" customWidth="1"/>
    <col min="15" max="15" width="38.81640625" style="10" customWidth="1"/>
    <col min="16" max="16384" width="8.7265625" style="10"/>
  </cols>
  <sheetData>
    <row r="1" spans="1:15" customFormat="1" ht="32.15" customHeight="1" x14ac:dyDescent="0.55000000000000004">
      <c r="A1" s="254" t="s">
        <v>83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5" customFormat="1" x14ac:dyDescent="0.35">
      <c r="C2" s="52"/>
      <c r="D2" s="52"/>
      <c r="E2" s="52"/>
      <c r="F2" s="52"/>
      <c r="G2" s="256" t="s">
        <v>10</v>
      </c>
      <c r="H2" s="256"/>
      <c r="I2" s="53"/>
      <c r="J2" s="253" t="s">
        <v>82</v>
      </c>
      <c r="K2" s="253"/>
      <c r="L2" s="253"/>
      <c r="M2" s="253"/>
      <c r="N2" s="253"/>
    </row>
    <row r="3" spans="1:15" customFormat="1" ht="31" x14ac:dyDescent="0.35">
      <c r="A3" s="54" t="s">
        <v>0</v>
      </c>
      <c r="B3" s="54" t="s">
        <v>31</v>
      </c>
      <c r="C3" s="54" t="s">
        <v>1</v>
      </c>
      <c r="D3" s="54" t="s">
        <v>81</v>
      </c>
      <c r="E3" s="54" t="s">
        <v>2</v>
      </c>
      <c r="F3" s="54" t="s">
        <v>3</v>
      </c>
      <c r="G3" s="55" t="s">
        <v>4</v>
      </c>
      <c r="H3" s="54" t="s">
        <v>5</v>
      </c>
      <c r="I3" s="56" t="s">
        <v>137</v>
      </c>
      <c r="J3" s="57" t="s">
        <v>136</v>
      </c>
      <c r="K3" s="57" t="s">
        <v>135</v>
      </c>
      <c r="L3" s="57" t="s">
        <v>78</v>
      </c>
      <c r="M3" s="54" t="s">
        <v>4</v>
      </c>
      <c r="N3" s="54" t="s">
        <v>5</v>
      </c>
      <c r="O3" s="57" t="s">
        <v>77</v>
      </c>
    </row>
    <row r="4" spans="1:15" customFormat="1" x14ac:dyDescent="0.35">
      <c r="A4" s="1">
        <v>1</v>
      </c>
      <c r="B4" s="6" t="s">
        <v>212</v>
      </c>
      <c r="C4" s="7" t="s">
        <v>12</v>
      </c>
      <c r="D4" s="7" t="s">
        <v>294</v>
      </c>
      <c r="E4" s="6" t="s">
        <v>15</v>
      </c>
      <c r="F4" s="6" t="s">
        <v>59</v>
      </c>
      <c r="G4" s="40">
        <v>70327.98</v>
      </c>
      <c r="H4" s="41">
        <v>654.08000000000004</v>
      </c>
      <c r="I4" s="75">
        <v>45140</v>
      </c>
      <c r="J4" s="75">
        <v>45142</v>
      </c>
      <c r="K4" s="75">
        <v>45142</v>
      </c>
      <c r="L4" s="8">
        <v>2</v>
      </c>
      <c r="M4" s="212">
        <f t="shared" ref="M4" si="0">SUM(G4*L4)</f>
        <v>140655.96</v>
      </c>
      <c r="N4" s="212">
        <f>SUM(H4*L4)</f>
        <v>1308.1600000000001</v>
      </c>
      <c r="O4" s="216" t="s">
        <v>225</v>
      </c>
    </row>
    <row r="5" spans="1:15" customFormat="1" x14ac:dyDescent="0.35">
      <c r="A5" s="1">
        <v>2</v>
      </c>
      <c r="B5" s="6" t="s">
        <v>295</v>
      </c>
      <c r="C5" s="7" t="s">
        <v>9</v>
      </c>
      <c r="D5" s="7" t="s">
        <v>294</v>
      </c>
      <c r="E5" s="6" t="s">
        <v>15</v>
      </c>
      <c r="F5" s="6" t="s">
        <v>59</v>
      </c>
      <c r="G5" s="40">
        <v>32592.94</v>
      </c>
      <c r="H5" s="41">
        <v>302.94</v>
      </c>
      <c r="I5" s="75">
        <v>45140</v>
      </c>
      <c r="J5" s="75">
        <v>45142</v>
      </c>
      <c r="K5" s="75">
        <v>45142</v>
      </c>
      <c r="L5" s="8">
        <v>2</v>
      </c>
      <c r="M5" s="212">
        <f t="shared" ref="M5:M8" si="1">SUM(G5*L5)</f>
        <v>65185.88</v>
      </c>
      <c r="N5" s="212">
        <f>SUM(H5*L5)</f>
        <v>605.88</v>
      </c>
      <c r="O5" s="274" t="s">
        <v>225</v>
      </c>
    </row>
    <row r="6" spans="1:15" customFormat="1" ht="19" customHeight="1" x14ac:dyDescent="0.35">
      <c r="A6" s="1">
        <v>3</v>
      </c>
      <c r="B6" s="6" t="s">
        <v>296</v>
      </c>
      <c r="C6" s="6" t="s">
        <v>49</v>
      </c>
      <c r="D6" s="77" t="s">
        <v>297</v>
      </c>
      <c r="E6" s="6" t="s">
        <v>61</v>
      </c>
      <c r="F6" s="6" t="s">
        <v>37</v>
      </c>
      <c r="G6" s="40">
        <v>129066</v>
      </c>
      <c r="H6" s="41"/>
      <c r="I6" s="75">
        <v>45149</v>
      </c>
      <c r="J6" s="75">
        <v>45150</v>
      </c>
      <c r="K6" s="75">
        <v>45150</v>
      </c>
      <c r="L6" s="8">
        <v>1</v>
      </c>
      <c r="M6" s="212">
        <f t="shared" si="1"/>
        <v>129066</v>
      </c>
      <c r="N6" s="212">
        <f>SUM(H6*L6)</f>
        <v>0</v>
      </c>
      <c r="O6" s="275"/>
    </row>
    <row r="7" spans="1:15" customFormat="1" ht="31" x14ac:dyDescent="0.35">
      <c r="A7" s="1">
        <v>4</v>
      </c>
      <c r="B7" s="6" t="s">
        <v>298</v>
      </c>
      <c r="C7" s="7" t="s">
        <v>12</v>
      </c>
      <c r="D7" s="7" t="s">
        <v>299</v>
      </c>
      <c r="E7" s="6" t="s">
        <v>15</v>
      </c>
      <c r="F7" s="6" t="s">
        <v>112</v>
      </c>
      <c r="G7" s="40">
        <v>70327.98</v>
      </c>
      <c r="H7" s="41">
        <v>654.08000000000004</v>
      </c>
      <c r="I7" s="75">
        <v>45160</v>
      </c>
      <c r="J7" s="75">
        <v>45163</v>
      </c>
      <c r="K7" s="75">
        <v>45163</v>
      </c>
      <c r="L7" s="8">
        <v>3</v>
      </c>
      <c r="M7" s="212">
        <f t="shared" si="1"/>
        <v>210983.94</v>
      </c>
      <c r="N7" s="212">
        <f>SUM(H7*L7)</f>
        <v>1962.2400000000002</v>
      </c>
      <c r="O7" s="276" t="s">
        <v>300</v>
      </c>
    </row>
    <row r="8" spans="1:15" customFormat="1" x14ac:dyDescent="0.35">
      <c r="A8" s="1">
        <v>5</v>
      </c>
      <c r="B8" s="6" t="s">
        <v>301</v>
      </c>
      <c r="C8" s="7" t="s">
        <v>12</v>
      </c>
      <c r="D8" s="7" t="s">
        <v>294</v>
      </c>
      <c r="E8" s="6" t="s">
        <v>15</v>
      </c>
      <c r="F8" s="6" t="s">
        <v>112</v>
      </c>
      <c r="G8" s="40">
        <v>70327.98</v>
      </c>
      <c r="H8" s="41">
        <v>654.08000000000004</v>
      </c>
      <c r="I8" s="75">
        <v>45161</v>
      </c>
      <c r="J8" s="75">
        <v>45163</v>
      </c>
      <c r="K8" s="75">
        <v>45163</v>
      </c>
      <c r="L8" s="8">
        <v>3</v>
      </c>
      <c r="M8" s="212">
        <f t="shared" si="1"/>
        <v>210983.94</v>
      </c>
      <c r="N8" s="212">
        <f>SUM(H8*L8)</f>
        <v>1962.2400000000002</v>
      </c>
      <c r="O8" s="277"/>
    </row>
    <row r="9" spans="1:15" customFormat="1" x14ac:dyDescent="0.35">
      <c r="A9" s="1"/>
      <c r="B9" s="6"/>
      <c r="C9" s="7"/>
      <c r="D9" s="7"/>
      <c r="E9" s="6"/>
      <c r="F9" s="6"/>
      <c r="G9" s="40"/>
      <c r="H9" s="41"/>
      <c r="I9" s="58"/>
      <c r="J9" s="58"/>
      <c r="K9" s="58"/>
      <c r="L9" s="8"/>
      <c r="M9" s="213"/>
      <c r="N9" s="213"/>
      <c r="O9" s="52"/>
    </row>
    <row r="10" spans="1:15" customFormat="1" x14ac:dyDescent="0.35">
      <c r="A10" s="1"/>
      <c r="B10" s="6"/>
      <c r="C10" s="7"/>
      <c r="D10" s="7"/>
      <c r="E10" s="6"/>
      <c r="F10" s="6"/>
      <c r="G10" s="40"/>
      <c r="H10" s="41"/>
      <c r="I10" s="58"/>
      <c r="J10" s="58"/>
      <c r="K10" s="58"/>
      <c r="L10" s="8"/>
      <c r="M10" s="213"/>
      <c r="N10" s="213"/>
      <c r="O10" s="52"/>
    </row>
    <row r="11" spans="1:15" customFormat="1" x14ac:dyDescent="0.35">
      <c r="A11" s="1"/>
      <c r="B11" s="6"/>
      <c r="C11" s="7"/>
      <c r="D11" s="7"/>
      <c r="E11" s="6"/>
      <c r="F11" s="6"/>
      <c r="G11" s="40"/>
      <c r="H11" s="41"/>
      <c r="I11" s="58"/>
      <c r="J11" s="58"/>
      <c r="K11" s="58"/>
      <c r="L11" s="8"/>
      <c r="M11" s="213"/>
      <c r="N11" s="213"/>
      <c r="O11" s="52"/>
    </row>
    <row r="12" spans="1:15" customFormat="1" x14ac:dyDescent="0.35">
      <c r="A12" s="1"/>
      <c r="B12" s="6"/>
      <c r="C12" s="7"/>
      <c r="D12" s="7"/>
      <c r="E12" s="6"/>
      <c r="F12" s="6"/>
      <c r="G12" s="40"/>
      <c r="H12" s="41"/>
      <c r="I12" s="58"/>
      <c r="J12" s="58"/>
      <c r="K12" s="58"/>
      <c r="L12" s="8"/>
      <c r="M12" s="213"/>
      <c r="N12" s="213"/>
      <c r="O12" s="52"/>
    </row>
    <row r="13" spans="1:15" customFormat="1" x14ac:dyDescent="0.35">
      <c r="A13" s="1"/>
      <c r="B13" s="6"/>
      <c r="C13" s="7"/>
      <c r="D13" s="7"/>
      <c r="E13" s="6"/>
      <c r="F13" s="6"/>
      <c r="G13" s="40"/>
      <c r="H13" s="41"/>
      <c r="I13" s="58"/>
      <c r="J13" s="58"/>
      <c r="K13" s="58"/>
      <c r="L13" s="8"/>
      <c r="M13" s="213"/>
      <c r="N13" s="213"/>
      <c r="O13" s="52"/>
    </row>
    <row r="14" spans="1:15" customFormat="1" ht="19" customHeight="1" x14ac:dyDescent="0.35">
      <c r="A14" s="1"/>
      <c r="B14" s="6"/>
      <c r="C14" s="6"/>
      <c r="D14" s="6"/>
      <c r="E14" s="6"/>
      <c r="F14" s="6"/>
      <c r="G14" s="40"/>
      <c r="H14" s="41"/>
      <c r="I14" s="58"/>
      <c r="J14" s="58"/>
      <c r="K14" s="58"/>
      <c r="L14" s="8"/>
      <c r="M14" s="213"/>
      <c r="N14" s="213"/>
      <c r="O14" s="52"/>
    </row>
    <row r="15" spans="1:15" customFormat="1" ht="21.5" x14ac:dyDescent="0.6">
      <c r="A15" s="59"/>
      <c r="B15" s="60"/>
      <c r="C15" s="61"/>
      <c r="D15" s="61"/>
      <c r="E15" s="60"/>
      <c r="F15" s="62"/>
      <c r="G15" s="63"/>
      <c r="H15" s="64"/>
      <c r="I15" s="65"/>
      <c r="J15" s="66"/>
      <c r="K15" s="66"/>
      <c r="L15" s="67">
        <f>SUM(L4:L14)</f>
        <v>11</v>
      </c>
      <c r="M15" s="94">
        <f>SUM(M4:M14)</f>
        <v>756875.72</v>
      </c>
      <c r="N15" s="94">
        <f>SUM(N4:N14)</f>
        <v>5838.52</v>
      </c>
    </row>
    <row r="16" spans="1:15" customFormat="1" ht="14.5" x14ac:dyDescent="0.35"/>
    <row r="17" spans="1:15" customFormat="1" ht="14.5" x14ac:dyDescent="0.35">
      <c r="N17" t="s">
        <v>39</v>
      </c>
    </row>
    <row r="18" spans="1:15" x14ac:dyDescent="0.35">
      <c r="H18" s="43"/>
      <c r="I18" s="43"/>
      <c r="N18" s="43"/>
      <c r="O18" s="43"/>
    </row>
    <row r="19" spans="1:15" x14ac:dyDescent="0.35">
      <c r="H19" s="43"/>
      <c r="I19" s="43"/>
      <c r="N19" s="43"/>
      <c r="O19" s="43"/>
    </row>
    <row r="20" spans="1:15" x14ac:dyDescent="0.35">
      <c r="H20" s="43"/>
      <c r="I20" s="43"/>
      <c r="N20" s="43"/>
      <c r="O20" s="43"/>
    </row>
    <row r="21" spans="1:15" x14ac:dyDescent="0.35">
      <c r="A21" s="49"/>
    </row>
    <row r="27" spans="1:15" x14ac:dyDescent="0.35">
      <c r="M27" s="50"/>
      <c r="N27" s="51"/>
      <c r="O27" s="50"/>
    </row>
    <row r="28" spans="1:15" x14ac:dyDescent="0.35">
      <c r="M28" s="50"/>
      <c r="N28" s="50"/>
      <c r="O28" s="50"/>
    </row>
    <row r="29" spans="1:15" x14ac:dyDescent="0.35">
      <c r="M29" s="50"/>
      <c r="N29" s="50"/>
      <c r="O29" s="50"/>
    </row>
    <row r="30" spans="1:15" x14ac:dyDescent="0.35">
      <c r="M30" s="50"/>
      <c r="N30" s="50"/>
      <c r="O30" s="50"/>
    </row>
  </sheetData>
  <mergeCells count="5">
    <mergeCell ref="A1:N1"/>
    <mergeCell ref="G2:H2"/>
    <mergeCell ref="J2:N2"/>
    <mergeCell ref="O5:O6"/>
    <mergeCell ref="O7:O8"/>
  </mergeCells>
  <pageMargins left="0.7" right="0.7" top="0.75" bottom="0.75" header="0.3" footer="0.3"/>
  <pageSetup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17F9-D7C1-42C0-BC10-4E9C30F54073}">
  <dimension ref="A1:O26"/>
  <sheetViews>
    <sheetView topLeftCell="H1" zoomScale="63" workbookViewId="0">
      <selection activeCell="M21" sqref="M21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2.54296875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3.26953125" style="10" bestFit="1" customWidth="1"/>
    <col min="15" max="15" width="113.54296875" style="10" customWidth="1"/>
    <col min="16" max="16384" width="8.7265625" style="10"/>
  </cols>
  <sheetData>
    <row r="1" spans="1:15" ht="32.15" customHeight="1" x14ac:dyDescent="0.35">
      <c r="B1" s="278" t="s">
        <v>29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</row>
    <row r="2" spans="1:15" x14ac:dyDescent="0.35">
      <c r="G2" s="252" t="s">
        <v>10</v>
      </c>
      <c r="H2" s="252"/>
      <c r="J2" s="253" t="s">
        <v>30</v>
      </c>
      <c r="K2" s="253"/>
      <c r="L2" s="253"/>
      <c r="M2" s="253"/>
      <c r="N2" s="253"/>
      <c r="O2" s="269" t="s">
        <v>77</v>
      </c>
    </row>
    <row r="3" spans="1:15" x14ac:dyDescent="0.35">
      <c r="A3" s="10" t="s">
        <v>0</v>
      </c>
      <c r="B3" s="10" t="s">
        <v>31</v>
      </c>
      <c r="C3" s="10" t="s">
        <v>1</v>
      </c>
      <c r="D3" s="10" t="s">
        <v>32</v>
      </c>
      <c r="E3" s="201" t="s">
        <v>2</v>
      </c>
      <c r="F3" s="201" t="s">
        <v>3</v>
      </c>
      <c r="G3" s="10" t="s">
        <v>4</v>
      </c>
      <c r="H3" s="10" t="s">
        <v>5</v>
      </c>
      <c r="I3" s="10" t="s">
        <v>11</v>
      </c>
      <c r="J3" s="10" t="s">
        <v>6</v>
      </c>
      <c r="K3" s="10" t="s">
        <v>7</v>
      </c>
      <c r="L3" s="10" t="s">
        <v>8</v>
      </c>
      <c r="M3" s="10" t="s">
        <v>33</v>
      </c>
      <c r="N3" s="10" t="s">
        <v>34</v>
      </c>
      <c r="O3" s="271"/>
    </row>
    <row r="4" spans="1:15" ht="18.649999999999999" customHeight="1" x14ac:dyDescent="0.35">
      <c r="A4" s="53">
        <v>1</v>
      </c>
      <c r="B4" s="38" t="s">
        <v>308</v>
      </c>
      <c r="C4" s="53" t="s">
        <v>12</v>
      </c>
      <c r="D4" s="221">
        <v>4510488139</v>
      </c>
      <c r="E4" s="53" t="s">
        <v>26</v>
      </c>
      <c r="F4" s="53" t="s">
        <v>213</v>
      </c>
      <c r="G4" s="40">
        <v>70327.98</v>
      </c>
      <c r="H4" s="41">
        <v>654.08000000000004</v>
      </c>
      <c r="I4" s="218">
        <v>44935</v>
      </c>
      <c r="J4" s="218">
        <v>45191</v>
      </c>
      <c r="K4" s="219" t="s">
        <v>309</v>
      </c>
      <c r="L4" s="53">
        <v>8</v>
      </c>
      <c r="M4" s="119">
        <f t="shared" ref="M4:M16" si="0">SUM(G4*L4)</f>
        <v>562623.84</v>
      </c>
      <c r="N4" s="119">
        <f t="shared" ref="N4:N16" si="1">SUM(H4*L4)</f>
        <v>5232.6400000000003</v>
      </c>
      <c r="O4" s="187" t="s">
        <v>302</v>
      </c>
    </row>
    <row r="5" spans="1:15" x14ac:dyDescent="0.35">
      <c r="A5" s="53">
        <v>2</v>
      </c>
      <c r="B5" s="38" t="s">
        <v>310</v>
      </c>
      <c r="C5" s="53" t="s">
        <v>55</v>
      </c>
      <c r="D5" s="222">
        <v>4510490651</v>
      </c>
      <c r="E5" s="53" t="s">
        <v>26</v>
      </c>
      <c r="F5" s="53" t="s">
        <v>213</v>
      </c>
      <c r="G5" s="40">
        <v>120090.84</v>
      </c>
      <c r="H5" s="40">
        <v>1116.8800000000001</v>
      </c>
      <c r="I5" s="218">
        <v>44935</v>
      </c>
      <c r="J5" s="218">
        <v>45191</v>
      </c>
      <c r="K5" s="219" t="s">
        <v>309</v>
      </c>
      <c r="L5" s="53">
        <v>8</v>
      </c>
      <c r="M5" s="119">
        <f t="shared" si="0"/>
        <v>960726.72</v>
      </c>
      <c r="N5" s="119">
        <f t="shared" si="1"/>
        <v>8935.0400000000009</v>
      </c>
      <c r="O5" s="187" t="s">
        <v>302</v>
      </c>
    </row>
    <row r="6" spans="1:15" ht="18.649999999999999" customHeight="1" x14ac:dyDescent="0.35">
      <c r="A6" s="53">
        <v>3</v>
      </c>
      <c r="B6" s="38" t="s">
        <v>311</v>
      </c>
      <c r="C6" s="53" t="s">
        <v>12</v>
      </c>
      <c r="D6" s="223">
        <v>4510490434</v>
      </c>
      <c r="E6" s="53" t="s">
        <v>26</v>
      </c>
      <c r="F6" s="53" t="s">
        <v>213</v>
      </c>
      <c r="G6" s="40">
        <v>70327.98</v>
      </c>
      <c r="H6" s="41">
        <v>654.08000000000004</v>
      </c>
      <c r="I6" s="218">
        <v>44935</v>
      </c>
      <c r="J6" s="218">
        <v>45191</v>
      </c>
      <c r="K6" s="219" t="s">
        <v>309</v>
      </c>
      <c r="L6" s="53">
        <v>8</v>
      </c>
      <c r="M6" s="119">
        <f t="shared" si="0"/>
        <v>562623.84</v>
      </c>
      <c r="N6" s="119">
        <f t="shared" si="1"/>
        <v>5232.6400000000003</v>
      </c>
      <c r="O6" s="187" t="s">
        <v>302</v>
      </c>
    </row>
    <row r="7" spans="1:15" x14ac:dyDescent="0.35">
      <c r="A7" s="53">
        <v>4</v>
      </c>
      <c r="B7" s="53" t="s">
        <v>312</v>
      </c>
      <c r="C7" s="53" t="s">
        <v>12</v>
      </c>
      <c r="D7" s="220">
        <v>4510492463</v>
      </c>
      <c r="E7" s="53" t="s">
        <v>15</v>
      </c>
      <c r="F7" s="53" t="s">
        <v>217</v>
      </c>
      <c r="G7" s="40">
        <v>70327.98</v>
      </c>
      <c r="H7" s="41">
        <v>654.08000000000004</v>
      </c>
      <c r="I7" s="218">
        <v>44935</v>
      </c>
      <c r="J7" s="218">
        <v>45181</v>
      </c>
      <c r="K7" s="219" t="s">
        <v>313</v>
      </c>
      <c r="L7" s="53">
        <v>12</v>
      </c>
      <c r="M7" s="119">
        <f t="shared" si="0"/>
        <v>843935.76</v>
      </c>
      <c r="N7" s="119">
        <f t="shared" si="1"/>
        <v>7848.9600000000009</v>
      </c>
      <c r="O7" s="187" t="s">
        <v>302</v>
      </c>
    </row>
    <row r="8" spans="1:15" x14ac:dyDescent="0.35">
      <c r="A8" s="53">
        <v>5</v>
      </c>
      <c r="B8" s="53" t="s">
        <v>314</v>
      </c>
      <c r="C8" s="53" t="s">
        <v>9</v>
      </c>
      <c r="D8" s="220">
        <v>4510492463</v>
      </c>
      <c r="E8" s="53" t="s">
        <v>15</v>
      </c>
      <c r="F8" s="53" t="s">
        <v>217</v>
      </c>
      <c r="G8" s="40">
        <v>32592.94</v>
      </c>
      <c r="H8" s="41">
        <v>302.94</v>
      </c>
      <c r="I8" s="218">
        <v>44935</v>
      </c>
      <c r="J8" s="218">
        <v>45181</v>
      </c>
      <c r="K8" s="219" t="s">
        <v>313</v>
      </c>
      <c r="L8" s="53">
        <v>12</v>
      </c>
      <c r="M8" s="119">
        <f t="shared" si="0"/>
        <v>391115.27999999997</v>
      </c>
      <c r="N8" s="119">
        <f t="shared" si="1"/>
        <v>3635.2799999999997</v>
      </c>
      <c r="O8" s="187" t="s">
        <v>302</v>
      </c>
    </row>
    <row r="9" spans="1:15" x14ac:dyDescent="0.35">
      <c r="A9" s="53">
        <v>6</v>
      </c>
      <c r="B9" s="53" t="s">
        <v>269</v>
      </c>
      <c r="C9" s="53" t="s">
        <v>12</v>
      </c>
      <c r="D9" s="223">
        <v>4510492459</v>
      </c>
      <c r="E9" s="53" t="s">
        <v>15</v>
      </c>
      <c r="F9" s="53" t="s">
        <v>217</v>
      </c>
      <c r="G9" s="40">
        <v>70327.98</v>
      </c>
      <c r="H9" s="41">
        <v>654.08000000000004</v>
      </c>
      <c r="I9" s="218">
        <v>44935</v>
      </c>
      <c r="J9" s="218">
        <v>45185</v>
      </c>
      <c r="K9" s="219" t="s">
        <v>309</v>
      </c>
      <c r="L9" s="53">
        <v>14</v>
      </c>
      <c r="M9" s="119">
        <f t="shared" si="0"/>
        <v>984591.72</v>
      </c>
      <c r="N9" s="119">
        <f t="shared" si="1"/>
        <v>9157.1200000000008</v>
      </c>
      <c r="O9" s="187" t="s">
        <v>302</v>
      </c>
    </row>
    <row r="10" spans="1:15" x14ac:dyDescent="0.35">
      <c r="A10" s="53">
        <v>7</v>
      </c>
      <c r="B10" s="53" t="s">
        <v>293</v>
      </c>
      <c r="C10" s="53" t="s">
        <v>9</v>
      </c>
      <c r="D10" s="223">
        <v>4510492459</v>
      </c>
      <c r="E10" s="53" t="s">
        <v>15</v>
      </c>
      <c r="F10" s="53" t="s">
        <v>217</v>
      </c>
      <c r="G10" s="40">
        <v>32592.94</v>
      </c>
      <c r="H10" s="41">
        <v>302.94</v>
      </c>
      <c r="I10" s="218">
        <v>44935</v>
      </c>
      <c r="J10" s="218">
        <v>45185</v>
      </c>
      <c r="K10" s="219" t="s">
        <v>309</v>
      </c>
      <c r="L10" s="53">
        <v>14</v>
      </c>
      <c r="M10" s="119">
        <f t="shared" si="0"/>
        <v>456301.16</v>
      </c>
      <c r="N10" s="119">
        <f t="shared" si="1"/>
        <v>4241.16</v>
      </c>
      <c r="O10" s="187" t="s">
        <v>302</v>
      </c>
    </row>
    <row r="11" spans="1:15" ht="18.649999999999999" customHeight="1" x14ac:dyDescent="0.35">
      <c r="A11" s="53">
        <v>8</v>
      </c>
      <c r="B11" s="53" t="s">
        <v>315</v>
      </c>
      <c r="C11" s="53" t="s">
        <v>131</v>
      </c>
      <c r="D11" s="224">
        <v>4510490480</v>
      </c>
      <c r="E11" s="53" t="s">
        <v>15</v>
      </c>
      <c r="F11" s="53" t="s">
        <v>316</v>
      </c>
      <c r="G11" s="40">
        <v>32592.94</v>
      </c>
      <c r="H11" s="41">
        <v>302.94</v>
      </c>
      <c r="I11" s="218">
        <v>44935</v>
      </c>
      <c r="J11" s="218">
        <v>45178</v>
      </c>
      <c r="K11" s="219" t="s">
        <v>317</v>
      </c>
      <c r="L11" s="53">
        <v>16</v>
      </c>
      <c r="M11" s="119">
        <f>SUM(G11*L11)</f>
        <v>521487.04</v>
      </c>
      <c r="N11" s="119">
        <f>SUM(H11*L11)</f>
        <v>4847.04</v>
      </c>
      <c r="O11" s="187" t="s">
        <v>302</v>
      </c>
    </row>
    <row r="12" spans="1:15" ht="18.649999999999999" customHeight="1" x14ac:dyDescent="0.35">
      <c r="A12" s="53">
        <v>9</v>
      </c>
      <c r="B12" s="53" t="s">
        <v>220</v>
      </c>
      <c r="C12" s="53" t="s">
        <v>131</v>
      </c>
      <c r="D12" s="224">
        <v>4510490480</v>
      </c>
      <c r="E12" s="53" t="s">
        <v>15</v>
      </c>
      <c r="F12" s="53" t="s">
        <v>316</v>
      </c>
      <c r="G12" s="40">
        <v>32592.94</v>
      </c>
      <c r="H12" s="41">
        <v>302.94</v>
      </c>
      <c r="I12" s="218">
        <v>44935</v>
      </c>
      <c r="J12" s="218">
        <v>45180</v>
      </c>
      <c r="K12" s="219" t="s">
        <v>317</v>
      </c>
      <c r="L12" s="53">
        <v>14</v>
      </c>
      <c r="M12" s="119">
        <f>SUM(G12*L12)</f>
        <v>456301.16</v>
      </c>
      <c r="N12" s="119">
        <f>SUM(H12*L12)</f>
        <v>4241.16</v>
      </c>
      <c r="O12" s="187" t="s">
        <v>302</v>
      </c>
    </row>
    <row r="13" spans="1:15" x14ac:dyDescent="0.35">
      <c r="A13" s="53">
        <v>10</v>
      </c>
      <c r="B13" s="53" t="s">
        <v>318</v>
      </c>
      <c r="C13" s="53" t="s">
        <v>131</v>
      </c>
      <c r="D13" s="224">
        <v>4510490480</v>
      </c>
      <c r="E13" s="53" t="s">
        <v>15</v>
      </c>
      <c r="F13" s="53" t="s">
        <v>316</v>
      </c>
      <c r="G13" s="40">
        <v>32592.94</v>
      </c>
      <c r="H13" s="41">
        <v>302.94</v>
      </c>
      <c r="I13" s="218">
        <v>44935</v>
      </c>
      <c r="J13" s="218">
        <v>45183</v>
      </c>
      <c r="K13" s="219" t="s">
        <v>317</v>
      </c>
      <c r="L13" s="53">
        <v>10</v>
      </c>
      <c r="M13" s="119">
        <f t="shared" ref="M13:M15" si="2">SUM(G13*L13)</f>
        <v>325929.39999999997</v>
      </c>
      <c r="N13" s="119">
        <f t="shared" ref="N13:N15" si="3">SUM(H13*L13)</f>
        <v>3029.4</v>
      </c>
      <c r="O13" s="187" t="s">
        <v>302</v>
      </c>
    </row>
    <row r="14" spans="1:15" ht="18.649999999999999" customHeight="1" x14ac:dyDescent="0.35">
      <c r="A14" s="53">
        <v>11</v>
      </c>
      <c r="B14" s="206" t="s">
        <v>319</v>
      </c>
      <c r="C14" s="53" t="s">
        <v>87</v>
      </c>
      <c r="D14" s="224" t="s">
        <v>275</v>
      </c>
      <c r="E14" s="53" t="s">
        <v>15</v>
      </c>
      <c r="F14" s="53" t="s">
        <v>316</v>
      </c>
      <c r="G14" s="40">
        <v>135587.07</v>
      </c>
      <c r="H14" s="41">
        <v>1260.72</v>
      </c>
      <c r="I14" s="218">
        <v>44935</v>
      </c>
      <c r="J14" s="218">
        <v>45178</v>
      </c>
      <c r="K14" s="219" t="s">
        <v>317</v>
      </c>
      <c r="L14" s="53">
        <v>16</v>
      </c>
      <c r="M14" s="119">
        <f t="shared" si="2"/>
        <v>2169393.12</v>
      </c>
      <c r="N14" s="119">
        <f t="shared" si="3"/>
        <v>20171.52</v>
      </c>
      <c r="O14" s="187" t="s">
        <v>302</v>
      </c>
    </row>
    <row r="15" spans="1:15" ht="18.649999999999999" customHeight="1" x14ac:dyDescent="0.35">
      <c r="A15" s="53"/>
      <c r="B15" s="206"/>
      <c r="C15" s="53"/>
      <c r="D15" s="53"/>
      <c r="E15" s="53"/>
      <c r="F15" s="53"/>
      <c r="G15" s="207"/>
      <c r="H15" s="207"/>
      <c r="I15" s="218"/>
      <c r="J15" s="218"/>
      <c r="K15" s="219"/>
      <c r="L15" s="53"/>
      <c r="M15" s="119">
        <f t="shared" si="2"/>
        <v>0</v>
      </c>
      <c r="N15" s="119">
        <f t="shared" si="3"/>
        <v>0</v>
      </c>
    </row>
    <row r="16" spans="1:15" x14ac:dyDescent="0.35">
      <c r="G16" s="43"/>
      <c r="H16" s="43"/>
      <c r="M16" s="74">
        <f t="shared" si="0"/>
        <v>0</v>
      </c>
      <c r="N16" s="74">
        <f t="shared" si="1"/>
        <v>0</v>
      </c>
    </row>
    <row r="17" spans="1:14" x14ac:dyDescent="0.35">
      <c r="A17" s="49"/>
      <c r="K17" s="10" t="s">
        <v>38</v>
      </c>
      <c r="L17" s="10">
        <f>SUM(L4:L9)</f>
        <v>62</v>
      </c>
      <c r="M17" s="74">
        <f>SUBTOTAL(109,Table1345678910[NGN])</f>
        <v>8235029.040000001</v>
      </c>
      <c r="N17" s="74">
        <f>SUBTOTAL(109,Table1345678910[USD])</f>
        <v>76571.959999999992</v>
      </c>
    </row>
    <row r="19" spans="1:14" x14ac:dyDescent="0.35">
      <c r="F19" s="10" t="s">
        <v>39</v>
      </c>
    </row>
    <row r="21" spans="1:14" x14ac:dyDescent="0.35">
      <c r="J21" s="10" t="s">
        <v>39</v>
      </c>
    </row>
    <row r="23" spans="1:14" x14ac:dyDescent="0.35">
      <c r="L23" s="50"/>
      <c r="M23" s="51"/>
      <c r="N23" s="50"/>
    </row>
    <row r="24" spans="1:14" x14ac:dyDescent="0.35">
      <c r="L24" s="50"/>
      <c r="M24" s="50"/>
      <c r="N24" s="50"/>
    </row>
    <row r="25" spans="1:14" x14ac:dyDescent="0.35">
      <c r="L25" s="50"/>
      <c r="M25" s="50"/>
      <c r="N25" s="50"/>
    </row>
    <row r="26" spans="1:14" x14ac:dyDescent="0.35">
      <c r="L26" s="50"/>
      <c r="M26" s="50"/>
      <c r="N26" s="50"/>
    </row>
  </sheetData>
  <mergeCells count="4">
    <mergeCell ref="G2:H2"/>
    <mergeCell ref="J2:N2"/>
    <mergeCell ref="B1:N1"/>
    <mergeCell ref="O2:O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3854-6DF8-485C-9E51-568F66A22176}">
  <dimension ref="A1:N31"/>
  <sheetViews>
    <sheetView zoomScale="63" workbookViewId="0">
      <selection activeCell="G25" sqref="G25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3.26953125" style="10" bestFit="1" customWidth="1"/>
    <col min="15" max="16384" width="8.7265625" style="10"/>
  </cols>
  <sheetData>
    <row r="1" spans="1:13" customFormat="1" ht="32.15" customHeight="1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3" customFormat="1" x14ac:dyDescent="0.35">
      <c r="C2" s="52"/>
      <c r="D2" s="52"/>
      <c r="E2" s="52"/>
      <c r="F2" s="256" t="s">
        <v>10</v>
      </c>
      <c r="G2" s="256"/>
      <c r="H2" s="53"/>
      <c r="I2" s="253" t="s">
        <v>41</v>
      </c>
      <c r="J2" s="253"/>
      <c r="K2" s="253"/>
      <c r="L2" s="253"/>
      <c r="M2" s="253"/>
    </row>
    <row r="3" spans="1:13" customFormat="1" ht="31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42</v>
      </c>
      <c r="I3" s="57" t="s">
        <v>43</v>
      </c>
      <c r="J3" s="57" t="s">
        <v>44</v>
      </c>
      <c r="K3" s="57" t="s">
        <v>8</v>
      </c>
      <c r="L3" s="54" t="s">
        <v>4</v>
      </c>
      <c r="M3" s="54" t="s">
        <v>5</v>
      </c>
    </row>
    <row r="4" spans="1:13" customFormat="1" x14ac:dyDescent="0.35">
      <c r="A4" s="1"/>
      <c r="B4" s="6"/>
      <c r="C4" s="7"/>
      <c r="D4" s="6"/>
      <c r="E4" s="6"/>
      <c r="F4" s="40"/>
      <c r="G4" s="41"/>
      <c r="H4" s="58"/>
      <c r="I4" s="58"/>
      <c r="J4" s="58"/>
      <c r="K4" s="8"/>
      <c r="L4" s="9"/>
      <c r="M4" s="9"/>
    </row>
    <row r="5" spans="1:13" customFormat="1" ht="19" customHeight="1" x14ac:dyDescent="0.35">
      <c r="A5" s="1"/>
      <c r="B5" s="6"/>
      <c r="C5" s="6"/>
      <c r="D5" s="6"/>
      <c r="E5" s="6"/>
      <c r="F5" s="40"/>
      <c r="G5" s="41"/>
      <c r="H5" s="58"/>
      <c r="I5" s="58"/>
      <c r="J5" s="58"/>
      <c r="K5" s="8"/>
      <c r="L5" s="9"/>
      <c r="M5" s="9"/>
    </row>
    <row r="6" spans="1:13" customFormat="1" x14ac:dyDescent="0.35">
      <c r="A6" s="1"/>
      <c r="B6" s="6"/>
      <c r="C6" s="7"/>
      <c r="D6" s="6"/>
      <c r="E6" s="6"/>
      <c r="F6" s="40"/>
      <c r="G6" s="41"/>
      <c r="H6" s="58"/>
      <c r="I6" s="58"/>
      <c r="J6" s="58"/>
      <c r="K6" s="8"/>
      <c r="L6" s="9"/>
      <c r="M6" s="9"/>
    </row>
    <row r="7" spans="1:13" customFormat="1" ht="19" customHeight="1" x14ac:dyDescent="0.35">
      <c r="A7" s="1"/>
      <c r="B7" s="6"/>
      <c r="C7" s="6"/>
      <c r="D7" s="6"/>
      <c r="E7" s="6"/>
      <c r="F7" s="40"/>
      <c r="G7" s="41"/>
      <c r="H7" s="58"/>
      <c r="I7" s="58"/>
      <c r="J7" s="58"/>
      <c r="K7" s="8"/>
      <c r="L7" s="9"/>
      <c r="M7" s="9"/>
    </row>
    <row r="8" spans="1:13" customFormat="1" x14ac:dyDescent="0.35">
      <c r="A8" s="1"/>
      <c r="B8" s="6"/>
      <c r="C8" s="7"/>
      <c r="D8" s="6"/>
      <c r="E8" s="6"/>
      <c r="F8" s="40"/>
      <c r="G8" s="41"/>
      <c r="H8" s="58"/>
      <c r="I8" s="58"/>
      <c r="J8" s="58"/>
      <c r="K8" s="8"/>
      <c r="L8" s="9"/>
      <c r="M8" s="9"/>
    </row>
    <row r="9" spans="1:13" customFormat="1" ht="19" customHeight="1" x14ac:dyDescent="0.35">
      <c r="A9" s="1"/>
      <c r="B9" s="6"/>
      <c r="C9" s="6"/>
      <c r="D9" s="6"/>
      <c r="E9" s="6"/>
      <c r="F9" s="40"/>
      <c r="G9" s="41"/>
      <c r="H9" s="58"/>
      <c r="I9" s="58"/>
      <c r="J9" s="58"/>
      <c r="K9" s="8"/>
      <c r="L9" s="9"/>
      <c r="M9" s="9"/>
    </row>
    <row r="10" spans="1:13" customFormat="1" x14ac:dyDescent="0.35">
      <c r="A10" s="1"/>
      <c r="B10" s="6"/>
      <c r="C10" s="7"/>
      <c r="D10" s="6"/>
      <c r="E10" s="6"/>
      <c r="F10" s="40"/>
      <c r="G10" s="41"/>
      <c r="H10" s="58"/>
      <c r="I10" s="58"/>
      <c r="J10" s="58"/>
      <c r="K10" s="8"/>
      <c r="L10" s="9"/>
      <c r="M10" s="9"/>
    </row>
    <row r="11" spans="1:13" customFormat="1" x14ac:dyDescent="0.35">
      <c r="A11" s="1"/>
      <c r="B11" s="6"/>
      <c r="C11" s="7"/>
      <c r="D11" s="6"/>
      <c r="E11" s="6"/>
      <c r="F11" s="40"/>
      <c r="G11" s="41"/>
      <c r="H11" s="58"/>
      <c r="I11" s="58"/>
      <c r="J11" s="58"/>
      <c r="K11" s="8"/>
      <c r="L11" s="9"/>
      <c r="M11" s="9"/>
    </row>
    <row r="12" spans="1:13" customFormat="1" x14ac:dyDescent="0.35">
      <c r="A12" s="1"/>
      <c r="B12" s="6"/>
      <c r="C12" s="7"/>
      <c r="D12" s="6"/>
      <c r="E12" s="6"/>
      <c r="F12" s="40"/>
      <c r="G12" s="41"/>
      <c r="H12" s="58"/>
      <c r="I12" s="58"/>
      <c r="J12" s="58"/>
      <c r="K12" s="8"/>
      <c r="L12" s="9"/>
      <c r="M12" s="9"/>
    </row>
    <row r="13" spans="1:13" customFormat="1" x14ac:dyDescent="0.35">
      <c r="A13" s="1"/>
      <c r="B13" s="6"/>
      <c r="C13" s="7"/>
      <c r="D13" s="6"/>
      <c r="E13" s="6"/>
      <c r="F13" s="40"/>
      <c r="G13" s="41"/>
      <c r="H13" s="58"/>
      <c r="I13" s="58"/>
      <c r="J13" s="58"/>
      <c r="K13" s="8"/>
      <c r="L13" s="9"/>
      <c r="M13" s="9"/>
    </row>
    <row r="14" spans="1:13" customFormat="1" x14ac:dyDescent="0.35">
      <c r="A14" s="1"/>
      <c r="B14" s="6"/>
      <c r="C14" s="7"/>
      <c r="D14" s="6"/>
      <c r="E14" s="6"/>
      <c r="F14" s="40"/>
      <c r="G14" s="41"/>
      <c r="H14" s="58"/>
      <c r="I14" s="58"/>
      <c r="J14" s="58"/>
      <c r="K14" s="8"/>
      <c r="L14" s="9"/>
      <c r="M14" s="9"/>
    </row>
    <row r="15" spans="1:13" customFormat="1" ht="19" customHeight="1" x14ac:dyDescent="0.35">
      <c r="A15" s="1"/>
      <c r="B15" s="6"/>
      <c r="C15" s="6"/>
      <c r="D15" s="6"/>
      <c r="E15" s="6"/>
      <c r="F15" s="40"/>
      <c r="G15" s="41"/>
      <c r="H15" s="58"/>
      <c r="I15" s="58"/>
      <c r="J15" s="58"/>
      <c r="K15" s="8"/>
      <c r="L15" s="9"/>
      <c r="M15" s="9"/>
    </row>
    <row r="16" spans="1:13" customFormat="1" ht="21.5" x14ac:dyDescent="0.6">
      <c r="A16" s="59"/>
      <c r="B16" s="60"/>
      <c r="C16" s="61"/>
      <c r="D16" s="60"/>
      <c r="E16" s="62"/>
      <c r="F16" s="63"/>
      <c r="G16" s="64"/>
      <c r="H16" s="65"/>
      <c r="I16" s="66"/>
      <c r="J16" s="66"/>
      <c r="K16" s="67">
        <f>SUM(K4:K15)</f>
        <v>0</v>
      </c>
      <c r="L16" s="68">
        <f>SUM(L4:L15)</f>
        <v>0</v>
      </c>
      <c r="M16" s="69">
        <f>SUM(M4:M15)</f>
        <v>0</v>
      </c>
    </row>
    <row r="17" spans="1:14" customFormat="1" ht="14.5" x14ac:dyDescent="0.35"/>
    <row r="18" spans="1:14" customFormat="1" ht="14.5" x14ac:dyDescent="0.35">
      <c r="M18" t="s">
        <v>39</v>
      </c>
    </row>
    <row r="19" spans="1:14" x14ac:dyDescent="0.35">
      <c r="G19" s="43"/>
      <c r="H19" s="43"/>
      <c r="M19" s="43"/>
      <c r="N19" s="43"/>
    </row>
    <row r="20" spans="1:14" x14ac:dyDescent="0.35">
      <c r="G20" s="43"/>
      <c r="H20" s="43"/>
      <c r="M20" s="43"/>
      <c r="N20" s="43"/>
    </row>
    <row r="21" spans="1:14" x14ac:dyDescent="0.35">
      <c r="G21" s="43"/>
      <c r="H21" s="43"/>
      <c r="M21" s="43"/>
      <c r="N21" s="43"/>
    </row>
    <row r="22" spans="1:14" x14ac:dyDescent="0.35">
      <c r="A22" s="49"/>
    </row>
    <row r="28" spans="1:14" x14ac:dyDescent="0.35">
      <c r="L28" s="50"/>
      <c r="M28" s="51"/>
      <c r="N28" s="50"/>
    </row>
    <row r="29" spans="1:14" x14ac:dyDescent="0.35">
      <c r="L29" s="50"/>
      <c r="M29" s="50"/>
      <c r="N29" s="50"/>
    </row>
    <row r="30" spans="1:14" x14ac:dyDescent="0.35">
      <c r="L30" s="50"/>
      <c r="M30" s="50"/>
      <c r="N30" s="50"/>
    </row>
    <row r="31" spans="1:14" x14ac:dyDescent="0.35">
      <c r="L31" s="50"/>
      <c r="M31" s="50"/>
      <c r="N31" s="50"/>
    </row>
  </sheetData>
  <mergeCells count="3">
    <mergeCell ref="A1:M1"/>
    <mergeCell ref="F2:G2"/>
    <mergeCell ref="I2:M2"/>
  </mergeCells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BBFB-FB22-4872-ABA4-C0D5F4356519}">
  <dimension ref="A1:N25"/>
  <sheetViews>
    <sheetView topLeftCell="F1" zoomScale="63" workbookViewId="0">
      <selection activeCell="M10" sqref="M10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20" style="10" customWidth="1"/>
    <col min="13" max="13" width="19.81640625" style="10" bestFit="1" customWidth="1"/>
    <col min="14" max="14" width="107.81640625" style="10" customWidth="1"/>
    <col min="15" max="16384" width="8.7265625" style="10"/>
  </cols>
  <sheetData>
    <row r="1" spans="1:14" customFormat="1" ht="32.15" customHeight="1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4" customFormat="1" x14ac:dyDescent="0.35">
      <c r="C2" s="52"/>
      <c r="D2" s="52"/>
      <c r="E2" s="52"/>
      <c r="F2" s="256" t="s">
        <v>10</v>
      </c>
      <c r="G2" s="256"/>
      <c r="H2" s="53"/>
      <c r="I2" s="253" t="s">
        <v>41</v>
      </c>
      <c r="J2" s="253"/>
      <c r="K2" s="253"/>
      <c r="L2" s="253"/>
      <c r="M2" s="253"/>
      <c r="N2" s="272" t="s">
        <v>77</v>
      </c>
    </row>
    <row r="3" spans="1:14" customFormat="1" ht="31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42</v>
      </c>
      <c r="I3" s="57" t="s">
        <v>43</v>
      </c>
      <c r="J3" s="57" t="s">
        <v>44</v>
      </c>
      <c r="K3" s="57" t="s">
        <v>8</v>
      </c>
      <c r="L3" s="54" t="s">
        <v>4</v>
      </c>
      <c r="M3" s="54" t="s">
        <v>5</v>
      </c>
      <c r="N3" s="273"/>
    </row>
    <row r="4" spans="1:14" customFormat="1" ht="19" customHeight="1" x14ac:dyDescent="0.35">
      <c r="A4" s="1">
        <v>1</v>
      </c>
      <c r="B4" s="6" t="s">
        <v>320</v>
      </c>
      <c r="C4" s="6" t="s">
        <v>12</v>
      </c>
      <c r="D4" s="6" t="s">
        <v>61</v>
      </c>
      <c r="E4" s="6" t="s">
        <v>321</v>
      </c>
      <c r="F4" s="40">
        <v>70327.98</v>
      </c>
      <c r="G4" s="41">
        <v>654.08000000000004</v>
      </c>
      <c r="H4" s="75">
        <v>45184</v>
      </c>
      <c r="I4" s="75">
        <v>45186</v>
      </c>
      <c r="J4" s="75">
        <v>45186</v>
      </c>
      <c r="K4" s="8">
        <f t="shared" ref="K4:K7" si="0">J4-H4+1</f>
        <v>3</v>
      </c>
      <c r="L4" s="124">
        <f t="shared" ref="L4:L7" si="1">SUM(F4*K4)</f>
        <v>210983.94</v>
      </c>
      <c r="M4" s="124">
        <f t="shared" ref="M4:M7" si="2">SUM(G4*K4)</f>
        <v>1962.2400000000002</v>
      </c>
      <c r="N4" s="52" t="s">
        <v>323</v>
      </c>
    </row>
    <row r="5" spans="1:14" customFormat="1" x14ac:dyDescent="0.35">
      <c r="A5" s="1">
        <v>2</v>
      </c>
      <c r="B5" s="6" t="s">
        <v>322</v>
      </c>
      <c r="C5" s="7" t="s">
        <v>9</v>
      </c>
      <c r="D5" s="6" t="s">
        <v>61</v>
      </c>
      <c r="E5" s="6" t="s">
        <v>321</v>
      </c>
      <c r="F5" s="40">
        <v>32592.94</v>
      </c>
      <c r="G5" s="41">
        <v>302.94</v>
      </c>
      <c r="H5" s="75">
        <v>45184</v>
      </c>
      <c r="I5" s="75">
        <v>45186</v>
      </c>
      <c r="J5" s="75">
        <v>45186</v>
      </c>
      <c r="K5" s="8">
        <f t="shared" si="0"/>
        <v>3</v>
      </c>
      <c r="L5" s="124">
        <f t="shared" si="1"/>
        <v>97778.819999999992</v>
      </c>
      <c r="M5" s="124">
        <f t="shared" si="2"/>
        <v>908.81999999999994</v>
      </c>
      <c r="N5" s="52" t="s">
        <v>323</v>
      </c>
    </row>
    <row r="6" spans="1:14" customFormat="1" ht="19" customHeight="1" x14ac:dyDescent="0.35">
      <c r="A6" s="1">
        <v>3</v>
      </c>
      <c r="B6" s="6" t="s">
        <v>54</v>
      </c>
      <c r="C6" s="6" t="s">
        <v>12</v>
      </c>
      <c r="D6" s="6" t="s">
        <v>61</v>
      </c>
      <c r="E6" s="6" t="s">
        <v>217</v>
      </c>
      <c r="F6" s="40">
        <v>70327.98</v>
      </c>
      <c r="G6" s="41">
        <v>654.08000000000004</v>
      </c>
      <c r="H6" s="75">
        <v>45184</v>
      </c>
      <c r="I6" s="75">
        <v>45186</v>
      </c>
      <c r="J6" s="75">
        <v>45186</v>
      </c>
      <c r="K6" s="8">
        <f t="shared" si="0"/>
        <v>3</v>
      </c>
      <c r="L6" s="124">
        <f t="shared" si="1"/>
        <v>210983.94</v>
      </c>
      <c r="M6" s="124">
        <f t="shared" si="2"/>
        <v>1962.2400000000002</v>
      </c>
      <c r="N6" s="52" t="s">
        <v>324</v>
      </c>
    </row>
    <row r="7" spans="1:14" customFormat="1" x14ac:dyDescent="0.35">
      <c r="A7" s="1">
        <v>4</v>
      </c>
      <c r="B7" s="6" t="s">
        <v>291</v>
      </c>
      <c r="C7" s="7" t="s">
        <v>9</v>
      </c>
      <c r="D7" s="6" t="s">
        <v>61</v>
      </c>
      <c r="E7" s="6" t="s">
        <v>217</v>
      </c>
      <c r="F7" s="40">
        <v>32592.94</v>
      </c>
      <c r="G7" s="41">
        <v>302.94</v>
      </c>
      <c r="H7" s="75">
        <v>45184</v>
      </c>
      <c r="I7" s="75">
        <v>45186</v>
      </c>
      <c r="J7" s="75">
        <v>45186</v>
      </c>
      <c r="K7" s="8">
        <f t="shared" si="0"/>
        <v>3</v>
      </c>
      <c r="L7" s="124">
        <f t="shared" si="1"/>
        <v>97778.819999999992</v>
      </c>
      <c r="M7" s="124">
        <f t="shared" si="2"/>
        <v>908.81999999999994</v>
      </c>
      <c r="N7" s="52" t="s">
        <v>324</v>
      </c>
    </row>
    <row r="8" spans="1:14" customFormat="1" x14ac:dyDescent="0.35">
      <c r="A8" s="1"/>
      <c r="B8" s="6"/>
      <c r="C8" s="7"/>
      <c r="D8" s="6"/>
      <c r="E8" s="6"/>
      <c r="F8" s="40"/>
      <c r="G8" s="82"/>
      <c r="H8" s="225"/>
      <c r="I8" s="226"/>
      <c r="J8" s="226"/>
      <c r="K8" s="8"/>
      <c r="L8" s="124"/>
      <c r="M8" s="124"/>
    </row>
    <row r="9" spans="1:14" customFormat="1" ht="19" customHeight="1" x14ac:dyDescent="0.35">
      <c r="A9" s="1"/>
      <c r="B9" s="6"/>
      <c r="C9" s="6"/>
      <c r="D9" s="6"/>
      <c r="E9" s="6"/>
      <c r="F9" s="40"/>
      <c r="G9" s="41"/>
      <c r="H9" s="58"/>
      <c r="I9" s="58"/>
      <c r="J9" s="58"/>
      <c r="K9" s="8"/>
      <c r="L9" s="125"/>
      <c r="M9" s="125"/>
    </row>
    <row r="10" spans="1:14" customFormat="1" ht="21.5" x14ac:dyDescent="0.6">
      <c r="A10" s="59"/>
      <c r="B10" s="60"/>
      <c r="C10" s="61"/>
      <c r="D10" s="60"/>
      <c r="E10" s="62"/>
      <c r="F10" s="63"/>
      <c r="G10" s="64"/>
      <c r="H10" s="65"/>
      <c r="I10" s="66"/>
      <c r="J10" s="66"/>
      <c r="K10" s="67">
        <f>SUM(K4:K9)</f>
        <v>12</v>
      </c>
      <c r="L10" s="68">
        <f>SUM(L4:L9)</f>
        <v>617525.52</v>
      </c>
      <c r="M10" s="68">
        <f>SUM(M4:M9)</f>
        <v>5742.1200000000008</v>
      </c>
    </row>
    <row r="11" spans="1:14" customFormat="1" ht="14.5" x14ac:dyDescent="0.35"/>
    <row r="12" spans="1:14" customFormat="1" ht="14.5" x14ac:dyDescent="0.35">
      <c r="M12" t="s">
        <v>39</v>
      </c>
    </row>
    <row r="13" spans="1:14" x14ac:dyDescent="0.35">
      <c r="G13" s="43"/>
      <c r="H13" s="43"/>
      <c r="M13" s="43"/>
      <c r="N13" s="43"/>
    </row>
    <row r="14" spans="1:14" x14ac:dyDescent="0.35">
      <c r="G14" s="43"/>
      <c r="H14" s="43"/>
      <c r="M14" s="43"/>
      <c r="N14" s="43"/>
    </row>
    <row r="15" spans="1:14" x14ac:dyDescent="0.35">
      <c r="G15" s="43"/>
      <c r="H15" s="43"/>
      <c r="M15" s="43"/>
      <c r="N15" s="43"/>
    </row>
    <row r="16" spans="1:14" x14ac:dyDescent="0.35">
      <c r="A16" s="49"/>
    </row>
    <row r="22" spans="12:14" x14ac:dyDescent="0.35">
      <c r="L22" s="50"/>
      <c r="M22" s="51"/>
      <c r="N22" s="50"/>
    </row>
    <row r="23" spans="12:14" x14ac:dyDescent="0.35">
      <c r="L23" s="50"/>
      <c r="M23" s="50"/>
      <c r="N23" s="50"/>
    </row>
    <row r="24" spans="12:14" x14ac:dyDescent="0.35">
      <c r="L24" s="50"/>
      <c r="M24" s="50"/>
      <c r="N24" s="50"/>
    </row>
    <row r="25" spans="12:14" x14ac:dyDescent="0.35">
      <c r="L25" s="50"/>
      <c r="M25" s="50"/>
      <c r="N25" s="50"/>
    </row>
  </sheetData>
  <mergeCells count="4">
    <mergeCell ref="A1:M1"/>
    <mergeCell ref="F2:G2"/>
    <mergeCell ref="I2:M2"/>
    <mergeCell ref="N2:N3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674E-5B4E-4580-B9EB-63446649939C}">
  <dimension ref="A1:O25"/>
  <sheetViews>
    <sheetView zoomScale="63" workbookViewId="0">
      <selection activeCell="J26" sqref="J26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4" width="17.26953125" style="10" customWidth="1"/>
    <col min="5" max="5" width="20" style="10" customWidth="1"/>
    <col min="6" max="6" width="15.7265625" style="10" customWidth="1"/>
    <col min="7" max="7" width="20" style="10" customWidth="1"/>
    <col min="8" max="9" width="16.54296875" style="10" customWidth="1"/>
    <col min="10" max="10" width="20.81640625" style="10" customWidth="1"/>
    <col min="11" max="11" width="20.453125" style="10" customWidth="1"/>
    <col min="12" max="12" width="21.81640625" style="10" customWidth="1"/>
    <col min="13" max="13" width="30" style="10" customWidth="1"/>
    <col min="14" max="14" width="19.81640625" style="10" bestFit="1" customWidth="1"/>
    <col min="15" max="15" width="25.1796875" style="10" customWidth="1"/>
    <col min="16" max="16384" width="8.7265625" style="10"/>
  </cols>
  <sheetData>
    <row r="1" spans="1:15" customFormat="1" ht="32.15" customHeight="1" x14ac:dyDescent="0.55000000000000004">
      <c r="A1" s="254" t="s">
        <v>83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5" customFormat="1" x14ac:dyDescent="0.35">
      <c r="C2" s="52"/>
      <c r="D2" s="52"/>
      <c r="E2" s="52"/>
      <c r="F2" s="52"/>
      <c r="G2" s="256" t="s">
        <v>10</v>
      </c>
      <c r="H2" s="256"/>
      <c r="I2" s="53"/>
      <c r="J2" s="253" t="s">
        <v>82</v>
      </c>
      <c r="K2" s="253"/>
      <c r="L2" s="253"/>
      <c r="M2" s="253"/>
      <c r="N2" s="253"/>
    </row>
    <row r="3" spans="1:15" customFormat="1" ht="31" x14ac:dyDescent="0.35">
      <c r="A3" s="54" t="s">
        <v>0</v>
      </c>
      <c r="B3" s="54" t="s">
        <v>31</v>
      </c>
      <c r="C3" s="54" t="s">
        <v>1</v>
      </c>
      <c r="D3" s="54" t="s">
        <v>81</v>
      </c>
      <c r="E3" s="54" t="s">
        <v>2</v>
      </c>
      <c r="F3" s="54" t="s">
        <v>3</v>
      </c>
      <c r="G3" s="55" t="s">
        <v>4</v>
      </c>
      <c r="H3" s="54" t="s">
        <v>5</v>
      </c>
      <c r="I3" s="56" t="s">
        <v>137</v>
      </c>
      <c r="J3" s="57" t="s">
        <v>136</v>
      </c>
      <c r="K3" s="57" t="s">
        <v>135</v>
      </c>
      <c r="L3" s="57" t="s">
        <v>78</v>
      </c>
      <c r="M3" s="54" t="s">
        <v>4</v>
      </c>
      <c r="N3" s="54" t="s">
        <v>5</v>
      </c>
      <c r="O3" s="57" t="s">
        <v>77</v>
      </c>
    </row>
    <row r="4" spans="1:15" customFormat="1" x14ac:dyDescent="0.35">
      <c r="A4" s="1"/>
      <c r="B4" s="6"/>
      <c r="C4" s="7"/>
      <c r="D4" s="7"/>
      <c r="E4" s="6"/>
      <c r="F4" s="6"/>
      <c r="G4" s="40"/>
      <c r="H4" s="41"/>
      <c r="I4" s="58"/>
      <c r="J4" s="58"/>
      <c r="K4" s="58"/>
      <c r="L4" s="8"/>
      <c r="M4" s="9"/>
      <c r="N4" s="9"/>
      <c r="O4" s="52"/>
    </row>
    <row r="5" spans="1:15" customFormat="1" x14ac:dyDescent="0.35">
      <c r="A5" s="1"/>
      <c r="B5" s="6"/>
      <c r="C5" s="7"/>
      <c r="D5" s="7"/>
      <c r="E5" s="6"/>
      <c r="F5" s="6"/>
      <c r="G5" s="40"/>
      <c r="H5" s="41"/>
      <c r="I5" s="58"/>
      <c r="J5" s="58"/>
      <c r="K5" s="58"/>
      <c r="L5" s="8"/>
      <c r="M5" s="9"/>
      <c r="N5" s="9"/>
      <c r="O5" s="52"/>
    </row>
    <row r="6" spans="1:15" customFormat="1" x14ac:dyDescent="0.35">
      <c r="A6" s="1"/>
      <c r="B6" s="6"/>
      <c r="C6" s="7"/>
      <c r="D6" s="7"/>
      <c r="E6" s="6"/>
      <c r="F6" s="6"/>
      <c r="G6" s="40"/>
      <c r="H6" s="41"/>
      <c r="I6" s="58"/>
      <c r="J6" s="58"/>
      <c r="K6" s="58"/>
      <c r="L6" s="8"/>
      <c r="M6" s="9"/>
      <c r="N6" s="9"/>
      <c r="O6" s="52"/>
    </row>
    <row r="7" spans="1:15" customFormat="1" x14ac:dyDescent="0.35">
      <c r="A7" s="1"/>
      <c r="B7" s="6"/>
      <c r="C7" s="7"/>
      <c r="D7" s="7"/>
      <c r="E7" s="6"/>
      <c r="F7" s="6"/>
      <c r="G7" s="40"/>
      <c r="H7" s="41"/>
      <c r="I7" s="58"/>
      <c r="J7" s="58"/>
      <c r="K7" s="58"/>
      <c r="L7" s="8"/>
      <c r="M7" s="9"/>
      <c r="N7" s="9"/>
      <c r="O7" s="52"/>
    </row>
    <row r="8" spans="1:15" customFormat="1" x14ac:dyDescent="0.35">
      <c r="A8" s="1"/>
      <c r="B8" s="6"/>
      <c r="C8" s="7"/>
      <c r="D8" s="7"/>
      <c r="E8" s="6"/>
      <c r="F8" s="6"/>
      <c r="G8" s="40"/>
      <c r="H8" s="41"/>
      <c r="I8" s="58"/>
      <c r="J8" s="58"/>
      <c r="K8" s="58"/>
      <c r="L8" s="8"/>
      <c r="M8" s="9"/>
      <c r="N8" s="9"/>
      <c r="O8" s="52"/>
    </row>
    <row r="9" spans="1:15" customFormat="1" ht="19" customHeight="1" x14ac:dyDescent="0.35">
      <c r="A9" s="1"/>
      <c r="B9" s="6"/>
      <c r="C9" s="6"/>
      <c r="D9" s="6"/>
      <c r="E9" s="6"/>
      <c r="F9" s="6"/>
      <c r="G9" s="40"/>
      <c r="H9" s="41"/>
      <c r="I9" s="58"/>
      <c r="J9" s="58"/>
      <c r="K9" s="58"/>
      <c r="L9" s="8"/>
      <c r="M9" s="9"/>
      <c r="N9" s="9"/>
      <c r="O9" s="52"/>
    </row>
    <row r="10" spans="1:15" customFormat="1" ht="21.5" x14ac:dyDescent="0.6">
      <c r="A10" s="59"/>
      <c r="B10" s="60"/>
      <c r="C10" s="61"/>
      <c r="D10" s="61"/>
      <c r="E10" s="60"/>
      <c r="F10" s="62"/>
      <c r="G10" s="63"/>
      <c r="H10" s="64"/>
      <c r="I10" s="65"/>
      <c r="J10" s="66"/>
      <c r="K10" s="66"/>
      <c r="L10" s="67">
        <f>SUM(L4:L9)</f>
        <v>0</v>
      </c>
      <c r="M10" s="68">
        <f>SUM(M4:M9)</f>
        <v>0</v>
      </c>
      <c r="N10" s="69">
        <f>SUM(N4:N9)</f>
        <v>0</v>
      </c>
    </row>
    <row r="11" spans="1:15" customFormat="1" ht="14.5" x14ac:dyDescent="0.35"/>
    <row r="12" spans="1:15" customFormat="1" ht="14.5" x14ac:dyDescent="0.35">
      <c r="N12" t="s">
        <v>39</v>
      </c>
    </row>
    <row r="13" spans="1:15" x14ac:dyDescent="0.35">
      <c r="H13" s="43"/>
      <c r="I13" s="43"/>
      <c r="N13" s="43"/>
      <c r="O13" s="43"/>
    </row>
    <row r="14" spans="1:15" x14ac:dyDescent="0.35">
      <c r="H14" s="43"/>
      <c r="I14" s="43"/>
      <c r="N14" s="43"/>
      <c r="O14" s="43"/>
    </row>
    <row r="15" spans="1:15" x14ac:dyDescent="0.35">
      <c r="H15" s="43"/>
      <c r="I15" s="43"/>
      <c r="N15" s="43"/>
      <c r="O15" s="43"/>
    </row>
    <row r="16" spans="1:15" x14ac:dyDescent="0.35">
      <c r="A16" s="49"/>
    </row>
    <row r="22" spans="13:15" x14ac:dyDescent="0.35">
      <c r="M22" s="50"/>
      <c r="N22" s="51"/>
      <c r="O22" s="50"/>
    </row>
    <row r="23" spans="13:15" x14ac:dyDescent="0.35">
      <c r="M23" s="50"/>
      <c r="N23" s="50"/>
      <c r="O23" s="50"/>
    </row>
    <row r="24" spans="13:15" x14ac:dyDescent="0.35">
      <c r="M24" s="50"/>
      <c r="N24" s="50"/>
      <c r="O24" s="50"/>
    </row>
    <row r="25" spans="13:15" x14ac:dyDescent="0.35">
      <c r="M25" s="50"/>
      <c r="N25" s="50"/>
      <c r="O25" s="50"/>
    </row>
  </sheetData>
  <mergeCells count="3">
    <mergeCell ref="A1:N1"/>
    <mergeCell ref="G2:H2"/>
    <mergeCell ref="J2:N2"/>
  </mergeCells>
  <pageMargins left="0.7" right="0.7" top="0.75" bottom="0.75" header="0.3" footer="0.3"/>
  <pageSetup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0A9A5-3862-4937-AC0D-95074FD84BA8}">
  <dimension ref="A1:N22"/>
  <sheetViews>
    <sheetView zoomScale="63" workbookViewId="0">
      <selection activeCell="N13" sqref="N13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20" style="10" customWidth="1"/>
    <col min="13" max="13" width="19.81640625" style="10" bestFit="1" customWidth="1"/>
    <col min="14" max="14" width="107.81640625" style="10" customWidth="1"/>
    <col min="15" max="16384" width="8.7265625" style="10"/>
  </cols>
  <sheetData>
    <row r="1" spans="1:14" customFormat="1" ht="32.15" customHeight="1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4" customFormat="1" x14ac:dyDescent="0.35">
      <c r="C2" s="52"/>
      <c r="D2" s="52"/>
      <c r="E2" s="52"/>
      <c r="F2" s="256" t="s">
        <v>10</v>
      </c>
      <c r="G2" s="256"/>
      <c r="H2" s="53"/>
      <c r="I2" s="253" t="s">
        <v>41</v>
      </c>
      <c r="J2" s="253"/>
      <c r="K2" s="253"/>
      <c r="L2" s="253"/>
      <c r="M2" s="253"/>
      <c r="N2" s="272" t="s">
        <v>77</v>
      </c>
    </row>
    <row r="3" spans="1:14" customFormat="1" ht="31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42</v>
      </c>
      <c r="I3" s="57" t="s">
        <v>43</v>
      </c>
      <c r="J3" s="57" t="s">
        <v>44</v>
      </c>
      <c r="K3" s="57" t="s">
        <v>8</v>
      </c>
      <c r="L3" s="54" t="s">
        <v>4</v>
      </c>
      <c r="M3" s="54" t="s">
        <v>5</v>
      </c>
      <c r="N3" s="273"/>
    </row>
    <row r="4" spans="1:14" customFormat="1" ht="19" customHeight="1" x14ac:dyDescent="0.35">
      <c r="A4" s="1">
        <v>1</v>
      </c>
      <c r="B4" s="6" t="s">
        <v>325</v>
      </c>
      <c r="C4" s="6" t="s">
        <v>49</v>
      </c>
      <c r="D4" s="6" t="s">
        <v>61</v>
      </c>
      <c r="E4" s="6" t="s">
        <v>156</v>
      </c>
      <c r="F4" s="40">
        <v>129625</v>
      </c>
      <c r="G4" s="41">
        <v>0</v>
      </c>
      <c r="H4" s="75">
        <v>45190</v>
      </c>
      <c r="I4" s="75">
        <v>45205</v>
      </c>
      <c r="J4" s="75">
        <v>45205</v>
      </c>
      <c r="K4" s="8">
        <f t="shared" ref="K4" si="0">J4-H4+1</f>
        <v>16</v>
      </c>
      <c r="L4" s="124">
        <f t="shared" ref="L4" si="1">SUM(F4*K4)</f>
        <v>2074000</v>
      </c>
      <c r="M4" s="124">
        <f t="shared" ref="M4" si="2">SUM(G4*K4)</f>
        <v>0</v>
      </c>
      <c r="N4" s="52" t="s">
        <v>326</v>
      </c>
    </row>
    <row r="5" spans="1:14" customFormat="1" x14ac:dyDescent="0.35">
      <c r="A5" s="1"/>
      <c r="B5" s="6"/>
      <c r="C5" s="7"/>
      <c r="D5" s="6"/>
      <c r="E5" s="6"/>
      <c r="F5" s="40"/>
      <c r="G5" s="82"/>
      <c r="H5" s="225"/>
      <c r="I5" s="226"/>
      <c r="J5" s="226"/>
      <c r="K5" s="8"/>
      <c r="L5" s="124"/>
      <c r="M5" s="124"/>
    </row>
    <row r="6" spans="1:14" customFormat="1" ht="19" customHeight="1" x14ac:dyDescent="0.35">
      <c r="A6" s="1"/>
      <c r="B6" s="6"/>
      <c r="C6" s="6"/>
      <c r="D6" s="6"/>
      <c r="E6" s="6"/>
      <c r="F6" s="40"/>
      <c r="G6" s="41"/>
      <c r="H6" s="58"/>
      <c r="I6" s="58"/>
      <c r="J6" s="58"/>
      <c r="K6" s="8"/>
      <c r="L6" s="125"/>
      <c r="M6" s="125"/>
    </row>
    <row r="7" spans="1:14" customFormat="1" ht="21.5" x14ac:dyDescent="0.6">
      <c r="A7" s="59"/>
      <c r="B7" s="60"/>
      <c r="C7" s="61"/>
      <c r="D7" s="60"/>
      <c r="E7" s="62"/>
      <c r="F7" s="63"/>
      <c r="G7" s="64"/>
      <c r="H7" s="65"/>
      <c r="I7" s="66"/>
      <c r="J7" s="66"/>
      <c r="K7" s="67">
        <f>SUM(K4:K6)</f>
        <v>16</v>
      </c>
      <c r="L7" s="68">
        <f>SUM(L4:L6)</f>
        <v>2074000</v>
      </c>
      <c r="M7" s="68">
        <f>SUM(M4:M6)</f>
        <v>0</v>
      </c>
    </row>
    <row r="8" spans="1:14" customFormat="1" ht="14.5" x14ac:dyDescent="0.35"/>
    <row r="9" spans="1:14" customFormat="1" ht="14.5" x14ac:dyDescent="0.35">
      <c r="M9" t="s">
        <v>39</v>
      </c>
    </row>
    <row r="10" spans="1:14" x14ac:dyDescent="0.35">
      <c r="G10" s="43"/>
      <c r="H10" s="43"/>
      <c r="M10" s="43"/>
      <c r="N10" s="43"/>
    </row>
    <row r="11" spans="1:14" x14ac:dyDescent="0.35">
      <c r="G11" s="43"/>
      <c r="H11" s="43"/>
      <c r="M11" s="43"/>
      <c r="N11" s="43"/>
    </row>
    <row r="12" spans="1:14" x14ac:dyDescent="0.35">
      <c r="G12" s="43"/>
      <c r="H12" s="43"/>
      <c r="M12" s="43"/>
      <c r="N12" s="43"/>
    </row>
    <row r="13" spans="1:14" x14ac:dyDescent="0.35">
      <c r="A13" s="49"/>
    </row>
    <row r="19" spans="12:14" x14ac:dyDescent="0.35">
      <c r="L19" s="50"/>
      <c r="M19" s="51"/>
      <c r="N19" s="50"/>
    </row>
    <row r="20" spans="12:14" x14ac:dyDescent="0.35">
      <c r="L20" s="50"/>
      <c r="M20" s="50"/>
      <c r="N20" s="50"/>
    </row>
    <row r="21" spans="12:14" x14ac:dyDescent="0.35">
      <c r="L21" s="50"/>
      <c r="M21" s="50"/>
      <c r="N21" s="50"/>
    </row>
    <row r="22" spans="12:14" x14ac:dyDescent="0.35">
      <c r="L22" s="50"/>
      <c r="M22" s="50"/>
      <c r="N22" s="50"/>
    </row>
  </sheetData>
  <mergeCells count="4">
    <mergeCell ref="A1:M1"/>
    <mergeCell ref="F2:G2"/>
    <mergeCell ref="I2:M2"/>
    <mergeCell ref="N2:N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D57-5649-466E-B994-ACE74B36D58B}">
  <dimension ref="B2:O20"/>
  <sheetViews>
    <sheetView tabSelected="1" topLeftCell="B1" zoomScale="90" zoomScaleNormal="90" workbookViewId="0">
      <pane ySplit="5" topLeftCell="A6" activePane="bottomLeft" state="frozen"/>
      <selection pane="bottomLeft" activeCell="L20" sqref="L20"/>
    </sheetView>
  </sheetViews>
  <sheetFormatPr defaultColWidth="13.1796875" defaultRowHeight="16.5" x14ac:dyDescent="0.45"/>
  <cols>
    <col min="1" max="1" width="13.1796875" style="95"/>
    <col min="2" max="2" width="5.1796875" style="100" customWidth="1"/>
    <col min="3" max="3" width="13.1796875" style="100"/>
    <col min="4" max="4" width="14.7265625" style="95" customWidth="1"/>
    <col min="5" max="5" width="13.1796875" style="95"/>
    <col min="6" max="6" width="14.453125" style="95" customWidth="1"/>
    <col min="7" max="7" width="12.26953125" style="95" customWidth="1"/>
    <col min="8" max="8" width="13.54296875" style="95" customWidth="1"/>
    <col min="9" max="9" width="11.7265625" style="95" customWidth="1"/>
    <col min="10" max="10" width="12.7265625" style="95" customWidth="1"/>
    <col min="11" max="11" width="11.81640625" style="95" customWidth="1"/>
    <col min="12" max="12" width="13" style="95" customWidth="1"/>
    <col min="13" max="13" width="11.26953125" style="95" customWidth="1"/>
    <col min="14" max="14" width="15.1796875" style="100" customWidth="1"/>
    <col min="15" max="15" width="12.54296875" style="100" customWidth="1"/>
    <col min="16" max="16384" width="13.1796875" style="95"/>
  </cols>
  <sheetData>
    <row r="2" spans="2:15" ht="17" thickBot="1" x14ac:dyDescent="0.5">
      <c r="B2" s="279" t="s">
        <v>108</v>
      </c>
      <c r="C2" s="279"/>
      <c r="D2" s="279"/>
      <c r="E2" s="279"/>
      <c r="F2" s="279"/>
      <c r="G2" s="279"/>
      <c r="H2" s="279"/>
      <c r="I2" s="279"/>
      <c r="J2" s="279"/>
      <c r="K2" s="279"/>
      <c r="L2" s="280"/>
      <c r="M2" s="280"/>
      <c r="N2" s="280"/>
      <c r="O2" s="280"/>
    </row>
    <row r="3" spans="2:15" x14ac:dyDescent="0.45">
      <c r="B3" s="288" t="s">
        <v>0</v>
      </c>
      <c r="C3" s="288" t="s">
        <v>93</v>
      </c>
      <c r="D3" s="281" t="s">
        <v>29</v>
      </c>
      <c r="E3" s="283"/>
      <c r="F3" s="283"/>
      <c r="G3" s="282"/>
      <c r="H3" s="281" t="s">
        <v>95</v>
      </c>
      <c r="I3" s="283"/>
      <c r="J3" s="283"/>
      <c r="K3" s="283"/>
      <c r="L3" s="284" t="s">
        <v>94</v>
      </c>
      <c r="M3" s="285"/>
      <c r="N3" s="284" t="s">
        <v>98</v>
      </c>
      <c r="O3" s="285"/>
    </row>
    <row r="4" spans="2:15" x14ac:dyDescent="0.45">
      <c r="B4" s="288"/>
      <c r="C4" s="288"/>
      <c r="D4" s="281" t="s">
        <v>96</v>
      </c>
      <c r="E4" s="282"/>
      <c r="F4" s="281" t="s">
        <v>97</v>
      </c>
      <c r="G4" s="282"/>
      <c r="H4" s="281" t="s">
        <v>96</v>
      </c>
      <c r="I4" s="282"/>
      <c r="J4" s="281" t="s">
        <v>97</v>
      </c>
      <c r="K4" s="283"/>
      <c r="L4" s="286"/>
      <c r="M4" s="287"/>
      <c r="N4" s="286"/>
      <c r="O4" s="287"/>
    </row>
    <row r="5" spans="2:15" x14ac:dyDescent="0.45">
      <c r="B5" s="288"/>
      <c r="C5" s="288"/>
      <c r="D5" s="96" t="s">
        <v>4</v>
      </c>
      <c r="E5" s="96" t="s">
        <v>5</v>
      </c>
      <c r="F5" s="96" t="s">
        <v>4</v>
      </c>
      <c r="G5" s="96" t="s">
        <v>5</v>
      </c>
      <c r="H5" s="96" t="s">
        <v>4</v>
      </c>
      <c r="I5" s="96" t="s">
        <v>5</v>
      </c>
      <c r="J5" s="96" t="s">
        <v>4</v>
      </c>
      <c r="K5" s="217" t="s">
        <v>5</v>
      </c>
      <c r="L5" s="228" t="s">
        <v>4</v>
      </c>
      <c r="M5" s="229" t="s">
        <v>5</v>
      </c>
      <c r="N5" s="228" t="s">
        <v>4</v>
      </c>
      <c r="O5" s="229" t="s">
        <v>5</v>
      </c>
    </row>
    <row r="6" spans="2:15" x14ac:dyDescent="0.45">
      <c r="B6" s="97">
        <v>1</v>
      </c>
      <c r="C6" s="98">
        <v>44927</v>
      </c>
      <c r="D6" s="99">
        <f>'JAN''23-COST SAVINGS EAST'!L11</f>
        <v>3862118.6399999997</v>
      </c>
      <c r="E6" s="99">
        <f>'JAN''23-COST SAVINGS EAST'!M11</f>
        <v>35919.240000000005</v>
      </c>
      <c r="F6" s="99">
        <f>Table1[[#Totals],[NGN]]</f>
        <v>949109.49</v>
      </c>
      <c r="G6" s="99">
        <f>Table1[[#Totals],[USD]]</f>
        <v>8825.0400000000009</v>
      </c>
      <c r="H6" s="99">
        <v>0</v>
      </c>
      <c r="I6" s="99">
        <v>0</v>
      </c>
      <c r="J6" s="99">
        <f>'JAN ''23 COST AVOIDANCE  '!L16</f>
        <v>0</v>
      </c>
      <c r="K6" s="123">
        <f>'JAN ''23 COST AVOIDANCE  '!M16</f>
        <v>0</v>
      </c>
      <c r="L6" s="230">
        <v>0</v>
      </c>
      <c r="M6" s="231">
        <v>0</v>
      </c>
      <c r="N6" s="232">
        <f>D6+F6+H6+J6-L6</f>
        <v>4811228.13</v>
      </c>
      <c r="O6" s="233">
        <f>E6+G6+I6+K6-M6</f>
        <v>44744.280000000006</v>
      </c>
    </row>
    <row r="7" spans="2:15" x14ac:dyDescent="0.45">
      <c r="B7" s="97">
        <v>2</v>
      </c>
      <c r="C7" s="98">
        <v>44958</v>
      </c>
      <c r="D7" s="99">
        <f>Table134[[#Totals],[NGN]]</f>
        <v>1296250</v>
      </c>
      <c r="E7" s="99">
        <f>Table134[[#Totals],[USD]]</f>
        <v>0</v>
      </c>
      <c r="F7" s="99">
        <f>Table13[[#Totals],[NGN]]</f>
        <v>14290680.860000001</v>
      </c>
      <c r="G7" s="99">
        <f>Table13[[#Totals],[USD]]</f>
        <v>114909.65999999999</v>
      </c>
      <c r="H7" s="97">
        <v>0</v>
      </c>
      <c r="I7" s="97">
        <v>0</v>
      </c>
      <c r="J7" s="99">
        <f>'FEB ''23 COST AVOIDANCE WEST '!K16</f>
        <v>1550696.2399999998</v>
      </c>
      <c r="K7" s="123">
        <f>'FEB ''23 COST AVOIDANCE WEST '!L16</f>
        <v>14417.24</v>
      </c>
      <c r="L7" s="232">
        <f>'FEB''23 MISSED OPPORTUNITY'!M18</f>
        <v>411683.68</v>
      </c>
      <c r="M7" s="233">
        <f>'FEB''23 MISSED OPPORTUNITY'!N18</f>
        <v>3828.08</v>
      </c>
      <c r="N7" s="232">
        <f t="shared" ref="N7:N17" si="0">D7+F7+H7+J7-L7</f>
        <v>16725943.420000002</v>
      </c>
      <c r="O7" s="233">
        <f t="shared" ref="O7:O17" si="1">E7+G7+I7+K7-M7</f>
        <v>125498.81999999999</v>
      </c>
    </row>
    <row r="8" spans="2:15" x14ac:dyDescent="0.45">
      <c r="B8" s="97">
        <v>3</v>
      </c>
      <c r="C8" s="98">
        <v>44986</v>
      </c>
      <c r="D8" s="99">
        <v>0</v>
      </c>
      <c r="E8" s="99">
        <v>0</v>
      </c>
      <c r="F8" s="99">
        <v>7582956.9400000004</v>
      </c>
      <c r="G8" s="99">
        <v>70511.820000000022</v>
      </c>
      <c r="H8" s="99">
        <v>0</v>
      </c>
      <c r="I8" s="99">
        <v>0</v>
      </c>
      <c r="J8" s="99">
        <v>2384347.7999999998</v>
      </c>
      <c r="K8" s="123">
        <v>22169.800000000003</v>
      </c>
      <c r="L8" s="232">
        <v>102920.92</v>
      </c>
      <c r="M8" s="233">
        <v>957.02</v>
      </c>
      <c r="N8" s="232">
        <f t="shared" si="0"/>
        <v>9864383.8200000003</v>
      </c>
      <c r="O8" s="233">
        <f t="shared" si="1"/>
        <v>91724.60000000002</v>
      </c>
    </row>
    <row r="9" spans="2:15" x14ac:dyDescent="0.45">
      <c r="B9" s="97">
        <v>4</v>
      </c>
      <c r="C9" s="98">
        <v>45017</v>
      </c>
      <c r="D9" s="99">
        <v>0</v>
      </c>
      <c r="E9" s="99">
        <v>0</v>
      </c>
      <c r="F9" s="99">
        <v>2758195.3</v>
      </c>
      <c r="G9" s="99">
        <v>25649.8</v>
      </c>
      <c r="H9" s="99">
        <v>0</v>
      </c>
      <c r="I9" s="99">
        <v>0</v>
      </c>
      <c r="J9" s="99">
        <v>2106437.6399999997</v>
      </c>
      <c r="K9" s="123">
        <v>19587.940000000002</v>
      </c>
      <c r="L9" s="232">
        <v>516000</v>
      </c>
      <c r="M9" s="233">
        <v>0</v>
      </c>
      <c r="N9" s="232">
        <f t="shared" si="0"/>
        <v>4348632.9399999995</v>
      </c>
      <c r="O9" s="233">
        <f t="shared" si="1"/>
        <v>45237.740000000005</v>
      </c>
    </row>
    <row r="10" spans="2:15" x14ac:dyDescent="0.45">
      <c r="B10" s="97">
        <v>5</v>
      </c>
      <c r="C10" s="98">
        <v>45047</v>
      </c>
      <c r="D10" s="99">
        <f>Table137[[#Totals],[NGN]]</f>
        <v>2194132.7399999998</v>
      </c>
      <c r="E10" s="99">
        <f>Table137[[#Totals],[USD]]</f>
        <v>69067.44</v>
      </c>
      <c r="F10" s="99">
        <f>Table134569[[#Totals],[NGN]]</f>
        <v>6285374.040000001</v>
      </c>
      <c r="G10" s="99">
        <f>Table134569[[#Totals],[USD]]</f>
        <v>58455.700000000012</v>
      </c>
      <c r="H10" s="99">
        <f>'MAY''-23''COST AVOIDANCE EAST'!L6</f>
        <v>562623.84</v>
      </c>
      <c r="I10" s="99">
        <f>'MAY''-23''COST AVOIDANCE EAST'!M6</f>
        <v>5232.6400000000003</v>
      </c>
      <c r="J10" s="99">
        <f>'MAY ''23 COST AVOIDANCE WEST '!L12</f>
        <v>617525.52</v>
      </c>
      <c r="K10" s="123">
        <f>'MAY ''23 COST AVOIDANCE WEST '!M12</f>
        <v>5742.1200000000008</v>
      </c>
      <c r="L10" s="232">
        <f>'MAY. MISSED OPPORTUNITY '!M17</f>
        <v>823660.2</v>
      </c>
      <c r="M10" s="233">
        <f>'MAY. MISSED OPPORTUNITY '!N17</f>
        <v>7659.2000000000007</v>
      </c>
      <c r="N10" s="232">
        <f t="shared" si="0"/>
        <v>8835995.9400000013</v>
      </c>
      <c r="O10" s="233">
        <f t="shared" si="1"/>
        <v>130838.70000000003</v>
      </c>
    </row>
    <row r="11" spans="2:15" x14ac:dyDescent="0.45">
      <c r="B11" s="97">
        <v>6</v>
      </c>
      <c r="C11" s="98">
        <v>45078</v>
      </c>
      <c r="D11" s="99">
        <f>Table1348[[#Totals],[NGN]]</f>
        <v>7013556.3499999996</v>
      </c>
      <c r="E11" s="99">
        <f>Table1348[[#Totals],[USD]]</f>
        <v>66536.86</v>
      </c>
      <c r="F11" s="99">
        <f>Table134567[[#Totals],[NGN]]</f>
        <v>2535867.7799999998</v>
      </c>
      <c r="G11" s="99">
        <f>Table134567[[#Totals],[USD]]</f>
        <v>23583.4</v>
      </c>
      <c r="H11" s="99">
        <v>0</v>
      </c>
      <c r="I11" s="99">
        <v>0</v>
      </c>
      <c r="J11" s="99">
        <f>'JUNE ''23 COST AVOIDANCE WEST'!L12</f>
        <v>411683.68</v>
      </c>
      <c r="K11" s="123">
        <f>'JUNE ''23 COST AVOIDANCE WEST'!M12</f>
        <v>3828.08</v>
      </c>
      <c r="L11" s="232">
        <f>'JUNE. MISSED OPPORTUNITY WEST'!M17</f>
        <v>102920.92</v>
      </c>
      <c r="M11" s="233">
        <f>'JUNE. MISSED OPPORTUNITY WEST'!N17</f>
        <v>957.02</v>
      </c>
      <c r="N11" s="232">
        <f t="shared" si="0"/>
        <v>9858186.8899999987</v>
      </c>
      <c r="O11" s="233">
        <f t="shared" si="1"/>
        <v>92991.32</v>
      </c>
    </row>
    <row r="12" spans="2:15" x14ac:dyDescent="0.45">
      <c r="B12" s="97">
        <v>7</v>
      </c>
      <c r="C12" s="98">
        <v>45108</v>
      </c>
      <c r="D12" s="99">
        <v>0</v>
      </c>
      <c r="E12" s="99">
        <v>0</v>
      </c>
      <c r="F12" s="99">
        <f>Table1345678[[#Totals],[NGN]]</f>
        <v>3246194.8799999994</v>
      </c>
      <c r="G12" s="99">
        <f>Table1345678[[#Totals],[USD]]</f>
        <v>30190.940000000002</v>
      </c>
      <c r="H12" s="99">
        <v>0</v>
      </c>
      <c r="I12" s="99">
        <v>0</v>
      </c>
      <c r="J12" s="99">
        <v>0</v>
      </c>
      <c r="K12" s="123">
        <v>0</v>
      </c>
      <c r="L12" s="232">
        <v>0</v>
      </c>
      <c r="M12" s="233">
        <v>0</v>
      </c>
      <c r="N12" s="232">
        <f t="shared" si="0"/>
        <v>3246194.8799999994</v>
      </c>
      <c r="O12" s="233">
        <f t="shared" si="1"/>
        <v>30190.940000000002</v>
      </c>
    </row>
    <row r="13" spans="2:15" x14ac:dyDescent="0.45">
      <c r="B13" s="97">
        <v>8</v>
      </c>
      <c r="C13" s="98">
        <v>45139</v>
      </c>
      <c r="D13" s="99">
        <v>0</v>
      </c>
      <c r="E13" s="99">
        <v>0</v>
      </c>
      <c r="F13" s="99">
        <f>Table13456789[[#Totals],[NGN]]</f>
        <v>16154084.360000003</v>
      </c>
      <c r="G13" s="99">
        <f>Table13456789[[#Totals],[USD]]</f>
        <v>131434.93000000002</v>
      </c>
      <c r="H13" s="99">
        <v>0</v>
      </c>
      <c r="I13" s="99">
        <v>0</v>
      </c>
      <c r="J13" s="99">
        <f>'AUG ''23 COST AVOIDANCE WEST '!L12</f>
        <v>1972664.1199999999</v>
      </c>
      <c r="K13" s="123">
        <f>'AUG ''23 COST AVOIDANCE WEST '!M12</f>
        <v>18341.72</v>
      </c>
      <c r="L13" s="232">
        <f>'AUG. MISSED OPPORTUNITY WEST'!M15</f>
        <v>756875.72</v>
      </c>
      <c r="M13" s="233">
        <f>'AUG. MISSED OPPORTUNITY WEST'!N15</f>
        <v>5838.52</v>
      </c>
      <c r="N13" s="232">
        <f t="shared" si="0"/>
        <v>17369872.760000005</v>
      </c>
      <c r="O13" s="233">
        <f t="shared" si="1"/>
        <v>143938.13000000003</v>
      </c>
    </row>
    <row r="14" spans="2:15" x14ac:dyDescent="0.45">
      <c r="B14" s="97">
        <v>9</v>
      </c>
      <c r="C14" s="98">
        <v>45170</v>
      </c>
      <c r="D14" s="99">
        <v>0</v>
      </c>
      <c r="E14" s="99">
        <v>0</v>
      </c>
      <c r="F14" s="99">
        <f>Table1345678910[[#Totals],[NGN]]</f>
        <v>8235029.040000001</v>
      </c>
      <c r="G14" s="99">
        <f>Table1345678910[[#Totals],[USD]]</f>
        <v>76571.959999999992</v>
      </c>
      <c r="H14" s="99">
        <f>'SEPT ''23 COST AVOIDANCE EAST'!L7</f>
        <v>2074000</v>
      </c>
      <c r="I14" s="99">
        <v>0</v>
      </c>
      <c r="J14" s="99">
        <f>'SEPT ''23 COST AVOIDANCE WEST '!L10</f>
        <v>617525.52</v>
      </c>
      <c r="K14" s="123">
        <f>'SEPT ''23 COST AVOIDANCE WEST '!M10</f>
        <v>5742.1200000000008</v>
      </c>
      <c r="L14" s="232">
        <v>0</v>
      </c>
      <c r="M14" s="233">
        <v>0</v>
      </c>
      <c r="N14" s="232">
        <f>D14+F14+H14+J14-L14</f>
        <v>10926554.560000001</v>
      </c>
      <c r="O14" s="233">
        <f>E14+G14+I14+K14-M14</f>
        <v>82314.079999999987</v>
      </c>
    </row>
    <row r="15" spans="2:15" x14ac:dyDescent="0.45">
      <c r="B15" s="97">
        <v>10</v>
      </c>
      <c r="C15" s="98">
        <v>45200</v>
      </c>
      <c r="D15" s="99"/>
      <c r="E15" s="99"/>
      <c r="F15" s="99"/>
      <c r="G15" s="99"/>
      <c r="H15" s="99"/>
      <c r="I15" s="99"/>
      <c r="J15" s="99"/>
      <c r="K15" s="123"/>
      <c r="L15" s="232"/>
      <c r="M15" s="233"/>
      <c r="N15" s="232">
        <f t="shared" si="0"/>
        <v>0</v>
      </c>
      <c r="O15" s="233">
        <f t="shared" si="1"/>
        <v>0</v>
      </c>
    </row>
    <row r="16" spans="2:15" x14ac:dyDescent="0.45">
      <c r="B16" s="97">
        <v>11</v>
      </c>
      <c r="C16" s="98">
        <v>45231</v>
      </c>
      <c r="D16" s="99"/>
      <c r="E16" s="99"/>
      <c r="F16" s="99"/>
      <c r="G16" s="99"/>
      <c r="H16" s="99"/>
      <c r="I16" s="99"/>
      <c r="J16" s="99"/>
      <c r="K16" s="123"/>
      <c r="L16" s="232"/>
      <c r="M16" s="233"/>
      <c r="N16" s="232">
        <f t="shared" si="0"/>
        <v>0</v>
      </c>
      <c r="O16" s="233">
        <f t="shared" si="1"/>
        <v>0</v>
      </c>
    </row>
    <row r="17" spans="2:15" ht="17" thickBot="1" x14ac:dyDescent="0.5">
      <c r="B17" s="97">
        <v>12</v>
      </c>
      <c r="C17" s="98">
        <v>45261</v>
      </c>
      <c r="D17" s="99"/>
      <c r="E17" s="99"/>
      <c r="F17" s="99"/>
      <c r="G17" s="99"/>
      <c r="H17" s="99"/>
      <c r="I17" s="99"/>
      <c r="J17" s="99"/>
      <c r="K17" s="123"/>
      <c r="L17" s="234"/>
      <c r="M17" s="235"/>
      <c r="N17" s="234">
        <f t="shared" si="0"/>
        <v>0</v>
      </c>
      <c r="O17" s="235">
        <f t="shared" si="1"/>
        <v>0</v>
      </c>
    </row>
    <row r="18" spans="2:15" ht="17" thickBot="1" x14ac:dyDescent="0.5">
      <c r="D18" s="191">
        <f t="shared" ref="D18:M18" si="2">SUM(D6:D17)</f>
        <v>14366057.729999999</v>
      </c>
      <c r="E18" s="191">
        <f t="shared" si="2"/>
        <v>171523.54</v>
      </c>
      <c r="F18" s="191">
        <f t="shared" si="2"/>
        <v>62037492.690000005</v>
      </c>
      <c r="G18" s="191">
        <f t="shared" si="2"/>
        <v>540133.25</v>
      </c>
      <c r="H18" s="191">
        <f t="shared" si="2"/>
        <v>2636623.84</v>
      </c>
      <c r="I18" s="191">
        <f t="shared" si="2"/>
        <v>5232.6400000000003</v>
      </c>
      <c r="J18" s="191">
        <f t="shared" si="2"/>
        <v>9660880.5199999977</v>
      </c>
      <c r="K18" s="227">
        <f t="shared" si="2"/>
        <v>89829.02</v>
      </c>
      <c r="L18" s="236">
        <f t="shared" si="2"/>
        <v>2714061.4399999995</v>
      </c>
      <c r="M18" s="237">
        <f t="shared" si="2"/>
        <v>19239.840000000004</v>
      </c>
      <c r="N18" s="238">
        <f>SUM(N6:N17)</f>
        <v>85986993.340000004</v>
      </c>
      <c r="O18" s="239">
        <f>SUM(O6:O17)</f>
        <v>787478.60999999987</v>
      </c>
    </row>
    <row r="20" spans="2:15" x14ac:dyDescent="0.45">
      <c r="L20" s="95" t="s">
        <v>327</v>
      </c>
    </row>
  </sheetData>
  <mergeCells count="11">
    <mergeCell ref="B2:O2"/>
    <mergeCell ref="H4:I4"/>
    <mergeCell ref="J4:K4"/>
    <mergeCell ref="H3:K3"/>
    <mergeCell ref="D3:G3"/>
    <mergeCell ref="L3:M4"/>
    <mergeCell ref="N3:O4"/>
    <mergeCell ref="C3:C5"/>
    <mergeCell ref="B3:B5"/>
    <mergeCell ref="D4:E4"/>
    <mergeCell ref="F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CD010-D89E-4065-AD68-DD4F2995DEC4}">
  <dimension ref="A1:O29"/>
  <sheetViews>
    <sheetView topLeftCell="C1" zoomScale="60" zoomScaleNormal="60" workbookViewId="0">
      <selection activeCell="O3" sqref="O3:O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29.1796875" style="10" customWidth="1"/>
    <col min="4" max="4" width="27.1796875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28.453125" style="83" customWidth="1"/>
    <col min="13" max="13" width="19.81640625" style="10" bestFit="1" customWidth="1"/>
    <col min="14" max="14" width="13.26953125" style="10" bestFit="1" customWidth="1"/>
    <col min="15" max="15" width="85.54296875" style="10" customWidth="1"/>
    <col min="16" max="16384" width="8.7265625" style="10"/>
  </cols>
  <sheetData>
    <row r="1" spans="1:15" ht="32.15" customHeight="1" x14ac:dyDescent="0.35"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x14ac:dyDescent="0.35">
      <c r="G2" s="252" t="s">
        <v>10</v>
      </c>
      <c r="H2" s="252"/>
      <c r="J2" s="253" t="s">
        <v>30</v>
      </c>
      <c r="K2" s="253"/>
      <c r="L2" s="253"/>
      <c r="M2" s="253"/>
      <c r="N2" s="253"/>
    </row>
    <row r="3" spans="1:15" x14ac:dyDescent="0.35">
      <c r="A3" s="10" t="s">
        <v>0</v>
      </c>
      <c r="B3" s="10" t="s">
        <v>31</v>
      </c>
      <c r="C3" s="10" t="s">
        <v>1</v>
      </c>
      <c r="D3" s="10" t="s">
        <v>32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11</v>
      </c>
      <c r="J3" s="10" t="s">
        <v>6</v>
      </c>
      <c r="K3" s="10" t="s">
        <v>7</v>
      </c>
      <c r="L3" s="83" t="s">
        <v>8</v>
      </c>
      <c r="M3" s="10" t="s">
        <v>33</v>
      </c>
      <c r="N3" s="10" t="s">
        <v>34</v>
      </c>
      <c r="O3" s="10" t="s">
        <v>28</v>
      </c>
    </row>
    <row r="4" spans="1:15" ht="17" x14ac:dyDescent="0.5">
      <c r="A4" s="10">
        <v>1</v>
      </c>
      <c r="B4" s="38" t="s">
        <v>56</v>
      </c>
      <c r="C4" s="10" t="s">
        <v>55</v>
      </c>
      <c r="D4" s="89">
        <v>4510478188</v>
      </c>
      <c r="E4" s="10" t="s">
        <v>53</v>
      </c>
      <c r="F4" s="10" t="s">
        <v>52</v>
      </c>
      <c r="G4" s="40">
        <v>120090.84</v>
      </c>
      <c r="H4" s="40">
        <v>1116.8800000000001</v>
      </c>
      <c r="I4" s="87">
        <v>44928</v>
      </c>
      <c r="J4" s="87">
        <v>44970</v>
      </c>
      <c r="K4" s="86" t="s">
        <v>51</v>
      </c>
      <c r="L4" s="104">
        <v>15</v>
      </c>
      <c r="M4" s="74">
        <f>SUM(G4*L4)</f>
        <v>1801362.5999999999</v>
      </c>
      <c r="N4" s="74">
        <f>SUM(H4*L4)</f>
        <v>16753.2</v>
      </c>
      <c r="O4" s="103" t="s">
        <v>100</v>
      </c>
    </row>
    <row r="5" spans="1:15" ht="17" x14ac:dyDescent="0.5">
      <c r="A5" s="10">
        <v>2</v>
      </c>
      <c r="B5" s="10" t="s">
        <v>54</v>
      </c>
      <c r="C5" s="10" t="s">
        <v>12</v>
      </c>
      <c r="D5" s="90">
        <v>4510478189</v>
      </c>
      <c r="E5" s="10" t="s">
        <v>53</v>
      </c>
      <c r="F5" s="10" t="s">
        <v>52</v>
      </c>
      <c r="G5" s="40">
        <v>70327.98</v>
      </c>
      <c r="H5" s="41">
        <v>654.08000000000004</v>
      </c>
      <c r="I5" s="87">
        <v>44928</v>
      </c>
      <c r="J5" s="87">
        <v>44970</v>
      </c>
      <c r="K5" s="86" t="s">
        <v>51</v>
      </c>
      <c r="L5" s="83">
        <v>15</v>
      </c>
      <c r="M5" s="74">
        <f>SUM(G5*L5)</f>
        <v>1054919.7</v>
      </c>
      <c r="N5" s="74">
        <f>SUM(H5*L5)</f>
        <v>9811.2000000000007</v>
      </c>
      <c r="O5" s="103" t="s">
        <v>101</v>
      </c>
    </row>
    <row r="6" spans="1:15" ht="17" x14ac:dyDescent="0.5">
      <c r="A6" s="10">
        <v>3</v>
      </c>
      <c r="B6" s="10" t="s">
        <v>50</v>
      </c>
      <c r="C6" s="10" t="s">
        <v>49</v>
      </c>
      <c r="D6" s="91" t="s">
        <v>48</v>
      </c>
      <c r="E6" s="10" t="s">
        <v>15</v>
      </c>
      <c r="F6" s="10" t="s">
        <v>37</v>
      </c>
      <c r="G6" s="40">
        <v>129000</v>
      </c>
      <c r="H6" s="40"/>
      <c r="I6" s="87">
        <v>44928</v>
      </c>
      <c r="J6" s="87">
        <v>44939</v>
      </c>
      <c r="K6" s="86" t="s">
        <v>51</v>
      </c>
      <c r="L6" s="83">
        <v>15</v>
      </c>
      <c r="M6" s="74">
        <f>SUM(G6*L6)</f>
        <v>1935000</v>
      </c>
      <c r="N6" s="74">
        <f>SUM(H6*L6)</f>
        <v>0</v>
      </c>
      <c r="O6" s="103" t="s">
        <v>105</v>
      </c>
    </row>
    <row r="7" spans="1:15" x14ac:dyDescent="0.35">
      <c r="A7" s="10">
        <v>4</v>
      </c>
      <c r="B7" s="10" t="s">
        <v>84</v>
      </c>
      <c r="C7" s="10" t="s">
        <v>88</v>
      </c>
      <c r="D7" s="88">
        <v>4510483358</v>
      </c>
      <c r="E7" s="10" t="s">
        <v>15</v>
      </c>
      <c r="F7" s="10" t="s">
        <v>66</v>
      </c>
      <c r="G7" s="85">
        <v>271442</v>
      </c>
      <c r="H7" s="85">
        <v>2524.5</v>
      </c>
      <c r="I7" s="87">
        <v>44958</v>
      </c>
      <c r="J7" s="87">
        <v>44966</v>
      </c>
      <c r="K7" s="86" t="s">
        <v>51</v>
      </c>
      <c r="L7" s="83">
        <v>19</v>
      </c>
      <c r="M7" s="74">
        <f t="shared" ref="M7:M9" si="0">SUM(G7*L7)</f>
        <v>5157398</v>
      </c>
      <c r="N7" s="74">
        <f t="shared" ref="N7:N9" si="1">SUM(H7*L7)</f>
        <v>47965.5</v>
      </c>
      <c r="O7" s="103" t="s">
        <v>103</v>
      </c>
    </row>
    <row r="8" spans="1:15" x14ac:dyDescent="0.35">
      <c r="A8" s="10">
        <v>5</v>
      </c>
      <c r="B8" s="10" t="s">
        <v>85</v>
      </c>
      <c r="C8" s="10" t="s">
        <v>88</v>
      </c>
      <c r="D8" s="92" t="s">
        <v>89</v>
      </c>
      <c r="E8" s="10" t="s">
        <v>15</v>
      </c>
      <c r="F8" s="10" t="s">
        <v>66</v>
      </c>
      <c r="G8" s="85">
        <v>271442</v>
      </c>
      <c r="H8" s="85">
        <v>2524.5</v>
      </c>
      <c r="I8" s="87">
        <v>44927</v>
      </c>
      <c r="J8" s="87">
        <v>44973</v>
      </c>
      <c r="K8" s="86" t="s">
        <v>51</v>
      </c>
      <c r="L8" s="83">
        <v>12</v>
      </c>
      <c r="M8" s="74">
        <f t="shared" si="0"/>
        <v>3257304</v>
      </c>
      <c r="N8" s="74">
        <f t="shared" si="1"/>
        <v>30294</v>
      </c>
      <c r="O8" s="103" t="s">
        <v>104</v>
      </c>
    </row>
    <row r="9" spans="1:15" x14ac:dyDescent="0.35">
      <c r="A9" s="10">
        <v>6</v>
      </c>
      <c r="B9" s="10" t="s">
        <v>86</v>
      </c>
      <c r="C9" s="10" t="s">
        <v>87</v>
      </c>
      <c r="D9" s="88">
        <v>4510475925</v>
      </c>
      <c r="E9" s="10" t="s">
        <v>15</v>
      </c>
      <c r="F9" s="10" t="s">
        <v>37</v>
      </c>
      <c r="G9" s="85">
        <v>135587.07</v>
      </c>
      <c r="H9" s="85">
        <v>1260.72</v>
      </c>
      <c r="I9" s="87">
        <v>44927</v>
      </c>
      <c r="J9" s="87">
        <v>44977</v>
      </c>
      <c r="K9" s="86" t="s">
        <v>51</v>
      </c>
      <c r="L9" s="83">
        <v>8</v>
      </c>
      <c r="M9" s="74">
        <f t="shared" si="0"/>
        <v>1084696.56</v>
      </c>
      <c r="N9" s="74">
        <f t="shared" si="1"/>
        <v>10085.76</v>
      </c>
      <c r="O9" s="103" t="s">
        <v>102</v>
      </c>
    </row>
    <row r="10" spans="1:15" x14ac:dyDescent="0.35">
      <c r="D10" s="47"/>
      <c r="G10" s="41"/>
      <c r="H10" s="40"/>
      <c r="I10" s="42"/>
      <c r="J10" s="42"/>
      <c r="K10" s="42" t="s">
        <v>39</v>
      </c>
      <c r="M10" s="74"/>
      <c r="N10" s="74"/>
      <c r="O10" s="103"/>
    </row>
    <row r="11" spans="1:15" x14ac:dyDescent="0.35">
      <c r="G11" s="43"/>
      <c r="H11" s="43"/>
      <c r="M11" s="74"/>
      <c r="N11" s="74"/>
      <c r="O11" s="103"/>
    </row>
    <row r="12" spans="1:15" x14ac:dyDescent="0.35">
      <c r="D12" s="48"/>
      <c r="G12" s="40"/>
      <c r="H12" s="41"/>
      <c r="I12" s="42"/>
      <c r="J12" s="42"/>
      <c r="K12" s="42"/>
      <c r="M12" s="74"/>
      <c r="N12" s="74"/>
      <c r="O12" s="103"/>
    </row>
    <row r="13" spans="1:15" x14ac:dyDescent="0.35">
      <c r="G13" s="43"/>
      <c r="H13" s="43"/>
      <c r="M13" s="74"/>
      <c r="N13" s="74"/>
      <c r="O13" s="103"/>
    </row>
    <row r="14" spans="1:15" x14ac:dyDescent="0.35">
      <c r="D14" s="48"/>
      <c r="G14" s="40"/>
      <c r="H14" s="41"/>
      <c r="I14" s="42"/>
      <c r="J14" s="42"/>
      <c r="K14" s="42"/>
      <c r="M14" s="74"/>
      <c r="N14" s="74"/>
      <c r="O14" s="103"/>
    </row>
    <row r="15" spans="1:15" x14ac:dyDescent="0.35">
      <c r="G15" s="43"/>
      <c r="H15" s="43"/>
      <c r="M15" s="74">
        <f>SUM(G15*L15)</f>
        <v>0</v>
      </c>
      <c r="N15" s="74">
        <f>SUM(H15*L15)</f>
        <v>0</v>
      </c>
      <c r="O15" s="103"/>
    </row>
    <row r="16" spans="1:15" x14ac:dyDescent="0.35">
      <c r="G16" s="43"/>
      <c r="H16" s="43"/>
      <c r="M16" s="74">
        <f>SUM(G16*L16)</f>
        <v>0</v>
      </c>
      <c r="N16" s="74">
        <f>SUM(H16*L16)</f>
        <v>0</v>
      </c>
      <c r="O16" s="103"/>
    </row>
    <row r="17" spans="1:15" x14ac:dyDescent="0.35">
      <c r="G17" s="43"/>
      <c r="H17" s="43"/>
      <c r="M17" s="74">
        <f>SUM(G17*L17)</f>
        <v>0</v>
      </c>
      <c r="N17" s="74">
        <f>SUM(H17*L17)</f>
        <v>0</v>
      </c>
      <c r="O17" s="103"/>
    </row>
    <row r="18" spans="1:15" x14ac:dyDescent="0.35">
      <c r="G18" s="43"/>
      <c r="H18" s="43"/>
      <c r="M18" s="74">
        <f>SUM(G18*L18)</f>
        <v>0</v>
      </c>
      <c r="N18" s="74">
        <f>SUM(H18*L18)</f>
        <v>0</v>
      </c>
      <c r="O18" s="103"/>
    </row>
    <row r="19" spans="1:15" x14ac:dyDescent="0.35">
      <c r="G19" s="43"/>
      <c r="H19" s="43"/>
      <c r="M19" s="74">
        <f>SUM(G19*L19)</f>
        <v>0</v>
      </c>
      <c r="N19" s="74">
        <f>SUM(H19*L19)</f>
        <v>0</v>
      </c>
      <c r="O19" s="103"/>
    </row>
    <row r="20" spans="1:15" x14ac:dyDescent="0.35">
      <c r="A20" s="49"/>
      <c r="L20" s="83" t="s">
        <v>38</v>
      </c>
      <c r="M20" s="74">
        <f>SUBTOTAL(109,Table13[NGN])</f>
        <v>14290680.860000001</v>
      </c>
      <c r="N20" s="74">
        <f>SUBTOTAL(109,Table13[USD])</f>
        <v>114909.65999999999</v>
      </c>
    </row>
    <row r="24" spans="1:15" x14ac:dyDescent="0.35">
      <c r="J24" s="10" t="s">
        <v>39</v>
      </c>
    </row>
    <row r="26" spans="1:15" x14ac:dyDescent="0.35">
      <c r="L26" s="105"/>
      <c r="M26" s="51"/>
      <c r="N26" s="50"/>
    </row>
    <row r="27" spans="1:15" x14ac:dyDescent="0.35">
      <c r="L27" s="105"/>
      <c r="M27" s="50"/>
      <c r="N27" s="50"/>
    </row>
    <row r="28" spans="1:15" x14ac:dyDescent="0.35">
      <c r="L28" s="105"/>
      <c r="M28" s="50"/>
      <c r="N28" s="50"/>
    </row>
    <row r="29" spans="1:15" x14ac:dyDescent="0.35">
      <c r="L29" s="105"/>
      <c r="M29" s="50"/>
      <c r="N29" s="50"/>
    </row>
  </sheetData>
  <mergeCells count="3">
    <mergeCell ref="C1:N1"/>
    <mergeCell ref="G2:H2"/>
    <mergeCell ref="J2:N2"/>
  </mergeCells>
  <phoneticPr fontId="3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3DE4-3B54-469F-A35F-BE94FB38C9F7}">
  <dimension ref="A1:M31"/>
  <sheetViews>
    <sheetView topLeftCell="F1" zoomScale="63" workbookViewId="0">
      <selection activeCell="M4" sqref="M4"/>
    </sheetView>
  </sheetViews>
  <sheetFormatPr defaultColWidth="8.7265625" defaultRowHeight="15.5" x14ac:dyDescent="0.35"/>
  <cols>
    <col min="1" max="1" width="6.81640625" style="83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7" width="16.54296875" style="10" customWidth="1"/>
    <col min="8" max="8" width="20.7265625" style="10" customWidth="1"/>
    <col min="9" max="9" width="20.453125" style="10" customWidth="1"/>
    <col min="10" max="10" width="19.54296875" style="10" customWidth="1"/>
    <col min="11" max="11" width="30" style="10" customWidth="1"/>
    <col min="12" max="12" width="19.81640625" style="10" bestFit="1" customWidth="1"/>
    <col min="13" max="13" width="47.7265625" style="10" customWidth="1"/>
    <col min="14" max="16384" width="8.7265625" style="10"/>
  </cols>
  <sheetData>
    <row r="1" spans="1:13" customFormat="1" ht="32.15" customHeight="1" x14ac:dyDescent="0.35">
      <c r="A1" s="259" t="s">
        <v>40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3" customFormat="1" x14ac:dyDescent="0.35">
      <c r="A2" s="81"/>
      <c r="C2" s="52"/>
      <c r="D2" s="52"/>
      <c r="E2" s="52"/>
      <c r="F2" s="256" t="s">
        <v>10</v>
      </c>
      <c r="G2" s="256"/>
      <c r="H2" s="53"/>
      <c r="I2" s="253"/>
      <c r="J2" s="253"/>
      <c r="K2" s="253"/>
      <c r="L2" s="253"/>
      <c r="M2" s="257" t="s">
        <v>28</v>
      </c>
    </row>
    <row r="3" spans="1:13" customFormat="1" ht="31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109</v>
      </c>
      <c r="I3" s="57" t="s">
        <v>44</v>
      </c>
      <c r="J3" s="57" t="s">
        <v>8</v>
      </c>
      <c r="K3" s="54" t="s">
        <v>4</v>
      </c>
      <c r="L3" s="54" t="s">
        <v>5</v>
      </c>
      <c r="M3" s="258"/>
    </row>
    <row r="4" spans="1:13" customFormat="1" x14ac:dyDescent="0.35">
      <c r="A4" s="41">
        <v>1</v>
      </c>
      <c r="B4" s="6" t="s">
        <v>57</v>
      </c>
      <c r="C4" s="7" t="s">
        <v>9</v>
      </c>
      <c r="D4" s="6" t="s">
        <v>58</v>
      </c>
      <c r="E4" s="6" t="s">
        <v>59</v>
      </c>
      <c r="F4" s="40">
        <v>32592.94</v>
      </c>
      <c r="G4" s="41">
        <v>302.94</v>
      </c>
      <c r="H4" s="78">
        <v>44970</v>
      </c>
      <c r="I4" s="78">
        <v>44985</v>
      </c>
      <c r="J4" s="8">
        <v>16</v>
      </c>
      <c r="K4" s="80">
        <f>SUM(F4*J4)</f>
        <v>521487.04</v>
      </c>
      <c r="L4" s="80">
        <f>SUM(G4*J4)</f>
        <v>4847.04</v>
      </c>
      <c r="M4" s="106" t="s">
        <v>110</v>
      </c>
    </row>
    <row r="5" spans="1:13" customFormat="1" ht="19" customHeight="1" x14ac:dyDescent="0.35">
      <c r="A5" s="41">
        <v>2</v>
      </c>
      <c r="B5" s="6" t="s">
        <v>60</v>
      </c>
      <c r="C5" s="6" t="s">
        <v>12</v>
      </c>
      <c r="D5" s="6" t="s">
        <v>61</v>
      </c>
      <c r="E5" s="6" t="s">
        <v>62</v>
      </c>
      <c r="F5" s="40">
        <v>70327.98</v>
      </c>
      <c r="G5" s="41">
        <v>654.08000000000004</v>
      </c>
      <c r="H5" s="78">
        <v>44975</v>
      </c>
      <c r="I5" s="78">
        <v>44980</v>
      </c>
      <c r="J5" s="8">
        <v>6</v>
      </c>
      <c r="K5" s="80">
        <f>SUM(F5*J5)</f>
        <v>421967.88</v>
      </c>
      <c r="L5" s="80">
        <f>SUM(G5*J5)</f>
        <v>3924.4800000000005</v>
      </c>
      <c r="M5" s="106" t="s">
        <v>110</v>
      </c>
    </row>
    <row r="6" spans="1:13" customFormat="1" x14ac:dyDescent="0.35">
      <c r="A6" s="41">
        <v>3</v>
      </c>
      <c r="B6" s="6" t="s">
        <v>63</v>
      </c>
      <c r="C6" s="7" t="s">
        <v>9</v>
      </c>
      <c r="D6" s="6" t="s">
        <v>61</v>
      </c>
      <c r="E6" s="6" t="s">
        <v>62</v>
      </c>
      <c r="F6" s="40">
        <v>32592.94</v>
      </c>
      <c r="G6" s="41">
        <v>302.94</v>
      </c>
      <c r="H6" s="78">
        <v>44975</v>
      </c>
      <c r="I6" s="78">
        <v>44980</v>
      </c>
      <c r="J6" s="8">
        <v>6</v>
      </c>
      <c r="K6" s="80">
        <f>SUM(F6*J6)</f>
        <v>195557.63999999998</v>
      </c>
      <c r="L6" s="80">
        <f>SUM(G6*J6)</f>
        <v>1817.6399999999999</v>
      </c>
      <c r="M6" s="106" t="s">
        <v>110</v>
      </c>
    </row>
    <row r="7" spans="1:13" customFormat="1" ht="19" customHeight="1" x14ac:dyDescent="0.35">
      <c r="A7" s="41">
        <v>4</v>
      </c>
      <c r="B7" s="6" t="s">
        <v>64</v>
      </c>
      <c r="C7" s="6" t="s">
        <v>12</v>
      </c>
      <c r="D7" s="6" t="s">
        <v>65</v>
      </c>
      <c r="E7" s="6" t="s">
        <v>66</v>
      </c>
      <c r="F7" s="40">
        <v>70327.98</v>
      </c>
      <c r="G7" s="41">
        <v>654.08000000000004</v>
      </c>
      <c r="H7" s="78">
        <v>44981</v>
      </c>
      <c r="I7" s="78">
        <v>44984</v>
      </c>
      <c r="J7" s="8">
        <v>4</v>
      </c>
      <c r="K7" s="80">
        <f>SUM(F7*J7)</f>
        <v>281311.92</v>
      </c>
      <c r="L7" s="80">
        <f>SUM(G7*J7)</f>
        <v>2616.3200000000002</v>
      </c>
      <c r="M7" s="106" t="s">
        <v>110</v>
      </c>
    </row>
    <row r="8" spans="1:13" customFormat="1" x14ac:dyDescent="0.35">
      <c r="A8" s="41">
        <v>5</v>
      </c>
      <c r="B8" s="6" t="s">
        <v>67</v>
      </c>
      <c r="C8" s="7" t="s">
        <v>9</v>
      </c>
      <c r="D8" s="6" t="s">
        <v>65</v>
      </c>
      <c r="E8" s="6" t="s">
        <v>66</v>
      </c>
      <c r="F8" s="40">
        <v>32592.94</v>
      </c>
      <c r="G8" s="41">
        <v>302.94</v>
      </c>
      <c r="H8" s="78">
        <v>44981</v>
      </c>
      <c r="I8" s="78">
        <v>44984</v>
      </c>
      <c r="J8" s="8">
        <v>4</v>
      </c>
      <c r="K8" s="80">
        <f>SUM(F8*J8)</f>
        <v>130371.76</v>
      </c>
      <c r="L8" s="80">
        <f>SUM(G8*J8)</f>
        <v>1211.76</v>
      </c>
      <c r="M8" s="106" t="s">
        <v>110</v>
      </c>
    </row>
    <row r="9" spans="1:13" customFormat="1" ht="19" customHeight="1" x14ac:dyDescent="0.35">
      <c r="A9" s="41"/>
      <c r="B9" s="6"/>
      <c r="C9" s="6"/>
      <c r="D9" s="6"/>
      <c r="E9" s="6"/>
      <c r="F9" s="40"/>
      <c r="G9" s="41"/>
      <c r="H9" s="58"/>
      <c r="I9" s="58"/>
      <c r="J9" s="8"/>
      <c r="K9" s="79"/>
      <c r="L9" s="79"/>
    </row>
    <row r="10" spans="1:13" customFormat="1" x14ac:dyDescent="0.35">
      <c r="A10" s="41"/>
      <c r="B10" s="6"/>
      <c r="C10" s="7"/>
      <c r="D10" s="6"/>
      <c r="E10" s="6"/>
      <c r="F10" s="40"/>
      <c r="G10" s="41"/>
      <c r="H10" s="58"/>
      <c r="I10" s="58"/>
      <c r="J10" s="8"/>
      <c r="K10" s="9"/>
      <c r="L10" s="9"/>
    </row>
    <row r="11" spans="1:13" customFormat="1" x14ac:dyDescent="0.35">
      <c r="A11" s="41"/>
      <c r="B11" s="6"/>
      <c r="C11" s="7"/>
      <c r="D11" s="6"/>
      <c r="E11" s="6"/>
      <c r="F11" s="40"/>
      <c r="G11" s="41"/>
      <c r="H11" s="58"/>
      <c r="I11" s="58"/>
      <c r="J11" s="8"/>
      <c r="K11" s="9"/>
      <c r="L11" s="9"/>
    </row>
    <row r="12" spans="1:13" customFormat="1" x14ac:dyDescent="0.35">
      <c r="A12" s="41"/>
      <c r="B12" s="6"/>
      <c r="C12" s="7"/>
      <c r="D12" s="6"/>
      <c r="E12" s="6"/>
      <c r="F12" s="40"/>
      <c r="G12" s="41"/>
      <c r="H12" s="58"/>
      <c r="I12" s="58"/>
      <c r="J12" s="8"/>
      <c r="K12" s="9"/>
      <c r="L12" s="9"/>
    </row>
    <row r="13" spans="1:13" customFormat="1" x14ac:dyDescent="0.35">
      <c r="A13" s="41"/>
      <c r="B13" s="6"/>
      <c r="C13" s="7"/>
      <c r="D13" s="6"/>
      <c r="E13" s="6"/>
      <c r="F13" s="40"/>
      <c r="G13" s="41"/>
      <c r="H13" s="58"/>
      <c r="I13" s="58"/>
      <c r="J13" s="8"/>
      <c r="K13" s="9"/>
      <c r="L13" s="9"/>
    </row>
    <row r="14" spans="1:13" customFormat="1" x14ac:dyDescent="0.35">
      <c r="A14" s="41"/>
      <c r="B14" s="6"/>
      <c r="C14" s="7"/>
      <c r="D14" s="6"/>
      <c r="E14" s="6"/>
      <c r="F14" s="40"/>
      <c r="G14" s="41"/>
      <c r="H14" s="58"/>
      <c r="I14" s="58"/>
      <c r="J14" s="8"/>
      <c r="K14" s="9"/>
      <c r="L14" s="9"/>
    </row>
    <row r="15" spans="1:13" customFormat="1" ht="19" customHeight="1" x14ac:dyDescent="0.35">
      <c r="A15" s="41"/>
      <c r="B15" s="6"/>
      <c r="C15" s="6"/>
      <c r="D15" s="6"/>
      <c r="E15" s="6"/>
      <c r="F15" s="40"/>
      <c r="G15" s="41"/>
      <c r="H15" s="58"/>
      <c r="I15" s="58"/>
      <c r="J15" s="8"/>
      <c r="K15" s="9"/>
      <c r="L15" s="9"/>
    </row>
    <row r="16" spans="1:13" customFormat="1" ht="21.5" x14ac:dyDescent="0.6">
      <c r="A16" s="82"/>
      <c r="B16" s="60"/>
      <c r="C16" s="61"/>
      <c r="D16" s="60"/>
      <c r="E16" s="62"/>
      <c r="F16" s="63"/>
      <c r="G16" s="64"/>
      <c r="H16" s="65"/>
      <c r="I16" s="66"/>
      <c r="J16" s="67">
        <f>SUM(J4:J15)</f>
        <v>36</v>
      </c>
      <c r="K16" s="94">
        <f>SUM(K4:K15)</f>
        <v>1550696.2399999998</v>
      </c>
      <c r="L16" s="94">
        <f>SUM(L4:L15)</f>
        <v>14417.24</v>
      </c>
    </row>
    <row r="17" spans="1:13" customFormat="1" ht="14.5" x14ac:dyDescent="0.35">
      <c r="A17" s="81"/>
    </row>
    <row r="18" spans="1:13" customFormat="1" ht="14.5" x14ac:dyDescent="0.35">
      <c r="A18" s="81"/>
      <c r="L18" t="s">
        <v>39</v>
      </c>
    </row>
    <row r="19" spans="1:13" x14ac:dyDescent="0.35">
      <c r="G19" s="43"/>
      <c r="H19" s="43"/>
      <c r="L19" s="43"/>
      <c r="M19" s="43"/>
    </row>
    <row r="20" spans="1:13" x14ac:dyDescent="0.35">
      <c r="G20" s="43"/>
      <c r="H20" s="43"/>
      <c r="L20" s="43"/>
      <c r="M20" s="43"/>
    </row>
    <row r="21" spans="1:13" x14ac:dyDescent="0.35">
      <c r="G21" s="43"/>
      <c r="H21" s="43"/>
      <c r="L21" s="43"/>
      <c r="M21" s="43"/>
    </row>
    <row r="22" spans="1:13" x14ac:dyDescent="0.35">
      <c r="A22" s="84"/>
    </row>
    <row r="28" spans="1:13" x14ac:dyDescent="0.35">
      <c r="K28" s="50"/>
      <c r="L28" s="51"/>
      <c r="M28" s="50"/>
    </row>
    <row r="29" spans="1:13" x14ac:dyDescent="0.35">
      <c r="K29" s="50"/>
      <c r="L29" s="50"/>
      <c r="M29" s="50"/>
    </row>
    <row r="30" spans="1:13" x14ac:dyDescent="0.35">
      <c r="K30" s="50"/>
      <c r="L30" s="50"/>
      <c r="M30" s="50"/>
    </row>
    <row r="31" spans="1:13" x14ac:dyDescent="0.35">
      <c r="K31" s="50"/>
      <c r="L31" s="50"/>
      <c r="M31" s="50"/>
    </row>
  </sheetData>
  <mergeCells count="4">
    <mergeCell ref="F2:G2"/>
    <mergeCell ref="I2:L2"/>
    <mergeCell ref="M2:M3"/>
    <mergeCell ref="A1:M1"/>
  </mergeCells>
  <phoneticPr fontId="3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6941-F088-4DF0-BDFD-F8CA1879104B}">
  <dimension ref="A1:O24"/>
  <sheetViews>
    <sheetView topLeftCell="C1" zoomScale="60" zoomScaleNormal="60" workbookViewId="0">
      <selection activeCell="O4" sqref="O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29.1796875" style="10" customWidth="1"/>
    <col min="4" max="4" width="27.1796875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3.26953125" style="10" bestFit="1" customWidth="1"/>
    <col min="15" max="15" width="20.1796875" style="10" customWidth="1"/>
    <col min="16" max="16384" width="8.7265625" style="10"/>
  </cols>
  <sheetData>
    <row r="1" spans="1:15" ht="32.15" customHeight="1" x14ac:dyDescent="0.35"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x14ac:dyDescent="0.35">
      <c r="G2" s="252" t="s">
        <v>10</v>
      </c>
      <c r="H2" s="252"/>
      <c r="J2" s="253" t="s">
        <v>30</v>
      </c>
      <c r="K2" s="253"/>
      <c r="L2" s="253"/>
      <c r="M2" s="253"/>
      <c r="N2" s="253"/>
    </row>
    <row r="3" spans="1:15" x14ac:dyDescent="0.35">
      <c r="A3" s="10" t="s">
        <v>0</v>
      </c>
      <c r="B3" s="10" t="s">
        <v>31</v>
      </c>
      <c r="C3" s="10" t="s">
        <v>1</v>
      </c>
      <c r="D3" s="10" t="s">
        <v>32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11</v>
      </c>
      <c r="J3" s="10" t="s">
        <v>6</v>
      </c>
      <c r="K3" s="10" t="s">
        <v>7</v>
      </c>
      <c r="L3" s="10" t="s">
        <v>8</v>
      </c>
      <c r="M3" s="10" t="s">
        <v>33</v>
      </c>
      <c r="N3" s="10" t="s">
        <v>34</v>
      </c>
      <c r="O3" s="10" t="s">
        <v>28</v>
      </c>
    </row>
    <row r="4" spans="1:15" ht="16.5" x14ac:dyDescent="0.45">
      <c r="A4" s="10">
        <v>3</v>
      </c>
      <c r="B4" s="10" t="s">
        <v>90</v>
      </c>
      <c r="C4" s="10" t="s">
        <v>49</v>
      </c>
      <c r="D4" s="93">
        <v>4510484421</v>
      </c>
      <c r="E4" s="10" t="s">
        <v>91</v>
      </c>
      <c r="F4" s="10" t="s">
        <v>92</v>
      </c>
      <c r="G4" s="40">
        <v>129625</v>
      </c>
      <c r="H4" s="40"/>
      <c r="I4" s="87">
        <v>44927</v>
      </c>
      <c r="J4" s="87">
        <v>44975</v>
      </c>
      <c r="K4" s="86" t="s">
        <v>51</v>
      </c>
      <c r="L4" s="10">
        <v>10</v>
      </c>
      <c r="M4" s="74">
        <f>SUM(G4*L4)</f>
        <v>1296250</v>
      </c>
      <c r="N4" s="74">
        <f>SUM(H4*L4)</f>
        <v>0</v>
      </c>
      <c r="O4" s="103" t="s">
        <v>100</v>
      </c>
    </row>
    <row r="5" spans="1:15" x14ac:dyDescent="0.35">
      <c r="D5" s="47"/>
      <c r="G5" s="41"/>
      <c r="H5" s="40"/>
      <c r="I5" s="42"/>
      <c r="J5" s="42"/>
      <c r="K5" s="42" t="s">
        <v>39</v>
      </c>
      <c r="M5" s="74"/>
      <c r="N5" s="74"/>
      <c r="O5" s="103"/>
    </row>
    <row r="6" spans="1:15" x14ac:dyDescent="0.35">
      <c r="G6" s="43"/>
      <c r="H6" s="43"/>
      <c r="M6" s="74"/>
      <c r="N6" s="74"/>
      <c r="O6" s="103"/>
    </row>
    <row r="7" spans="1:15" x14ac:dyDescent="0.35">
      <c r="D7" s="48"/>
      <c r="G7" s="40"/>
      <c r="H7" s="41"/>
      <c r="I7" s="42"/>
      <c r="J7" s="42"/>
      <c r="K7" s="42"/>
      <c r="M7" s="74"/>
      <c r="N7" s="74"/>
      <c r="O7" s="103"/>
    </row>
    <row r="8" spans="1:15" x14ac:dyDescent="0.35">
      <c r="G8" s="43"/>
      <c r="H8" s="43"/>
      <c r="M8" s="74"/>
      <c r="N8" s="74"/>
      <c r="O8" s="103"/>
    </row>
    <row r="9" spans="1:15" x14ac:dyDescent="0.35">
      <c r="D9" s="48"/>
      <c r="G9" s="40"/>
      <c r="H9" s="41"/>
      <c r="I9" s="42"/>
      <c r="J9" s="42"/>
      <c r="K9" s="42"/>
      <c r="M9" s="74"/>
      <c r="N9" s="74"/>
      <c r="O9" s="103"/>
    </row>
    <row r="10" spans="1:15" x14ac:dyDescent="0.35">
      <c r="G10" s="43"/>
      <c r="H10" s="43"/>
      <c r="M10" s="74">
        <f>SUM(G10*L10)</f>
        <v>0</v>
      </c>
      <c r="N10" s="74">
        <f>SUM(H10*L10)</f>
        <v>0</v>
      </c>
      <c r="O10" s="103"/>
    </row>
    <row r="11" spans="1:15" x14ac:dyDescent="0.35">
      <c r="G11" s="43"/>
      <c r="H11" s="43"/>
      <c r="M11" s="74">
        <f>SUM(G11*L11)</f>
        <v>0</v>
      </c>
      <c r="N11" s="74">
        <f>SUM(H11*L11)</f>
        <v>0</v>
      </c>
      <c r="O11" s="103"/>
    </row>
    <row r="12" spans="1:15" x14ac:dyDescent="0.35">
      <c r="G12" s="43"/>
      <c r="H12" s="43"/>
      <c r="M12" s="74">
        <f>SUM(G12*L12)</f>
        <v>0</v>
      </c>
      <c r="N12" s="74">
        <f>SUM(H12*L12)</f>
        <v>0</v>
      </c>
      <c r="O12" s="103"/>
    </row>
    <row r="13" spans="1:15" x14ac:dyDescent="0.35">
      <c r="G13" s="43"/>
      <c r="H13" s="43"/>
      <c r="M13" s="74">
        <f>SUM(G13*L13)</f>
        <v>0</v>
      </c>
      <c r="N13" s="74">
        <f>SUM(H13*L13)</f>
        <v>0</v>
      </c>
      <c r="O13" s="103"/>
    </row>
    <row r="14" spans="1:15" x14ac:dyDescent="0.35">
      <c r="G14" s="43"/>
      <c r="H14" s="43"/>
      <c r="M14" s="74">
        <f>SUM(G14*L14)</f>
        <v>0</v>
      </c>
      <c r="N14" s="74">
        <f>SUM(H14*L14)</f>
        <v>0</v>
      </c>
      <c r="O14" s="103"/>
    </row>
    <row r="15" spans="1:15" x14ac:dyDescent="0.35">
      <c r="A15" s="49"/>
      <c r="L15" s="10" t="s">
        <v>38</v>
      </c>
      <c r="M15" s="74">
        <f>SUBTOTAL(109,Table134[NGN])</f>
        <v>1296250</v>
      </c>
      <c r="N15" s="74">
        <f>SUBTOTAL(109,Table134[USD])</f>
        <v>0</v>
      </c>
    </row>
    <row r="19" spans="10:14" x14ac:dyDescent="0.35">
      <c r="J19" s="10" t="s">
        <v>39</v>
      </c>
    </row>
    <row r="21" spans="10:14" x14ac:dyDescent="0.35">
      <c r="L21" s="50"/>
      <c r="M21" s="51"/>
      <c r="N21" s="50"/>
    </row>
    <row r="22" spans="10:14" x14ac:dyDescent="0.35">
      <c r="L22" s="50"/>
      <c r="M22" s="50"/>
      <c r="N22" s="50"/>
    </row>
    <row r="23" spans="10:14" x14ac:dyDescent="0.35">
      <c r="L23" s="50"/>
      <c r="M23" s="50"/>
      <c r="N23" s="50"/>
    </row>
    <row r="24" spans="10:14" x14ac:dyDescent="0.35">
      <c r="L24" s="50"/>
      <c r="M24" s="50"/>
      <c r="N24" s="50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48EF-F604-4289-8CEC-962F7DAD4490}">
  <dimension ref="A1:O33"/>
  <sheetViews>
    <sheetView zoomScale="63" workbookViewId="0">
      <selection activeCell="E23" sqref="E23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4" width="17.26953125" style="10" customWidth="1"/>
    <col min="5" max="5" width="20" style="10" customWidth="1"/>
    <col min="6" max="6" width="15.7265625" style="10" customWidth="1"/>
    <col min="7" max="7" width="20" style="10" customWidth="1"/>
    <col min="8" max="9" width="16.54296875" style="10" customWidth="1"/>
    <col min="10" max="10" width="20.81640625" style="10" customWidth="1"/>
    <col min="11" max="11" width="20.453125" style="10" customWidth="1"/>
    <col min="12" max="12" width="21.81640625" style="10" customWidth="1"/>
    <col min="13" max="13" width="30" style="10" customWidth="1"/>
    <col min="14" max="14" width="19.81640625" style="10" bestFit="1" customWidth="1"/>
    <col min="15" max="15" width="25.1796875" style="10" customWidth="1"/>
    <col min="16" max="16384" width="8.7265625" style="10"/>
  </cols>
  <sheetData>
    <row r="1" spans="1:15" customFormat="1" ht="32.15" customHeight="1" x14ac:dyDescent="0.55000000000000004">
      <c r="A1" s="254" t="s">
        <v>83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5"/>
    </row>
    <row r="2" spans="1:15" customFormat="1" x14ac:dyDescent="0.35">
      <c r="C2" s="52"/>
      <c r="D2" s="52"/>
      <c r="E2" s="52"/>
      <c r="F2" s="52"/>
      <c r="G2" s="256" t="s">
        <v>10</v>
      </c>
      <c r="H2" s="256"/>
      <c r="I2" s="53"/>
      <c r="J2" s="253" t="s">
        <v>82</v>
      </c>
      <c r="K2" s="253"/>
      <c r="L2" s="253"/>
      <c r="M2" s="253"/>
      <c r="N2" s="253"/>
    </row>
    <row r="3" spans="1:15" customFormat="1" ht="31" x14ac:dyDescent="0.35">
      <c r="A3" s="54" t="s">
        <v>0</v>
      </c>
      <c r="B3" s="54" t="s">
        <v>31</v>
      </c>
      <c r="C3" s="54" t="s">
        <v>1</v>
      </c>
      <c r="D3" s="54" t="s">
        <v>81</v>
      </c>
      <c r="E3" s="54" t="s">
        <v>2</v>
      </c>
      <c r="F3" s="54" t="s">
        <v>3</v>
      </c>
      <c r="G3" s="55" t="s">
        <v>4</v>
      </c>
      <c r="H3" s="54" t="s">
        <v>5</v>
      </c>
      <c r="I3" s="56" t="s">
        <v>42</v>
      </c>
      <c r="J3" s="57" t="s">
        <v>80</v>
      </c>
      <c r="K3" s="57" t="s">
        <v>79</v>
      </c>
      <c r="L3" s="57" t="s">
        <v>78</v>
      </c>
      <c r="M3" s="54" t="s">
        <v>4</v>
      </c>
      <c r="N3" s="54" t="s">
        <v>5</v>
      </c>
      <c r="O3" s="57" t="s">
        <v>77</v>
      </c>
    </row>
    <row r="4" spans="1:15" customFormat="1" x14ac:dyDescent="0.35">
      <c r="A4" s="1">
        <v>1</v>
      </c>
      <c r="B4" s="6" t="s">
        <v>73</v>
      </c>
      <c r="C4" s="7" t="s">
        <v>12</v>
      </c>
      <c r="D4" s="7" t="s">
        <v>76</v>
      </c>
      <c r="E4" s="6" t="s">
        <v>58</v>
      </c>
      <c r="F4" s="6" t="s">
        <v>59</v>
      </c>
      <c r="G4" s="40">
        <v>70327.98</v>
      </c>
      <c r="H4" s="41">
        <v>654.08000000000004</v>
      </c>
      <c r="I4" s="75">
        <v>44960</v>
      </c>
      <c r="J4" s="75">
        <v>44962</v>
      </c>
      <c r="K4" s="75">
        <v>30</v>
      </c>
      <c r="L4" s="8">
        <v>2</v>
      </c>
      <c r="M4" s="40">
        <v>70327.98</v>
      </c>
      <c r="N4" s="41">
        <v>654.08000000000004</v>
      </c>
      <c r="O4" s="261" t="s">
        <v>107</v>
      </c>
    </row>
    <row r="5" spans="1:15" customFormat="1" ht="19" customHeight="1" x14ac:dyDescent="0.35">
      <c r="A5" s="1">
        <v>2</v>
      </c>
      <c r="B5" s="6" t="s">
        <v>73</v>
      </c>
      <c r="C5" s="6" t="s">
        <v>9</v>
      </c>
      <c r="D5" s="6" t="s">
        <v>76</v>
      </c>
      <c r="E5" s="6" t="s">
        <v>58</v>
      </c>
      <c r="F5" s="6" t="s">
        <v>59</v>
      </c>
      <c r="G5" s="40">
        <v>32592.94</v>
      </c>
      <c r="H5" s="41">
        <v>302.94</v>
      </c>
      <c r="I5" s="75">
        <v>44960</v>
      </c>
      <c r="J5" s="75">
        <v>44962</v>
      </c>
      <c r="K5" s="75">
        <v>30</v>
      </c>
      <c r="L5" s="8">
        <v>2</v>
      </c>
      <c r="M5" s="40">
        <v>32592.94</v>
      </c>
      <c r="N5" s="41">
        <v>302.94</v>
      </c>
      <c r="O5" s="261"/>
    </row>
    <row r="6" spans="1:15" customFormat="1" ht="15.65" customHeight="1" x14ac:dyDescent="0.35">
      <c r="A6" s="1">
        <v>3</v>
      </c>
      <c r="B6" s="6" t="s">
        <v>73</v>
      </c>
      <c r="C6" s="7" t="s">
        <v>12</v>
      </c>
      <c r="D6" s="7" t="s">
        <v>75</v>
      </c>
      <c r="E6" s="6" t="s">
        <v>58</v>
      </c>
      <c r="F6" s="6" t="s">
        <v>59</v>
      </c>
      <c r="G6" s="40">
        <v>70327.98</v>
      </c>
      <c r="H6" s="41">
        <v>654.08000000000004</v>
      </c>
      <c r="I6" s="75">
        <v>44970</v>
      </c>
      <c r="J6" s="75">
        <v>44972</v>
      </c>
      <c r="K6" s="75">
        <v>30</v>
      </c>
      <c r="L6" s="8">
        <v>2</v>
      </c>
      <c r="M6" s="40">
        <v>70327.98</v>
      </c>
      <c r="N6" s="41">
        <v>654.08000000000004</v>
      </c>
      <c r="O6" s="261" t="s">
        <v>74</v>
      </c>
    </row>
    <row r="7" spans="1:15" customFormat="1" ht="19" customHeight="1" x14ac:dyDescent="0.35">
      <c r="A7" s="1">
        <v>4</v>
      </c>
      <c r="B7" s="6" t="s">
        <v>73</v>
      </c>
      <c r="C7" s="6" t="s">
        <v>9</v>
      </c>
      <c r="D7" s="6" t="s">
        <v>75</v>
      </c>
      <c r="E7" s="6" t="s">
        <v>58</v>
      </c>
      <c r="F7" s="6" t="s">
        <v>59</v>
      </c>
      <c r="G7" s="40">
        <v>32592.94</v>
      </c>
      <c r="H7" s="41">
        <v>302.94</v>
      </c>
      <c r="I7" s="76">
        <v>44970</v>
      </c>
      <c r="J7" s="75">
        <v>44972</v>
      </c>
      <c r="K7" s="75">
        <v>30</v>
      </c>
      <c r="L7" s="8">
        <v>2</v>
      </c>
      <c r="M7" s="40">
        <v>32592.94</v>
      </c>
      <c r="N7" s="41">
        <v>302.94</v>
      </c>
      <c r="O7" s="261"/>
    </row>
    <row r="8" spans="1:15" customFormat="1" ht="31" customHeight="1" x14ac:dyDescent="0.35">
      <c r="A8" s="1">
        <v>5</v>
      </c>
      <c r="B8" s="6" t="s">
        <v>73</v>
      </c>
      <c r="C8" s="7" t="s">
        <v>12</v>
      </c>
      <c r="D8" s="7" t="s">
        <v>72</v>
      </c>
      <c r="E8" s="6" t="s">
        <v>58</v>
      </c>
      <c r="F8" s="6" t="s">
        <v>59</v>
      </c>
      <c r="G8" s="40">
        <v>70327.98</v>
      </c>
      <c r="H8" s="41">
        <v>654.08000000000004</v>
      </c>
      <c r="I8" s="76">
        <v>44970</v>
      </c>
      <c r="J8" s="75">
        <v>44972</v>
      </c>
      <c r="K8" s="75">
        <v>30</v>
      </c>
      <c r="L8" s="8">
        <v>2</v>
      </c>
      <c r="M8" s="40">
        <v>70327.98</v>
      </c>
      <c r="N8" s="41">
        <v>654.08000000000004</v>
      </c>
      <c r="O8" s="261" t="s">
        <v>74</v>
      </c>
    </row>
    <row r="9" spans="1:15" customFormat="1" ht="19" customHeight="1" x14ac:dyDescent="0.35">
      <c r="A9" s="1">
        <v>6</v>
      </c>
      <c r="B9" s="6" t="s">
        <v>73</v>
      </c>
      <c r="C9" s="6" t="s">
        <v>9</v>
      </c>
      <c r="D9" s="77" t="s">
        <v>72</v>
      </c>
      <c r="E9" s="6" t="s">
        <v>58</v>
      </c>
      <c r="F9" s="6" t="s">
        <v>59</v>
      </c>
      <c r="G9" s="40">
        <v>32592.94</v>
      </c>
      <c r="H9" s="41">
        <v>302.94</v>
      </c>
      <c r="I9" s="76">
        <v>44970</v>
      </c>
      <c r="J9" s="75">
        <v>44972</v>
      </c>
      <c r="K9" s="75">
        <v>30</v>
      </c>
      <c r="L9" s="8">
        <v>2</v>
      </c>
      <c r="M9" s="40">
        <v>32592.94</v>
      </c>
      <c r="N9" s="41">
        <v>302.94</v>
      </c>
      <c r="O9" s="261"/>
    </row>
    <row r="10" spans="1:15" customFormat="1" x14ac:dyDescent="0.35">
      <c r="A10" s="1">
        <v>7</v>
      </c>
      <c r="B10" s="6" t="s">
        <v>71</v>
      </c>
      <c r="C10" s="7" t="s">
        <v>12</v>
      </c>
      <c r="D10" s="7" t="s">
        <v>69</v>
      </c>
      <c r="E10" s="6" t="s">
        <v>61</v>
      </c>
      <c r="F10" s="6" t="s">
        <v>68</v>
      </c>
      <c r="G10" s="40">
        <v>70327.98</v>
      </c>
      <c r="H10" s="41">
        <v>654.08000000000004</v>
      </c>
      <c r="I10" s="76">
        <v>44973</v>
      </c>
      <c r="J10" s="75">
        <v>44984</v>
      </c>
      <c r="K10" s="75">
        <v>44984</v>
      </c>
      <c r="L10" s="8">
        <v>1</v>
      </c>
      <c r="M10" s="40">
        <v>70327.98</v>
      </c>
      <c r="N10" s="41">
        <v>654.08000000000004</v>
      </c>
      <c r="O10" s="260" t="s">
        <v>106</v>
      </c>
    </row>
    <row r="11" spans="1:15" customFormat="1" ht="19" customHeight="1" x14ac:dyDescent="0.35">
      <c r="A11" s="1">
        <v>8</v>
      </c>
      <c r="B11" s="6" t="s">
        <v>70</v>
      </c>
      <c r="C11" s="6" t="s">
        <v>9</v>
      </c>
      <c r="D11" s="6" t="s">
        <v>69</v>
      </c>
      <c r="E11" s="6" t="s">
        <v>61</v>
      </c>
      <c r="F11" s="6" t="s">
        <v>68</v>
      </c>
      <c r="G11" s="40">
        <v>32592.94</v>
      </c>
      <c r="H11" s="41">
        <v>302.94</v>
      </c>
      <c r="I11" s="76">
        <v>44973</v>
      </c>
      <c r="J11" s="75">
        <v>44984</v>
      </c>
      <c r="K11" s="75">
        <v>44984</v>
      </c>
      <c r="L11" s="8">
        <v>1</v>
      </c>
      <c r="M11" s="40">
        <v>32592.94</v>
      </c>
      <c r="N11" s="41">
        <v>302.94</v>
      </c>
      <c r="O11" s="261"/>
    </row>
    <row r="12" spans="1:15" customFormat="1" x14ac:dyDescent="0.35">
      <c r="A12" s="1"/>
      <c r="B12" s="6"/>
      <c r="C12" s="7"/>
      <c r="D12" s="7"/>
      <c r="E12" s="6"/>
      <c r="F12" s="6"/>
      <c r="G12" s="40"/>
      <c r="H12" s="41"/>
      <c r="I12" s="58"/>
      <c r="J12" s="58"/>
      <c r="K12" s="58"/>
      <c r="L12" s="8"/>
      <c r="M12" s="9"/>
      <c r="N12" s="9"/>
      <c r="O12" s="52"/>
    </row>
    <row r="13" spans="1:15" customFormat="1" x14ac:dyDescent="0.35">
      <c r="A13" s="1"/>
      <c r="B13" s="6"/>
      <c r="C13" s="7"/>
      <c r="D13" s="7"/>
      <c r="E13" s="6"/>
      <c r="F13" s="6"/>
      <c r="G13" s="40"/>
      <c r="H13" s="41"/>
      <c r="I13" s="58"/>
      <c r="J13" s="58"/>
      <c r="K13" s="58"/>
      <c r="L13" s="8"/>
      <c r="M13" s="9"/>
      <c r="N13" s="9"/>
      <c r="O13" s="52"/>
    </row>
    <row r="14" spans="1:15" customFormat="1" x14ac:dyDescent="0.35">
      <c r="A14" s="1"/>
      <c r="B14" s="6"/>
      <c r="C14" s="7"/>
      <c r="D14" s="7"/>
      <c r="E14" s="6"/>
      <c r="F14" s="6"/>
      <c r="G14" s="40"/>
      <c r="H14" s="41"/>
      <c r="I14" s="58"/>
      <c r="J14" s="58"/>
      <c r="K14" s="58"/>
      <c r="L14" s="8"/>
      <c r="M14" s="9"/>
      <c r="N14" s="9"/>
      <c r="O14" s="52"/>
    </row>
    <row r="15" spans="1:15" customFormat="1" x14ac:dyDescent="0.35">
      <c r="A15" s="1"/>
      <c r="B15" s="6"/>
      <c r="C15" s="7"/>
      <c r="D15" s="7"/>
      <c r="E15" s="6"/>
      <c r="F15" s="6"/>
      <c r="G15" s="40"/>
      <c r="H15" s="41"/>
      <c r="I15" s="58"/>
      <c r="J15" s="58"/>
      <c r="K15" s="58"/>
      <c r="L15" s="8"/>
      <c r="M15" s="9"/>
      <c r="N15" s="9"/>
      <c r="O15" s="52"/>
    </row>
    <row r="16" spans="1:15" customFormat="1" x14ac:dyDescent="0.35">
      <c r="A16" s="1"/>
      <c r="B16" s="6"/>
      <c r="C16" s="7"/>
      <c r="D16" s="7"/>
      <c r="E16" s="6"/>
      <c r="F16" s="6"/>
      <c r="G16" s="40"/>
      <c r="H16" s="41"/>
      <c r="I16" s="58"/>
      <c r="J16" s="58"/>
      <c r="K16" s="58"/>
      <c r="L16" s="8"/>
      <c r="M16" s="9"/>
      <c r="N16" s="9"/>
      <c r="O16" s="52"/>
    </row>
    <row r="17" spans="1:15" customFormat="1" ht="19" customHeight="1" x14ac:dyDescent="0.35">
      <c r="A17" s="1"/>
      <c r="B17" s="6"/>
      <c r="C17" s="6"/>
      <c r="D17" s="6"/>
      <c r="E17" s="6"/>
      <c r="F17" s="6"/>
      <c r="G17" s="40"/>
      <c r="H17" s="41"/>
      <c r="I17" s="58"/>
      <c r="J17" s="58"/>
      <c r="K17" s="58"/>
      <c r="L17" s="8"/>
      <c r="M17" s="9"/>
      <c r="N17" s="9"/>
      <c r="O17" s="52"/>
    </row>
    <row r="18" spans="1:15" customFormat="1" ht="21.5" x14ac:dyDescent="0.6">
      <c r="A18" s="59"/>
      <c r="B18" s="60"/>
      <c r="C18" s="61"/>
      <c r="D18" s="61"/>
      <c r="E18" s="60"/>
      <c r="F18" s="62"/>
      <c r="G18" s="63"/>
      <c r="H18" s="64"/>
      <c r="I18" s="65"/>
      <c r="J18" s="66"/>
      <c r="K18" s="66"/>
      <c r="L18" s="67">
        <f>SUM(L4:L17)</f>
        <v>14</v>
      </c>
      <c r="M18" s="68">
        <f>SUM(M4:M17)</f>
        <v>411683.68</v>
      </c>
      <c r="N18" s="68">
        <f>SUM(N4:N17)</f>
        <v>3828.08</v>
      </c>
    </row>
    <row r="19" spans="1:15" customFormat="1" ht="14.5" x14ac:dyDescent="0.35"/>
    <row r="20" spans="1:15" customFormat="1" ht="14.5" x14ac:dyDescent="0.35">
      <c r="N20" t="s">
        <v>39</v>
      </c>
    </row>
    <row r="21" spans="1:15" x14ac:dyDescent="0.35">
      <c r="H21" s="43"/>
      <c r="I21" s="43"/>
      <c r="N21" s="43"/>
      <c r="O21" s="43"/>
    </row>
    <row r="22" spans="1:15" x14ac:dyDescent="0.35">
      <c r="H22" s="43"/>
      <c r="I22" s="43"/>
      <c r="N22" s="43"/>
      <c r="O22" s="43"/>
    </row>
    <row r="23" spans="1:15" x14ac:dyDescent="0.35">
      <c r="H23" s="43"/>
      <c r="I23" s="43"/>
      <c r="N23" s="43"/>
      <c r="O23" s="43"/>
    </row>
    <row r="24" spans="1:15" x14ac:dyDescent="0.35">
      <c r="A24" s="49"/>
    </row>
    <row r="30" spans="1:15" x14ac:dyDescent="0.35">
      <c r="M30" s="50"/>
      <c r="N30" s="51"/>
      <c r="O30" s="50"/>
    </row>
    <row r="31" spans="1:15" x14ac:dyDescent="0.35">
      <c r="M31" s="50"/>
      <c r="N31" s="50"/>
      <c r="O31" s="50"/>
    </row>
    <row r="32" spans="1:15" x14ac:dyDescent="0.35">
      <c r="M32" s="50"/>
      <c r="N32" s="50"/>
      <c r="O32" s="50"/>
    </row>
    <row r="33" spans="13:15" x14ac:dyDescent="0.35">
      <c r="M33" s="50"/>
      <c r="N33" s="50"/>
      <c r="O33" s="50"/>
    </row>
  </sheetData>
  <mergeCells count="7">
    <mergeCell ref="O10:O11"/>
    <mergeCell ref="A1:N1"/>
    <mergeCell ref="G2:H2"/>
    <mergeCell ref="J2:N2"/>
    <mergeCell ref="O4:O5"/>
    <mergeCell ref="O6:O7"/>
    <mergeCell ref="O8:O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C08B-2011-45DF-9DB3-5C4F387A20BB}">
  <dimension ref="A1:O29"/>
  <sheetViews>
    <sheetView zoomScale="63" workbookViewId="0">
      <selection activeCell="O3" sqref="O3:O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2.453125" style="46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30" style="10" customWidth="1"/>
    <col min="13" max="13" width="19.81640625" style="10" bestFit="1" customWidth="1"/>
    <col min="14" max="14" width="13.26953125" style="10" bestFit="1" customWidth="1"/>
    <col min="15" max="15" width="44.54296875" style="10" customWidth="1"/>
    <col min="16" max="16384" width="8.7265625" style="10"/>
  </cols>
  <sheetData>
    <row r="1" spans="1:15" ht="32.15" customHeight="1" x14ac:dyDescent="0.35">
      <c r="C1" s="248" t="s">
        <v>29</v>
      </c>
      <c r="D1" s="249"/>
      <c r="E1" s="249"/>
      <c r="F1" s="249"/>
      <c r="G1" s="249"/>
      <c r="H1" s="250"/>
      <c r="I1" s="250"/>
      <c r="J1" s="250"/>
      <c r="K1" s="251"/>
      <c r="L1" s="251"/>
      <c r="M1" s="251"/>
      <c r="N1" s="251"/>
    </row>
    <row r="2" spans="1:15" x14ac:dyDescent="0.35">
      <c r="G2" s="252" t="s">
        <v>10</v>
      </c>
      <c r="H2" s="252"/>
      <c r="J2" s="253" t="s">
        <v>30</v>
      </c>
      <c r="K2" s="253"/>
      <c r="L2" s="253"/>
      <c r="M2" s="253"/>
      <c r="N2" s="262"/>
    </row>
    <row r="3" spans="1:15" x14ac:dyDescent="0.35">
      <c r="A3" s="10" t="s">
        <v>0</v>
      </c>
      <c r="B3" s="10" t="s">
        <v>31</v>
      </c>
      <c r="C3" s="10" t="s">
        <v>1</v>
      </c>
      <c r="D3" s="46" t="s">
        <v>32</v>
      </c>
      <c r="E3" s="10" t="s">
        <v>2</v>
      </c>
      <c r="F3" s="10" t="s">
        <v>3</v>
      </c>
      <c r="G3" s="10" t="s">
        <v>4</v>
      </c>
      <c r="H3" s="10" t="s">
        <v>5</v>
      </c>
      <c r="I3" s="10" t="s">
        <v>11</v>
      </c>
      <c r="J3" s="10" t="s">
        <v>6</v>
      </c>
      <c r="K3" s="10" t="s">
        <v>7</v>
      </c>
      <c r="L3" s="10" t="s">
        <v>8</v>
      </c>
      <c r="M3" s="10" t="s">
        <v>33</v>
      </c>
      <c r="N3" s="53" t="s">
        <v>34</v>
      </c>
      <c r="O3" s="53" t="s">
        <v>28</v>
      </c>
    </row>
    <row r="4" spans="1:15" ht="19.5" x14ac:dyDescent="0.6">
      <c r="A4" s="10">
        <v>1</v>
      </c>
      <c r="B4" s="38" t="s">
        <v>129</v>
      </c>
      <c r="C4" s="10" t="s">
        <v>12</v>
      </c>
      <c r="D4" s="114">
        <v>4510478188</v>
      </c>
      <c r="E4" s="10" t="s">
        <v>58</v>
      </c>
      <c r="F4" s="10" t="s">
        <v>59</v>
      </c>
      <c r="G4" s="40">
        <v>70327.98</v>
      </c>
      <c r="H4" s="41">
        <v>654.08000000000004</v>
      </c>
      <c r="I4" s="42">
        <v>44929</v>
      </c>
      <c r="J4" s="42">
        <v>44988</v>
      </c>
      <c r="K4" s="42">
        <v>45172</v>
      </c>
      <c r="L4" s="10">
        <v>6</v>
      </c>
      <c r="M4" s="74">
        <f t="shared" ref="M4:M19" si="0">SUM(G4*L4)</f>
        <v>421967.88</v>
      </c>
      <c r="N4" s="119">
        <f t="shared" ref="N4:N19" si="1">SUM(H4*L4)</f>
        <v>3924.4800000000005</v>
      </c>
      <c r="O4" s="120" t="s">
        <v>160</v>
      </c>
    </row>
    <row r="5" spans="1:15" ht="19.5" x14ac:dyDescent="0.6">
      <c r="A5" s="10">
        <v>2</v>
      </c>
      <c r="B5" s="10" t="s">
        <v>128</v>
      </c>
      <c r="C5" s="10" t="s">
        <v>9</v>
      </c>
      <c r="D5" s="115">
        <v>4510478189</v>
      </c>
      <c r="E5" s="10" t="s">
        <v>58</v>
      </c>
      <c r="F5" s="10" t="s">
        <v>59</v>
      </c>
      <c r="G5" s="40">
        <v>32592.94</v>
      </c>
      <c r="H5" s="41">
        <v>302.94</v>
      </c>
      <c r="I5" s="42">
        <v>44929</v>
      </c>
      <c r="J5" s="42">
        <v>44988</v>
      </c>
      <c r="K5" s="42">
        <v>45172</v>
      </c>
      <c r="L5" s="10">
        <v>6</v>
      </c>
      <c r="M5" s="74">
        <f t="shared" si="0"/>
        <v>195557.63999999998</v>
      </c>
      <c r="N5" s="119">
        <f t="shared" si="1"/>
        <v>1817.6399999999999</v>
      </c>
      <c r="O5" s="120" t="s">
        <v>160</v>
      </c>
    </row>
    <row r="6" spans="1:15" ht="19.5" x14ac:dyDescent="0.6">
      <c r="A6" s="10">
        <v>3</v>
      </c>
      <c r="B6" s="10" t="s">
        <v>127</v>
      </c>
      <c r="C6" s="10" t="s">
        <v>126</v>
      </c>
      <c r="D6" s="116">
        <v>4510484560</v>
      </c>
      <c r="E6" s="10" t="s">
        <v>15</v>
      </c>
      <c r="F6" s="10" t="s">
        <v>112</v>
      </c>
      <c r="G6" s="40">
        <v>135587.07</v>
      </c>
      <c r="H6" s="41">
        <v>1260.72</v>
      </c>
      <c r="I6" s="42">
        <v>44929</v>
      </c>
      <c r="J6" s="42">
        <v>44998</v>
      </c>
      <c r="K6" s="45" t="s">
        <v>111</v>
      </c>
      <c r="L6" s="10">
        <v>18</v>
      </c>
      <c r="M6" s="74">
        <f t="shared" si="0"/>
        <v>2440567.2600000002</v>
      </c>
      <c r="N6" s="119">
        <f t="shared" si="1"/>
        <v>22692.959999999999</v>
      </c>
      <c r="O6" s="120" t="s">
        <v>160</v>
      </c>
    </row>
    <row r="7" spans="1:15" x14ac:dyDescent="0.35">
      <c r="A7" s="10">
        <v>4</v>
      </c>
      <c r="B7" s="10" t="s">
        <v>125</v>
      </c>
      <c r="C7" s="10" t="s">
        <v>124</v>
      </c>
      <c r="D7" s="46" t="s">
        <v>123</v>
      </c>
      <c r="E7" s="10" t="s">
        <v>122</v>
      </c>
      <c r="F7" s="10" t="s">
        <v>121</v>
      </c>
      <c r="G7" s="40">
        <v>33066.36</v>
      </c>
      <c r="H7" s="41">
        <v>307.52999999999997</v>
      </c>
      <c r="I7" s="42">
        <v>44929</v>
      </c>
      <c r="J7" s="42">
        <v>45002</v>
      </c>
      <c r="K7" s="45" t="s">
        <v>111</v>
      </c>
      <c r="L7" s="10">
        <v>14</v>
      </c>
      <c r="M7" s="74">
        <f t="shared" si="0"/>
        <v>462929.04000000004</v>
      </c>
      <c r="N7" s="119">
        <f t="shared" si="1"/>
        <v>4305.42</v>
      </c>
      <c r="O7" s="120" t="s">
        <v>160</v>
      </c>
    </row>
    <row r="8" spans="1:15" x14ac:dyDescent="0.35">
      <c r="A8" s="10">
        <v>5</v>
      </c>
      <c r="B8" s="10" t="s">
        <v>120</v>
      </c>
      <c r="C8" s="10" t="s">
        <v>12</v>
      </c>
      <c r="D8" s="117" t="s">
        <v>119</v>
      </c>
      <c r="E8" s="10" t="s">
        <v>58</v>
      </c>
      <c r="F8" s="10" t="s">
        <v>59</v>
      </c>
      <c r="G8" s="40">
        <v>70327.98</v>
      </c>
      <c r="H8" s="41">
        <v>654.08000000000004</v>
      </c>
      <c r="I8" s="42">
        <v>44929</v>
      </c>
      <c r="J8" s="42">
        <v>45002</v>
      </c>
      <c r="K8" s="45" t="s">
        <v>111</v>
      </c>
      <c r="L8" s="10">
        <v>14</v>
      </c>
      <c r="M8" s="74">
        <f t="shared" si="0"/>
        <v>984591.72</v>
      </c>
      <c r="N8" s="119">
        <f t="shared" si="1"/>
        <v>9157.1200000000008</v>
      </c>
      <c r="O8" s="120" t="s">
        <v>160</v>
      </c>
    </row>
    <row r="9" spans="1:15" x14ac:dyDescent="0.35">
      <c r="A9" s="10">
        <v>6</v>
      </c>
      <c r="B9" s="10" t="s">
        <v>118</v>
      </c>
      <c r="C9" s="10" t="s">
        <v>12</v>
      </c>
      <c r="D9" s="117">
        <v>4510484303</v>
      </c>
      <c r="E9" s="10" t="s">
        <v>58</v>
      </c>
      <c r="F9" s="10" t="s">
        <v>59</v>
      </c>
      <c r="G9" s="40">
        <v>70327.98</v>
      </c>
      <c r="H9" s="41">
        <v>654.08000000000004</v>
      </c>
      <c r="I9" s="42">
        <v>44929</v>
      </c>
      <c r="J9" s="42">
        <v>45002</v>
      </c>
      <c r="K9" s="45" t="s">
        <v>111</v>
      </c>
      <c r="L9" s="10">
        <v>14</v>
      </c>
      <c r="M9" s="74">
        <f t="shared" si="0"/>
        <v>984591.72</v>
      </c>
      <c r="N9" s="119">
        <f t="shared" si="1"/>
        <v>9157.1200000000008</v>
      </c>
      <c r="O9" s="120" t="s">
        <v>160</v>
      </c>
    </row>
    <row r="10" spans="1:15" x14ac:dyDescent="0.35">
      <c r="A10" s="10">
        <v>7</v>
      </c>
      <c r="B10" s="10" t="s">
        <v>117</v>
      </c>
      <c r="C10" s="10" t="s">
        <v>9</v>
      </c>
      <c r="D10" s="117">
        <v>4510484303</v>
      </c>
      <c r="E10" s="10" t="s">
        <v>58</v>
      </c>
      <c r="F10" s="10" t="s">
        <v>59</v>
      </c>
      <c r="G10" s="40">
        <v>32592.94</v>
      </c>
      <c r="H10" s="41">
        <v>302.94</v>
      </c>
      <c r="I10" s="42">
        <v>44929</v>
      </c>
      <c r="J10" s="42">
        <v>45002</v>
      </c>
      <c r="K10" s="45" t="s">
        <v>111</v>
      </c>
      <c r="L10" s="10">
        <v>14</v>
      </c>
      <c r="M10" s="74">
        <f t="shared" si="0"/>
        <v>456301.16</v>
      </c>
      <c r="N10" s="119">
        <f t="shared" si="1"/>
        <v>4241.16</v>
      </c>
      <c r="O10" s="120" t="s">
        <v>160</v>
      </c>
    </row>
    <row r="11" spans="1:15" x14ac:dyDescent="0.35">
      <c r="A11" s="10">
        <v>8</v>
      </c>
      <c r="B11" s="10" t="s">
        <v>64</v>
      </c>
      <c r="C11" s="10" t="s">
        <v>12</v>
      </c>
      <c r="D11" s="117">
        <v>4510484302</v>
      </c>
      <c r="E11" s="10" t="s">
        <v>58</v>
      </c>
      <c r="F11" s="10" t="s">
        <v>59</v>
      </c>
      <c r="G11" s="40">
        <v>70327.98</v>
      </c>
      <c r="H11" s="41">
        <v>654.08000000000004</v>
      </c>
      <c r="I11" s="42">
        <v>44929</v>
      </c>
      <c r="J11" s="42">
        <v>45002</v>
      </c>
      <c r="K11" s="45" t="s">
        <v>111</v>
      </c>
      <c r="L11" s="10">
        <v>14</v>
      </c>
      <c r="M11" s="74">
        <f t="shared" si="0"/>
        <v>984591.72</v>
      </c>
      <c r="N11" s="119">
        <f t="shared" si="1"/>
        <v>9157.1200000000008</v>
      </c>
      <c r="O11" s="120" t="s">
        <v>160</v>
      </c>
    </row>
    <row r="12" spans="1:15" x14ac:dyDescent="0.35">
      <c r="A12" s="10">
        <v>9</v>
      </c>
      <c r="B12" s="10" t="s">
        <v>67</v>
      </c>
      <c r="C12" s="10" t="s">
        <v>9</v>
      </c>
      <c r="D12" s="117">
        <v>4510484302</v>
      </c>
      <c r="E12" s="10" t="s">
        <v>58</v>
      </c>
      <c r="F12" s="10" t="s">
        <v>59</v>
      </c>
      <c r="G12" s="40">
        <v>32592.94</v>
      </c>
      <c r="H12" s="41">
        <v>302.94</v>
      </c>
      <c r="I12" s="42">
        <v>44929</v>
      </c>
      <c r="J12" s="42">
        <v>45002</v>
      </c>
      <c r="K12" s="45" t="s">
        <v>111</v>
      </c>
      <c r="L12" s="10">
        <v>14</v>
      </c>
      <c r="M12" s="74">
        <f t="shared" si="0"/>
        <v>456301.16</v>
      </c>
      <c r="N12" s="119">
        <f t="shared" si="1"/>
        <v>4241.16</v>
      </c>
      <c r="O12" s="120" t="s">
        <v>160</v>
      </c>
    </row>
    <row r="13" spans="1:15" x14ac:dyDescent="0.35">
      <c r="A13" s="10">
        <v>10</v>
      </c>
      <c r="B13" s="10" t="s">
        <v>116</v>
      </c>
      <c r="C13" s="10" t="s">
        <v>114</v>
      </c>
      <c r="D13" s="118">
        <v>4510484578</v>
      </c>
      <c r="E13" s="10" t="s">
        <v>15</v>
      </c>
      <c r="F13" s="10" t="s">
        <v>112</v>
      </c>
      <c r="G13" s="40">
        <v>32592.94</v>
      </c>
      <c r="H13" s="41">
        <v>302.94</v>
      </c>
      <c r="I13" s="42">
        <v>44929</v>
      </c>
      <c r="J13" s="42">
        <v>45013</v>
      </c>
      <c r="K13" s="45" t="s">
        <v>111</v>
      </c>
      <c r="L13" s="10">
        <v>3</v>
      </c>
      <c r="M13" s="74">
        <f t="shared" si="0"/>
        <v>97778.819999999992</v>
      </c>
      <c r="N13" s="119">
        <f t="shared" si="1"/>
        <v>908.81999999999994</v>
      </c>
      <c r="O13" s="120" t="s">
        <v>160</v>
      </c>
    </row>
    <row r="14" spans="1:15" ht="46.5" x14ac:dyDescent="0.35">
      <c r="A14" s="10">
        <v>11</v>
      </c>
      <c r="B14" s="10" t="s">
        <v>115</v>
      </c>
      <c r="C14" s="10" t="s">
        <v>114</v>
      </c>
      <c r="D14" s="118" t="s">
        <v>113</v>
      </c>
      <c r="E14" s="10" t="s">
        <v>15</v>
      </c>
      <c r="F14" s="10" t="s">
        <v>112</v>
      </c>
      <c r="G14" s="40">
        <v>32592.94</v>
      </c>
      <c r="H14" s="41">
        <v>302.94</v>
      </c>
      <c r="I14" s="42">
        <v>44929</v>
      </c>
      <c r="J14" s="42">
        <v>45013</v>
      </c>
      <c r="K14" s="45" t="s">
        <v>111</v>
      </c>
      <c r="L14" s="10">
        <v>3</v>
      </c>
      <c r="M14" s="74">
        <f t="shared" si="0"/>
        <v>97778.819999999992</v>
      </c>
      <c r="N14" s="119">
        <f t="shared" si="1"/>
        <v>908.81999999999994</v>
      </c>
      <c r="O14" s="120" t="s">
        <v>160</v>
      </c>
    </row>
    <row r="15" spans="1:15" x14ac:dyDescent="0.35">
      <c r="G15" s="43"/>
      <c r="H15" s="43"/>
      <c r="M15" s="74">
        <f t="shared" si="0"/>
        <v>0</v>
      </c>
      <c r="N15" s="119">
        <f t="shared" si="1"/>
        <v>0</v>
      </c>
      <c r="O15" s="120"/>
    </row>
    <row r="16" spans="1:15" x14ac:dyDescent="0.35">
      <c r="G16" s="43"/>
      <c r="H16" s="43"/>
      <c r="M16" s="74">
        <f t="shared" si="0"/>
        <v>0</v>
      </c>
      <c r="N16" s="119">
        <f t="shared" si="1"/>
        <v>0</v>
      </c>
      <c r="O16" s="120"/>
    </row>
    <row r="17" spans="1:15" x14ac:dyDescent="0.35">
      <c r="G17" s="43"/>
      <c r="H17" s="43"/>
      <c r="M17" s="74">
        <f t="shared" si="0"/>
        <v>0</v>
      </c>
      <c r="N17" s="119">
        <f t="shared" si="1"/>
        <v>0</v>
      </c>
      <c r="O17" s="120"/>
    </row>
    <row r="18" spans="1:15" x14ac:dyDescent="0.35">
      <c r="G18" s="43"/>
      <c r="H18" s="43"/>
      <c r="M18" s="74">
        <f t="shared" si="0"/>
        <v>0</v>
      </c>
      <c r="N18" s="119">
        <f t="shared" si="1"/>
        <v>0</v>
      </c>
      <c r="O18" s="120"/>
    </row>
    <row r="19" spans="1:15" x14ac:dyDescent="0.35">
      <c r="G19" s="43"/>
      <c r="H19" s="43"/>
      <c r="M19" s="74">
        <f t="shared" si="0"/>
        <v>0</v>
      </c>
      <c r="N19" s="119">
        <f t="shared" si="1"/>
        <v>0</v>
      </c>
      <c r="O19" s="120"/>
    </row>
    <row r="20" spans="1:15" x14ac:dyDescent="0.35">
      <c r="A20" s="49"/>
      <c r="K20" s="10" t="s">
        <v>38</v>
      </c>
      <c r="L20" s="10">
        <f>SUM(L4:L18)</f>
        <v>120</v>
      </c>
      <c r="M20" s="74">
        <f>SUBTOTAL(109,Table1345[NGN])</f>
        <v>7582956.9400000004</v>
      </c>
      <c r="N20" s="74">
        <f>SUBTOTAL(109,Table1345[USD])</f>
        <v>70511.820000000022</v>
      </c>
      <c r="O20" s="101"/>
    </row>
    <row r="24" spans="1:15" x14ac:dyDescent="0.35">
      <c r="J24" s="10" t="s">
        <v>39</v>
      </c>
    </row>
    <row r="26" spans="1:15" x14ac:dyDescent="0.35">
      <c r="L26" s="50"/>
      <c r="M26" s="51"/>
      <c r="N26" s="50"/>
    </row>
    <row r="27" spans="1:15" x14ac:dyDescent="0.35">
      <c r="L27" s="50"/>
      <c r="M27" s="50"/>
      <c r="N27" s="50"/>
    </row>
    <row r="28" spans="1:15" x14ac:dyDescent="0.35">
      <c r="L28" s="50"/>
      <c r="M28" s="50"/>
      <c r="N28" s="50"/>
    </row>
    <row r="29" spans="1:15" x14ac:dyDescent="0.35">
      <c r="L29" s="50"/>
      <c r="M29" s="50"/>
      <c r="N29" s="50"/>
    </row>
  </sheetData>
  <mergeCells count="3">
    <mergeCell ref="C1:N1"/>
    <mergeCell ref="G2:H2"/>
    <mergeCell ref="J2:N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9610-F77E-4B56-99DF-3B4688B8A679}">
  <dimension ref="A1:N31"/>
  <sheetViews>
    <sheetView topLeftCell="G1" zoomScale="63" workbookViewId="0">
      <selection activeCell="N4" sqref="N4"/>
    </sheetView>
  </sheetViews>
  <sheetFormatPr defaultColWidth="8.7265625" defaultRowHeight="15.5" x14ac:dyDescent="0.35"/>
  <cols>
    <col min="1" max="1" width="6.81640625" style="10" customWidth="1"/>
    <col min="2" max="2" width="20.1796875" style="10" customWidth="1"/>
    <col min="3" max="3" width="17.26953125" style="10" customWidth="1"/>
    <col min="4" max="4" width="20" style="10" customWidth="1"/>
    <col min="5" max="5" width="15.7265625" style="10" customWidth="1"/>
    <col min="6" max="6" width="20" style="10" customWidth="1"/>
    <col min="7" max="8" width="16.54296875" style="10" customWidth="1"/>
    <col min="9" max="9" width="20.81640625" style="10" customWidth="1"/>
    <col min="10" max="10" width="20.453125" style="10" customWidth="1"/>
    <col min="11" max="11" width="21.81640625" style="10" customWidth="1"/>
    <col min="12" max="12" width="17.81640625" style="10" customWidth="1"/>
    <col min="13" max="13" width="19.81640625" style="10" bestFit="1" customWidth="1"/>
    <col min="14" max="14" width="128" style="10" customWidth="1"/>
    <col min="15" max="16384" width="8.7265625" style="10"/>
  </cols>
  <sheetData>
    <row r="1" spans="1:14" customFormat="1" ht="32.15" customHeight="1" x14ac:dyDescent="0.55000000000000004">
      <c r="A1" s="254" t="s">
        <v>40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4" customFormat="1" x14ac:dyDescent="0.35">
      <c r="C2" s="52"/>
      <c r="D2" s="52"/>
      <c r="E2" s="52"/>
      <c r="F2" s="256" t="s">
        <v>10</v>
      </c>
      <c r="G2" s="256"/>
      <c r="H2" s="53"/>
      <c r="I2" s="253" t="s">
        <v>41</v>
      </c>
      <c r="J2" s="253"/>
      <c r="K2" s="253"/>
      <c r="L2" s="253"/>
      <c r="M2" s="253"/>
      <c r="N2" s="263" t="s">
        <v>28</v>
      </c>
    </row>
    <row r="3" spans="1:14" customFormat="1" ht="31" x14ac:dyDescent="0.35">
      <c r="A3" s="54" t="s">
        <v>0</v>
      </c>
      <c r="B3" s="54" t="s">
        <v>31</v>
      </c>
      <c r="C3" s="54" t="s">
        <v>1</v>
      </c>
      <c r="D3" s="54" t="s">
        <v>2</v>
      </c>
      <c r="E3" s="54" t="s">
        <v>3</v>
      </c>
      <c r="F3" s="55" t="s">
        <v>4</v>
      </c>
      <c r="G3" s="54" t="s">
        <v>5</v>
      </c>
      <c r="H3" s="56" t="s">
        <v>42</v>
      </c>
      <c r="I3" s="57" t="s">
        <v>43</v>
      </c>
      <c r="J3" s="57" t="s">
        <v>44</v>
      </c>
      <c r="K3" s="57" t="s">
        <v>8</v>
      </c>
      <c r="L3" s="54" t="s">
        <v>4</v>
      </c>
      <c r="M3" s="54" t="s">
        <v>5</v>
      </c>
      <c r="N3" s="264"/>
    </row>
    <row r="4" spans="1:14" customFormat="1" x14ac:dyDescent="0.35">
      <c r="A4" s="1">
        <v>1</v>
      </c>
      <c r="B4" s="6" t="s">
        <v>57</v>
      </c>
      <c r="C4" s="7" t="s">
        <v>9</v>
      </c>
      <c r="D4" s="6" t="s">
        <v>58</v>
      </c>
      <c r="E4" s="6" t="s">
        <v>59</v>
      </c>
      <c r="F4" s="40">
        <v>32592.94</v>
      </c>
      <c r="G4" s="41">
        <v>302.94</v>
      </c>
      <c r="H4" s="108">
        <v>44986</v>
      </c>
      <c r="I4" s="75">
        <v>45016</v>
      </c>
      <c r="J4" s="75">
        <v>45002</v>
      </c>
      <c r="K4" s="8">
        <v>14</v>
      </c>
      <c r="L4" s="112">
        <f t="shared" ref="L4:L9" si="0">SUM(F4*K4)</f>
        <v>456301.16</v>
      </c>
      <c r="M4" s="112">
        <f t="shared" ref="M4:M9" si="1">SUM(G4*K4)</f>
        <v>4241.16</v>
      </c>
      <c r="N4" s="106" t="s">
        <v>161</v>
      </c>
    </row>
    <row r="5" spans="1:14" customFormat="1" ht="19" customHeight="1" x14ac:dyDescent="0.35">
      <c r="A5" s="1">
        <v>2</v>
      </c>
      <c r="B5" s="6" t="s">
        <v>60</v>
      </c>
      <c r="C5" s="6" t="s">
        <v>12</v>
      </c>
      <c r="D5" s="6" t="s">
        <v>61</v>
      </c>
      <c r="E5" s="6" t="s">
        <v>62</v>
      </c>
      <c r="F5" s="40">
        <v>70327.98</v>
      </c>
      <c r="G5" s="41">
        <v>654.08000000000004</v>
      </c>
      <c r="H5" s="108">
        <v>45003</v>
      </c>
      <c r="I5" s="75">
        <v>45016</v>
      </c>
      <c r="J5" s="75">
        <v>45014</v>
      </c>
      <c r="K5" s="8">
        <v>13</v>
      </c>
      <c r="L5" s="112">
        <f t="shared" si="0"/>
        <v>914263.74</v>
      </c>
      <c r="M5" s="112">
        <f t="shared" si="1"/>
        <v>8503.0400000000009</v>
      </c>
      <c r="N5" s="106" t="s">
        <v>161</v>
      </c>
    </row>
    <row r="6" spans="1:14" customFormat="1" x14ac:dyDescent="0.35">
      <c r="A6" s="1">
        <v>3</v>
      </c>
      <c r="B6" s="6" t="s">
        <v>139</v>
      </c>
      <c r="C6" s="7" t="s">
        <v>9</v>
      </c>
      <c r="D6" s="6" t="s">
        <v>61</v>
      </c>
      <c r="E6" s="6" t="s">
        <v>62</v>
      </c>
      <c r="F6" s="40">
        <v>32592.94</v>
      </c>
      <c r="G6" s="41">
        <v>302.94</v>
      </c>
      <c r="H6" s="108">
        <v>45003</v>
      </c>
      <c r="I6" s="75">
        <v>45016</v>
      </c>
      <c r="J6" s="75">
        <v>45014</v>
      </c>
      <c r="K6" s="8">
        <v>13</v>
      </c>
      <c r="L6" s="112">
        <f t="shared" si="0"/>
        <v>423708.22</v>
      </c>
      <c r="M6" s="112">
        <f t="shared" si="1"/>
        <v>3938.22</v>
      </c>
      <c r="N6" s="106" t="s">
        <v>161</v>
      </c>
    </row>
    <row r="7" spans="1:14" customFormat="1" ht="19" customHeight="1" x14ac:dyDescent="0.35">
      <c r="A7" s="1">
        <v>4</v>
      </c>
      <c r="B7" s="6" t="s">
        <v>118</v>
      </c>
      <c r="C7" s="6" t="s">
        <v>12</v>
      </c>
      <c r="D7" s="6" t="s">
        <v>65</v>
      </c>
      <c r="E7" s="6" t="s">
        <v>59</v>
      </c>
      <c r="F7" s="40">
        <v>70327.98</v>
      </c>
      <c r="G7" s="41">
        <v>654.08000000000004</v>
      </c>
      <c r="H7" s="108">
        <v>44998</v>
      </c>
      <c r="I7" s="75">
        <v>45000</v>
      </c>
      <c r="J7" s="75">
        <v>45000</v>
      </c>
      <c r="K7" s="8">
        <v>3</v>
      </c>
      <c r="L7" s="112">
        <f t="shared" si="0"/>
        <v>210983.94</v>
      </c>
      <c r="M7" s="112">
        <f t="shared" si="1"/>
        <v>1962.2400000000002</v>
      </c>
      <c r="N7" s="106" t="s">
        <v>162</v>
      </c>
    </row>
    <row r="8" spans="1:14" customFormat="1" x14ac:dyDescent="0.35">
      <c r="A8" s="1">
        <v>5</v>
      </c>
      <c r="B8" s="6" t="s">
        <v>117</v>
      </c>
      <c r="C8" s="7" t="s">
        <v>9</v>
      </c>
      <c r="D8" s="6" t="s">
        <v>65</v>
      </c>
      <c r="E8" s="6" t="s">
        <v>59</v>
      </c>
      <c r="F8" s="40">
        <v>32592.94</v>
      </c>
      <c r="G8" s="41">
        <v>302.94</v>
      </c>
      <c r="H8" s="108">
        <v>44998</v>
      </c>
      <c r="I8" s="75">
        <v>45000</v>
      </c>
      <c r="J8" s="75">
        <v>45000</v>
      </c>
      <c r="K8" s="8">
        <v>3</v>
      </c>
      <c r="L8" s="112">
        <f t="shared" si="0"/>
        <v>97778.819999999992</v>
      </c>
      <c r="M8" s="112">
        <f t="shared" si="1"/>
        <v>908.81999999999994</v>
      </c>
      <c r="N8" s="106" t="s">
        <v>163</v>
      </c>
    </row>
    <row r="9" spans="1:14" customFormat="1" ht="19" customHeight="1" x14ac:dyDescent="0.35">
      <c r="A9" s="1">
        <v>6</v>
      </c>
      <c r="B9" s="6" t="s">
        <v>138</v>
      </c>
      <c r="C9" s="6" t="s">
        <v>12</v>
      </c>
      <c r="D9" s="6" t="s">
        <v>122</v>
      </c>
      <c r="E9" s="6" t="s">
        <v>66</v>
      </c>
      <c r="F9" s="40">
        <v>70327.98</v>
      </c>
      <c r="G9" s="41">
        <v>654.08000000000004</v>
      </c>
      <c r="H9" s="108">
        <v>45010</v>
      </c>
      <c r="I9" s="75">
        <v>45013</v>
      </c>
      <c r="J9" s="75">
        <v>45013</v>
      </c>
      <c r="K9" s="8">
        <v>4</v>
      </c>
      <c r="L9" s="112">
        <f t="shared" si="0"/>
        <v>281311.92</v>
      </c>
      <c r="M9" s="112">
        <f t="shared" si="1"/>
        <v>2616.3200000000002</v>
      </c>
      <c r="N9" s="106" t="s">
        <v>164</v>
      </c>
    </row>
    <row r="10" spans="1:14" customFormat="1" x14ac:dyDescent="0.35">
      <c r="A10" s="1"/>
      <c r="B10" s="6"/>
      <c r="C10" s="7"/>
      <c r="D10" s="6"/>
      <c r="E10" s="6"/>
      <c r="F10" s="40"/>
      <c r="G10" s="41"/>
      <c r="H10" s="58"/>
      <c r="I10" s="58"/>
      <c r="J10" s="58"/>
      <c r="K10" s="8"/>
      <c r="L10" s="9"/>
      <c r="M10" s="9"/>
      <c r="N10" s="52"/>
    </row>
    <row r="11" spans="1:14" customFormat="1" x14ac:dyDescent="0.35">
      <c r="A11" s="1"/>
      <c r="B11" s="6"/>
      <c r="C11" s="7"/>
      <c r="D11" s="6"/>
      <c r="E11" s="6"/>
      <c r="F11" s="40"/>
      <c r="G11" s="41"/>
      <c r="H11" s="58"/>
      <c r="I11" s="58"/>
      <c r="J11" s="58"/>
      <c r="K11" s="8"/>
      <c r="L11" s="9"/>
      <c r="M11" s="9"/>
      <c r="N11" s="52"/>
    </row>
    <row r="12" spans="1:14" customFormat="1" x14ac:dyDescent="0.35">
      <c r="A12" s="1"/>
      <c r="B12" s="6"/>
      <c r="C12" s="7"/>
      <c r="D12" s="6"/>
      <c r="E12" s="6"/>
      <c r="F12" s="40"/>
      <c r="G12" s="41"/>
      <c r="H12" s="58"/>
      <c r="I12" s="58"/>
      <c r="J12" s="58"/>
      <c r="K12" s="8"/>
      <c r="L12" s="9"/>
      <c r="M12" s="9"/>
      <c r="N12" s="52"/>
    </row>
    <row r="13" spans="1:14" customFormat="1" x14ac:dyDescent="0.35">
      <c r="A13" s="1"/>
      <c r="B13" s="6"/>
      <c r="C13" s="7"/>
      <c r="D13" s="6"/>
      <c r="E13" s="6"/>
      <c r="F13" s="40"/>
      <c r="G13" s="41"/>
      <c r="H13" s="58"/>
      <c r="I13" s="58"/>
      <c r="J13" s="58"/>
      <c r="K13" s="8"/>
      <c r="L13" s="9"/>
      <c r="M13" s="9"/>
      <c r="N13" s="52"/>
    </row>
    <row r="14" spans="1:14" customFormat="1" x14ac:dyDescent="0.35">
      <c r="A14" s="1"/>
      <c r="B14" s="6"/>
      <c r="C14" s="7"/>
      <c r="D14" s="6"/>
      <c r="E14" s="6"/>
      <c r="F14" s="40"/>
      <c r="G14" s="41"/>
      <c r="H14" s="58"/>
      <c r="I14" s="58"/>
      <c r="J14" s="58"/>
      <c r="K14" s="8"/>
      <c r="L14" s="9"/>
      <c r="M14" s="9"/>
      <c r="N14" s="52"/>
    </row>
    <row r="15" spans="1:14" customFormat="1" ht="19" customHeight="1" x14ac:dyDescent="0.35">
      <c r="A15" s="1"/>
      <c r="B15" s="6"/>
      <c r="C15" s="6"/>
      <c r="D15" s="6"/>
      <c r="E15" s="6"/>
      <c r="F15" s="40"/>
      <c r="G15" s="41"/>
      <c r="H15" s="58"/>
      <c r="I15" s="58"/>
      <c r="J15" s="58"/>
      <c r="K15" s="8"/>
      <c r="L15" s="9"/>
      <c r="M15" s="9"/>
      <c r="N15" s="52"/>
    </row>
    <row r="16" spans="1:14" customFormat="1" ht="21.5" x14ac:dyDescent="0.6">
      <c r="A16" s="59"/>
      <c r="B16" s="60"/>
      <c r="C16" s="61"/>
      <c r="D16" s="60"/>
      <c r="E16" s="62"/>
      <c r="F16" s="63"/>
      <c r="G16" s="64"/>
      <c r="H16" s="65"/>
      <c r="I16" s="58"/>
      <c r="J16" s="58"/>
      <c r="K16" s="121">
        <f>SUM(K4:K15)</f>
        <v>50</v>
      </c>
      <c r="L16" s="122">
        <f>SUM(L4:L15)</f>
        <v>2384347.7999999998</v>
      </c>
      <c r="M16" s="122">
        <f>SUM(M4:M15)</f>
        <v>22169.800000000003</v>
      </c>
      <c r="N16" s="52"/>
    </row>
    <row r="17" spans="1:14" customFormat="1" ht="14.5" x14ac:dyDescent="0.35"/>
    <row r="18" spans="1:14" customFormat="1" ht="14.5" x14ac:dyDescent="0.35">
      <c r="M18" t="s">
        <v>39</v>
      </c>
    </row>
    <row r="19" spans="1:14" x14ac:dyDescent="0.35">
      <c r="G19" s="43"/>
      <c r="H19" s="43"/>
      <c r="M19" s="43"/>
      <c r="N19" s="43"/>
    </row>
    <row r="20" spans="1:14" x14ac:dyDescent="0.35">
      <c r="G20" s="43"/>
      <c r="H20" s="43"/>
      <c r="M20" s="43"/>
      <c r="N20" s="43"/>
    </row>
    <row r="21" spans="1:14" x14ac:dyDescent="0.35">
      <c r="G21" s="43"/>
      <c r="H21" s="43"/>
      <c r="M21" s="43"/>
      <c r="N21" s="43"/>
    </row>
    <row r="22" spans="1:14" x14ac:dyDescent="0.35">
      <c r="A22" s="49"/>
    </row>
    <row r="28" spans="1:14" x14ac:dyDescent="0.35">
      <c r="L28" s="50"/>
      <c r="M28" s="51"/>
      <c r="N28" s="50"/>
    </row>
    <row r="29" spans="1:14" x14ac:dyDescent="0.35">
      <c r="L29" s="50"/>
      <c r="M29" s="50"/>
      <c r="N29" s="50"/>
    </row>
    <row r="30" spans="1:14" x14ac:dyDescent="0.35">
      <c r="L30" s="50"/>
      <c r="M30" s="50"/>
      <c r="N30" s="50"/>
    </row>
    <row r="31" spans="1:14" x14ac:dyDescent="0.35">
      <c r="L31" s="50"/>
      <c r="M31" s="50"/>
      <c r="N31" s="50"/>
    </row>
  </sheetData>
  <mergeCells count="4">
    <mergeCell ref="A1:M1"/>
    <mergeCell ref="F2:G2"/>
    <mergeCell ref="I2:M2"/>
    <mergeCell ref="N2:N3"/>
  </mergeCells>
  <phoneticPr fontId="33" type="noConversion"/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JAN'23-COST SAVINGS EAST</vt:lpstr>
      <vt:lpstr>JAN '23 COST SAVINGS WEST</vt:lpstr>
      <vt:lpstr>JAN '23 COST AVOIDANCE  </vt:lpstr>
      <vt:lpstr>FEB '23 COST SAVINGS WEST </vt:lpstr>
      <vt:lpstr>FEB '23 COST AVOIDANCE WEST </vt:lpstr>
      <vt:lpstr>FEB '23 COST SAVINGS EAST</vt:lpstr>
      <vt:lpstr>FEB'23 MISSED OPPORTUNITY</vt:lpstr>
      <vt:lpstr>MAR '23 COST SAVINGS </vt:lpstr>
      <vt:lpstr>MAR '23 COST AVOIDANCE </vt:lpstr>
      <vt:lpstr>MAR. MISSED OPPORTUNITY</vt:lpstr>
      <vt:lpstr>APR '23 COST SAVINGS  </vt:lpstr>
      <vt:lpstr>APR '23 COST AVOIDANCE</vt:lpstr>
      <vt:lpstr>APR. MISSED OPPORTUNITY </vt:lpstr>
      <vt:lpstr>MAY '23 COST SAVINGS EAST </vt:lpstr>
      <vt:lpstr>MAY'-23'COST AVOIDANCE EAST</vt:lpstr>
      <vt:lpstr>MAY '23 COST SAVINGS WEST</vt:lpstr>
      <vt:lpstr>MAY '23 COST AVOIDANCE WEST </vt:lpstr>
      <vt:lpstr>MAY. MISSED OPPORTUNITY </vt:lpstr>
      <vt:lpstr>JUNE'23 COST SAVINGS EAST</vt:lpstr>
      <vt:lpstr>JUNE '23 COST SAVINGS WEST </vt:lpstr>
      <vt:lpstr>JUNE '23 COST AVOIDANCE WEST</vt:lpstr>
      <vt:lpstr>JUNE. MISSED OPPORTUNITY WEST</vt:lpstr>
      <vt:lpstr>JULY '23 COST SAVINGS WEST </vt:lpstr>
      <vt:lpstr>JULY '23 COST AVOIDANCE WEST</vt:lpstr>
      <vt:lpstr>JULY. MISSED OPPORTUNITY WEST</vt:lpstr>
      <vt:lpstr>AUG '23 COST SAVINGS WEST</vt:lpstr>
      <vt:lpstr>AUG '23 COST AVOIDANCE WEST </vt:lpstr>
      <vt:lpstr>AUG. MISSED OPPORTUNITY WEST</vt:lpstr>
      <vt:lpstr>SEPT. '23 COST SAVINGS WEST </vt:lpstr>
      <vt:lpstr>SEPT '23 COST AVOIDANCE WEST </vt:lpstr>
      <vt:lpstr>SEPT. MISSED OPPORTUNITY WEST </vt:lpstr>
      <vt:lpstr>SEPT '23 COST AVOIDANCE EAST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Egejuru, Ebere SPDC-UPO/G/USLM</dc:creator>
  <cp:lastModifiedBy>Olarewaju, Ola SPDC-IUC/G/USLM</cp:lastModifiedBy>
  <dcterms:created xsi:type="dcterms:W3CDTF">2021-01-27T11:20:07Z</dcterms:created>
  <dcterms:modified xsi:type="dcterms:W3CDTF">2023-10-17T08:19:43Z</dcterms:modified>
</cp:coreProperties>
</file>