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760" tabRatio="568" activeTab="3"/>
  </bookViews>
  <sheets>
    <sheet name="Summary (ALL)" sheetId="3" r:id="rId1"/>
    <sheet name="Summary (IEFCL)" sheetId="8" state="hidden" r:id="rId2"/>
    <sheet name="NAOC JV FG Supply" sheetId="1" r:id="rId3"/>
    <sheet name="NAOC JV FG Supply_SPDC_Review" sheetId="9" r:id="rId4"/>
  </sheets>
  <externalReferences>
    <externalReference r:id="rId5"/>
    <externalReference r:id="rId6"/>
    <externalReference r:id="rId7"/>
    <externalReference r:id="rId8"/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1" i="9" l="1"/>
  <c r="F49" i="9"/>
  <c r="T15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B49" i="9"/>
  <c r="P51" i="9"/>
  <c r="V130" i="9"/>
  <c r="Q153" i="9"/>
  <c r="Q152" i="9"/>
  <c r="Q151" i="9"/>
  <c r="Q150" i="9"/>
  <c r="Q138" i="9"/>
  <c r="U129" i="9"/>
  <c r="P129" i="9"/>
  <c r="A121" i="9"/>
  <c r="A122" i="9" s="1"/>
  <c r="A123" i="9" s="1"/>
  <c r="D116" i="9"/>
  <c r="B116" i="9"/>
  <c r="C116" i="9" s="1"/>
  <c r="E115" i="9"/>
  <c r="C115" i="9"/>
  <c r="F114" i="9"/>
  <c r="C114" i="9"/>
  <c r="E114" i="9" s="1"/>
  <c r="E113" i="9"/>
  <c r="C113" i="9"/>
  <c r="F112" i="9"/>
  <c r="C112" i="9"/>
  <c r="E112" i="9" s="1"/>
  <c r="E111" i="9"/>
  <c r="C111" i="9"/>
  <c r="F110" i="9"/>
  <c r="C110" i="9"/>
  <c r="E110" i="9" s="1"/>
  <c r="E109" i="9"/>
  <c r="C109" i="9"/>
  <c r="F108" i="9"/>
  <c r="C108" i="9"/>
  <c r="E108" i="9" s="1"/>
  <c r="E107" i="9"/>
  <c r="C107" i="9"/>
  <c r="F106" i="9"/>
  <c r="C106" i="9"/>
  <c r="E106" i="9" s="1"/>
  <c r="E105" i="9"/>
  <c r="C105" i="9"/>
  <c r="F104" i="9"/>
  <c r="C104" i="9"/>
  <c r="E104" i="9" s="1"/>
  <c r="D98" i="9"/>
  <c r="E98" i="9" s="1"/>
  <c r="B98" i="9"/>
  <c r="D97" i="9"/>
  <c r="E97" i="9" s="1"/>
  <c r="B97" i="9"/>
  <c r="D96" i="9"/>
  <c r="E96" i="9" s="1"/>
  <c r="B96" i="9"/>
  <c r="D95" i="9"/>
  <c r="E95" i="9" s="1"/>
  <c r="B95" i="9"/>
  <c r="H94" i="9"/>
  <c r="D94" i="9"/>
  <c r="E94" i="9" s="1"/>
  <c r="B94" i="9"/>
  <c r="D93" i="9"/>
  <c r="E93" i="9" s="1"/>
  <c r="B93" i="9"/>
  <c r="H92" i="9"/>
  <c r="D92" i="9"/>
  <c r="B92" i="9"/>
  <c r="D91" i="9"/>
  <c r="E91" i="9" s="1"/>
  <c r="B91" i="9"/>
  <c r="D90" i="9"/>
  <c r="E90" i="9" s="1"/>
  <c r="B90" i="9"/>
  <c r="D89" i="9"/>
  <c r="E89" i="9" s="1"/>
  <c r="B89" i="9"/>
  <c r="H88" i="9"/>
  <c r="D88" i="9"/>
  <c r="E88" i="9" s="1"/>
  <c r="B88" i="9"/>
  <c r="D87" i="9"/>
  <c r="E87" i="9" s="1"/>
  <c r="B87" i="9"/>
  <c r="D86" i="9"/>
  <c r="F85" i="9"/>
  <c r="E85" i="9"/>
  <c r="C85" i="9"/>
  <c r="B85" i="9"/>
  <c r="I84" i="9"/>
  <c r="E84" i="9"/>
  <c r="B84" i="9"/>
  <c r="F83" i="9"/>
  <c r="E83" i="9"/>
  <c r="C83" i="9"/>
  <c r="B83" i="9"/>
  <c r="I82" i="9"/>
  <c r="E82" i="9"/>
  <c r="B82" i="9"/>
  <c r="H81" i="9"/>
  <c r="F81" i="9"/>
  <c r="E81" i="9"/>
  <c r="C81" i="9"/>
  <c r="B81" i="9"/>
  <c r="I81" i="9" s="1"/>
  <c r="E80" i="9"/>
  <c r="B80" i="9"/>
  <c r="I80" i="9" s="1"/>
  <c r="H79" i="9"/>
  <c r="F79" i="9"/>
  <c r="E79" i="9"/>
  <c r="C79" i="9"/>
  <c r="B79" i="9"/>
  <c r="E78" i="9"/>
  <c r="B78" i="9"/>
  <c r="E77" i="9"/>
  <c r="C77" i="9"/>
  <c r="B77" i="9"/>
  <c r="E76" i="9"/>
  <c r="B76" i="9"/>
  <c r="B86" i="9" s="1"/>
  <c r="E75" i="9"/>
  <c r="F75" i="9" s="1"/>
  <c r="C75" i="9"/>
  <c r="B75" i="9"/>
  <c r="F74" i="9"/>
  <c r="E74" i="9"/>
  <c r="B74" i="9"/>
  <c r="D73" i="9"/>
  <c r="I72" i="9"/>
  <c r="H72" i="9"/>
  <c r="F72" i="9"/>
  <c r="E72" i="9"/>
  <c r="C72" i="9"/>
  <c r="B72" i="9"/>
  <c r="E71" i="9"/>
  <c r="B71" i="9"/>
  <c r="I71" i="9" s="1"/>
  <c r="F70" i="9"/>
  <c r="E70" i="9"/>
  <c r="B70" i="9"/>
  <c r="E69" i="9"/>
  <c r="C69" i="9"/>
  <c r="B69" i="9"/>
  <c r="E68" i="9"/>
  <c r="F68" i="9" s="1"/>
  <c r="C68" i="9"/>
  <c r="B68" i="9"/>
  <c r="E67" i="9"/>
  <c r="B67" i="9"/>
  <c r="E66" i="9"/>
  <c r="C66" i="9"/>
  <c r="B66" i="9"/>
  <c r="E65" i="9"/>
  <c r="B65" i="9"/>
  <c r="H65" i="9" s="1"/>
  <c r="E64" i="9"/>
  <c r="F64" i="9" s="1"/>
  <c r="C64" i="9"/>
  <c r="B64" i="9"/>
  <c r="F63" i="9"/>
  <c r="G63" i="9" s="1"/>
  <c r="E63" i="9"/>
  <c r="B63" i="9"/>
  <c r="H62" i="9"/>
  <c r="E62" i="9"/>
  <c r="C62" i="9"/>
  <c r="B62" i="9"/>
  <c r="F62" i="9" s="1"/>
  <c r="E61" i="9"/>
  <c r="C61" i="9"/>
  <c r="B61" i="9"/>
  <c r="H61" i="9" s="1"/>
  <c r="D60" i="9"/>
  <c r="F59" i="9"/>
  <c r="E59" i="9"/>
  <c r="B59" i="9"/>
  <c r="E58" i="9"/>
  <c r="B58" i="9"/>
  <c r="E57" i="9"/>
  <c r="C57" i="9"/>
  <c r="B57" i="9"/>
  <c r="H56" i="9"/>
  <c r="E56" i="9"/>
  <c r="C56" i="9"/>
  <c r="B56" i="9"/>
  <c r="I55" i="9"/>
  <c r="F55" i="9"/>
  <c r="E55" i="9"/>
  <c r="C55" i="9"/>
  <c r="B55" i="9"/>
  <c r="F54" i="9"/>
  <c r="E54" i="9"/>
  <c r="B54" i="9"/>
  <c r="E53" i="9"/>
  <c r="B53" i="9"/>
  <c r="C53" i="9" s="1"/>
  <c r="M48" i="9"/>
  <c r="R153" i="9" s="1"/>
  <c r="L48" i="9"/>
  <c r="S153" i="9" s="1"/>
  <c r="E48" i="9"/>
  <c r="I47" i="9"/>
  <c r="H47" i="9"/>
  <c r="D47" i="9"/>
  <c r="F47" i="9" s="1"/>
  <c r="C47" i="9"/>
  <c r="B47" i="9"/>
  <c r="I46" i="9"/>
  <c r="H46" i="9"/>
  <c r="D46" i="9"/>
  <c r="F46" i="9" s="1"/>
  <c r="C46" i="9"/>
  <c r="B46" i="9"/>
  <c r="C45" i="9"/>
  <c r="B45" i="9"/>
  <c r="C44" i="9"/>
  <c r="B44" i="9"/>
  <c r="I43" i="9"/>
  <c r="H43" i="9"/>
  <c r="C43" i="9"/>
  <c r="D43" i="9" s="1"/>
  <c r="F43" i="9" s="1"/>
  <c r="B43" i="9"/>
  <c r="I42" i="9"/>
  <c r="H42" i="9"/>
  <c r="F42" i="9"/>
  <c r="D42" i="9"/>
  <c r="C42" i="9"/>
  <c r="B42" i="9"/>
  <c r="C41" i="9"/>
  <c r="B41" i="9"/>
  <c r="H40" i="9"/>
  <c r="C40" i="9"/>
  <c r="B40" i="9"/>
  <c r="I39" i="9"/>
  <c r="H39" i="9"/>
  <c r="C39" i="9"/>
  <c r="D39" i="9" s="1"/>
  <c r="F39" i="9" s="1"/>
  <c r="B39" i="9"/>
  <c r="I38" i="9"/>
  <c r="H38" i="9"/>
  <c r="F38" i="9"/>
  <c r="D38" i="9"/>
  <c r="C38" i="9"/>
  <c r="B38" i="9"/>
  <c r="C37" i="9"/>
  <c r="B37" i="9"/>
  <c r="H36" i="9"/>
  <c r="C36" i="9"/>
  <c r="B36" i="9"/>
  <c r="M35" i="9"/>
  <c r="L35" i="9"/>
  <c r="E35" i="9"/>
  <c r="I34" i="9"/>
  <c r="H34" i="9"/>
  <c r="B34" i="9"/>
  <c r="D34" i="9" s="1"/>
  <c r="F34" i="9" s="1"/>
  <c r="B33" i="9"/>
  <c r="H32" i="9"/>
  <c r="G32" i="9"/>
  <c r="D32" i="9"/>
  <c r="F32" i="9" s="1"/>
  <c r="B32" i="9"/>
  <c r="I32" i="9" s="1"/>
  <c r="I31" i="9"/>
  <c r="B31" i="9"/>
  <c r="H30" i="9"/>
  <c r="G30" i="9"/>
  <c r="D30" i="9"/>
  <c r="F30" i="9" s="1"/>
  <c r="B30" i="9"/>
  <c r="I30" i="9" s="1"/>
  <c r="B29" i="9"/>
  <c r="H28" i="9"/>
  <c r="G28" i="9"/>
  <c r="D28" i="9"/>
  <c r="F28" i="9" s="1"/>
  <c r="B28" i="9"/>
  <c r="I28" i="9" s="1"/>
  <c r="I27" i="9"/>
  <c r="B27" i="9"/>
  <c r="H26" i="9"/>
  <c r="G26" i="9"/>
  <c r="D26" i="9"/>
  <c r="F26" i="9" s="1"/>
  <c r="B26" i="9"/>
  <c r="I26" i="9" s="1"/>
  <c r="B25" i="9"/>
  <c r="H24" i="9"/>
  <c r="G24" i="9"/>
  <c r="D24" i="9"/>
  <c r="F24" i="9" s="1"/>
  <c r="B24" i="9"/>
  <c r="I24" i="9" s="1"/>
  <c r="I23" i="9"/>
  <c r="B23" i="9"/>
  <c r="M22" i="9"/>
  <c r="L22" i="9"/>
  <c r="S151" i="9" s="1"/>
  <c r="E22" i="9"/>
  <c r="B21" i="9"/>
  <c r="H20" i="9"/>
  <c r="G20" i="9"/>
  <c r="D20" i="9"/>
  <c r="F20" i="9" s="1"/>
  <c r="B20" i="9"/>
  <c r="I20" i="9" s="1"/>
  <c r="I19" i="9"/>
  <c r="B19" i="9"/>
  <c r="H18" i="9"/>
  <c r="G18" i="9"/>
  <c r="D18" i="9"/>
  <c r="F18" i="9" s="1"/>
  <c r="B18" i="9"/>
  <c r="I18" i="9" s="1"/>
  <c r="B17" i="9"/>
  <c r="H16" i="9"/>
  <c r="G16" i="9"/>
  <c r="D16" i="9"/>
  <c r="F16" i="9" s="1"/>
  <c r="B16" i="9"/>
  <c r="I16" i="9" s="1"/>
  <c r="I15" i="9"/>
  <c r="B15" i="9"/>
  <c r="H14" i="9"/>
  <c r="G14" i="9"/>
  <c r="D14" i="9"/>
  <c r="F14" i="9" s="1"/>
  <c r="B14" i="9"/>
  <c r="I14" i="9" s="1"/>
  <c r="B13" i="9"/>
  <c r="H12" i="9"/>
  <c r="G12" i="9"/>
  <c r="D12" i="9"/>
  <c r="F12" i="9" s="1"/>
  <c r="B12" i="9"/>
  <c r="I12" i="9" s="1"/>
  <c r="I11" i="9"/>
  <c r="B11" i="9"/>
  <c r="H10" i="9"/>
  <c r="D10" i="9"/>
  <c r="B10" i="9"/>
  <c r="M9" i="9"/>
  <c r="R150" i="9" s="1"/>
  <c r="L9" i="9"/>
  <c r="S150" i="9" s="1"/>
  <c r="E9" i="9"/>
  <c r="H8" i="9"/>
  <c r="G8" i="9"/>
  <c r="D8" i="9"/>
  <c r="F8" i="9" s="1"/>
  <c r="B8" i="9"/>
  <c r="I8" i="9" s="1"/>
  <c r="B7" i="9"/>
  <c r="I7" i="9" s="1"/>
  <c r="H6" i="9"/>
  <c r="G6" i="9"/>
  <c r="D6" i="9"/>
  <c r="F6" i="9" s="1"/>
  <c r="B6" i="9"/>
  <c r="I6" i="9" s="1"/>
  <c r="B5" i="9"/>
  <c r="H4" i="9"/>
  <c r="G4" i="9"/>
  <c r="D4" i="9"/>
  <c r="F4" i="9" s="1"/>
  <c r="B4" i="9"/>
  <c r="I4" i="9" s="1"/>
  <c r="B3" i="9"/>
  <c r="H2" i="9"/>
  <c r="D2" i="9"/>
  <c r="B2" i="9"/>
  <c r="I2" i="9" s="1"/>
  <c r="N1" i="9"/>
  <c r="M1" i="9"/>
  <c r="X163" i="1"/>
  <c r="F100" i="9" l="1"/>
  <c r="T153" i="9"/>
  <c r="H3" i="9"/>
  <c r="D3" i="9"/>
  <c r="F3" i="9" s="1"/>
  <c r="I3" i="9"/>
  <c r="I9" i="9" s="1"/>
  <c r="H13" i="9"/>
  <c r="D13" i="9"/>
  <c r="F13" i="9" s="1"/>
  <c r="H17" i="9"/>
  <c r="D17" i="9"/>
  <c r="F17" i="9" s="1"/>
  <c r="H21" i="9"/>
  <c r="D21" i="9"/>
  <c r="F21" i="9" s="1"/>
  <c r="H25" i="9"/>
  <c r="D25" i="9"/>
  <c r="F25" i="9" s="1"/>
  <c r="H29" i="9"/>
  <c r="D29" i="9"/>
  <c r="F29" i="9" s="1"/>
  <c r="H33" i="9"/>
  <c r="D33" i="9"/>
  <c r="F33" i="9" s="1"/>
  <c r="K59" i="9"/>
  <c r="H5" i="9"/>
  <c r="D5" i="9"/>
  <c r="F5" i="9" s="1"/>
  <c r="B9" i="9"/>
  <c r="I13" i="9"/>
  <c r="I17" i="9"/>
  <c r="I21" i="9"/>
  <c r="I25" i="9"/>
  <c r="I29" i="9"/>
  <c r="I33" i="9"/>
  <c r="G75" i="9"/>
  <c r="K75" i="9" s="1"/>
  <c r="I5" i="9"/>
  <c r="B22" i="9"/>
  <c r="Q128" i="9" s="1"/>
  <c r="H11" i="9"/>
  <c r="H22" i="9" s="1"/>
  <c r="D11" i="9"/>
  <c r="F11" i="9" s="1"/>
  <c r="H15" i="9"/>
  <c r="D15" i="9"/>
  <c r="F15" i="9" s="1"/>
  <c r="H19" i="9"/>
  <c r="D19" i="9"/>
  <c r="F19" i="9" s="1"/>
  <c r="H23" i="9"/>
  <c r="B35" i="9"/>
  <c r="Q129" i="9" s="1"/>
  <c r="D23" i="9"/>
  <c r="H27" i="9"/>
  <c r="D27" i="9"/>
  <c r="F27" i="9" s="1"/>
  <c r="H31" i="9"/>
  <c r="D31" i="9"/>
  <c r="F31" i="9" s="1"/>
  <c r="K34" i="9"/>
  <c r="G34" i="9"/>
  <c r="J34" i="9" s="1"/>
  <c r="I44" i="9"/>
  <c r="D44" i="9"/>
  <c r="F44" i="9" s="1"/>
  <c r="H44" i="9"/>
  <c r="G46" i="9"/>
  <c r="K46" i="9" s="1"/>
  <c r="J46" i="9"/>
  <c r="G64" i="9"/>
  <c r="K64" i="9" s="1"/>
  <c r="B122" i="9"/>
  <c r="Q159" i="9" s="1"/>
  <c r="C86" i="9"/>
  <c r="R129" i="9"/>
  <c r="H7" i="9"/>
  <c r="D7" i="9"/>
  <c r="F7" i="9" s="1"/>
  <c r="I35" i="9"/>
  <c r="K38" i="9"/>
  <c r="G38" i="9"/>
  <c r="J38" i="9"/>
  <c r="K39" i="9"/>
  <c r="G39" i="9"/>
  <c r="J39" i="9" s="1"/>
  <c r="K43" i="9"/>
  <c r="G43" i="9"/>
  <c r="J43" i="9" s="1"/>
  <c r="G47" i="9"/>
  <c r="J47" i="9" s="1"/>
  <c r="H53" i="9"/>
  <c r="G62" i="9"/>
  <c r="K62" i="9" s="1"/>
  <c r="H67" i="9"/>
  <c r="C67" i="9"/>
  <c r="F67" i="9"/>
  <c r="F78" i="9"/>
  <c r="H78" i="9"/>
  <c r="C78" i="9"/>
  <c r="I78" i="9"/>
  <c r="I95" i="9"/>
  <c r="C95" i="9"/>
  <c r="H95" i="9"/>
  <c r="F109" i="9"/>
  <c r="I109" i="9" s="1"/>
  <c r="H9" i="9"/>
  <c r="I40" i="9"/>
  <c r="D40" i="9"/>
  <c r="F40" i="9" s="1"/>
  <c r="I45" i="9"/>
  <c r="D45" i="9"/>
  <c r="F45" i="9" s="1"/>
  <c r="H45" i="9"/>
  <c r="G54" i="9"/>
  <c r="K54" i="9" s="1"/>
  <c r="I58" i="9"/>
  <c r="H58" i="9"/>
  <c r="C58" i="9"/>
  <c r="G59" i="9"/>
  <c r="G70" i="9"/>
  <c r="K70" i="9" s="1"/>
  <c r="G85" i="9"/>
  <c r="J85" i="9" s="1"/>
  <c r="I87" i="9"/>
  <c r="H87" i="9"/>
  <c r="C87" i="9"/>
  <c r="B99" i="9"/>
  <c r="I97" i="9"/>
  <c r="C97" i="9"/>
  <c r="H97" i="9"/>
  <c r="I10" i="9"/>
  <c r="I36" i="9"/>
  <c r="D36" i="9"/>
  <c r="I41" i="9"/>
  <c r="D41" i="9"/>
  <c r="F41" i="9" s="1"/>
  <c r="H41" i="9"/>
  <c r="H48" i="9" s="1"/>
  <c r="I54" i="9"/>
  <c r="J54" i="9" s="1"/>
  <c r="H54" i="9"/>
  <c r="C54" i="9"/>
  <c r="F56" i="9"/>
  <c r="I56" i="9"/>
  <c r="I59" i="9"/>
  <c r="H59" i="9"/>
  <c r="C59" i="9"/>
  <c r="I67" i="9"/>
  <c r="G68" i="9"/>
  <c r="I70" i="9"/>
  <c r="J70" i="9" s="1"/>
  <c r="H70" i="9"/>
  <c r="C70" i="9"/>
  <c r="J72" i="9"/>
  <c r="E86" i="9"/>
  <c r="W129" i="9" s="1"/>
  <c r="H76" i="9"/>
  <c r="G79" i="9"/>
  <c r="K79" i="9" s="1"/>
  <c r="J79" i="9"/>
  <c r="H84" i="9"/>
  <c r="C84" i="9"/>
  <c r="F84" i="9"/>
  <c r="J105" i="9"/>
  <c r="F105" i="9"/>
  <c r="F113" i="9"/>
  <c r="J113" i="9" s="1"/>
  <c r="F53" i="9"/>
  <c r="I53" i="9"/>
  <c r="J59" i="9"/>
  <c r="F2" i="9"/>
  <c r="J4" i="9"/>
  <c r="K4" i="9"/>
  <c r="J6" i="9"/>
  <c r="K6" i="9"/>
  <c r="J8" i="9"/>
  <c r="K8" i="9"/>
  <c r="F10" i="9"/>
  <c r="J12" i="9"/>
  <c r="K12" i="9"/>
  <c r="J14" i="9"/>
  <c r="K14" i="9"/>
  <c r="J16" i="9"/>
  <c r="K16" i="9"/>
  <c r="J18" i="9"/>
  <c r="K18" i="9"/>
  <c r="J20" i="9"/>
  <c r="K20" i="9"/>
  <c r="R151" i="9"/>
  <c r="I69" i="9"/>
  <c r="I64" i="9"/>
  <c r="J64" i="9" s="1"/>
  <c r="J24" i="9"/>
  <c r="K24" i="9"/>
  <c r="J26" i="9"/>
  <c r="K26" i="9"/>
  <c r="J28" i="9"/>
  <c r="K28" i="9"/>
  <c r="J30" i="9"/>
  <c r="K30" i="9"/>
  <c r="J32" i="9"/>
  <c r="K32" i="9"/>
  <c r="I37" i="9"/>
  <c r="D37" i="9"/>
  <c r="F37" i="9" s="1"/>
  <c r="H37" i="9"/>
  <c r="G42" i="9"/>
  <c r="K42" i="9" s="1"/>
  <c r="B48" i="9"/>
  <c r="Q130" i="9" s="1"/>
  <c r="E60" i="9"/>
  <c r="W127" i="9" s="1"/>
  <c r="G55" i="9"/>
  <c r="K55" i="9" s="1"/>
  <c r="F57" i="9"/>
  <c r="I57" i="9"/>
  <c r="H57" i="9"/>
  <c r="F58" i="9"/>
  <c r="B60" i="9"/>
  <c r="F61" i="9"/>
  <c r="B73" i="9"/>
  <c r="I61" i="9"/>
  <c r="F65" i="9"/>
  <c r="I65" i="9"/>
  <c r="C65" i="9"/>
  <c r="I66" i="9"/>
  <c r="F66" i="9"/>
  <c r="H66" i="9"/>
  <c r="I68" i="9"/>
  <c r="H71" i="9"/>
  <c r="C71" i="9"/>
  <c r="F71" i="9"/>
  <c r="G74" i="9"/>
  <c r="F76" i="9"/>
  <c r="I76" i="9"/>
  <c r="C76" i="9"/>
  <c r="I77" i="9"/>
  <c r="F77" i="9"/>
  <c r="H77" i="9"/>
  <c r="I89" i="9"/>
  <c r="C89" i="9"/>
  <c r="H89" i="9"/>
  <c r="E92" i="9"/>
  <c r="D99" i="9"/>
  <c r="G114" i="9"/>
  <c r="G110" i="9"/>
  <c r="J110" i="9" s="1"/>
  <c r="G106" i="9"/>
  <c r="G112" i="9"/>
  <c r="G108" i="9"/>
  <c r="J108" i="9" s="1"/>
  <c r="G104" i="9"/>
  <c r="G115" i="9"/>
  <c r="G113" i="9"/>
  <c r="G111" i="9"/>
  <c r="G109" i="9"/>
  <c r="G107" i="9"/>
  <c r="G105" i="9"/>
  <c r="S152" i="9"/>
  <c r="E73" i="9"/>
  <c r="W128" i="9" s="1"/>
  <c r="H64" i="9"/>
  <c r="F69" i="9"/>
  <c r="H69" i="9"/>
  <c r="H75" i="9"/>
  <c r="J75" i="9" s="1"/>
  <c r="F82" i="9"/>
  <c r="H82" i="9"/>
  <c r="C82" i="9"/>
  <c r="G83" i="9"/>
  <c r="I85" i="9"/>
  <c r="H85" i="9"/>
  <c r="E99" i="9"/>
  <c r="W130" i="9" s="1"/>
  <c r="H90" i="9"/>
  <c r="I93" i="9"/>
  <c r="C93" i="9"/>
  <c r="H93" i="9"/>
  <c r="H98" i="9"/>
  <c r="F107" i="9"/>
  <c r="I107" i="9" s="1"/>
  <c r="J111" i="9"/>
  <c r="F111" i="9"/>
  <c r="F115" i="9"/>
  <c r="H115" i="9"/>
  <c r="H111" i="9"/>
  <c r="H107" i="9"/>
  <c r="R152" i="9"/>
  <c r="T152" i="9" s="1"/>
  <c r="H113" i="9"/>
  <c r="H109" i="9"/>
  <c r="H105" i="9"/>
  <c r="H114" i="9"/>
  <c r="H112" i="9"/>
  <c r="J112" i="9" s="1"/>
  <c r="H110" i="9"/>
  <c r="H108" i="9"/>
  <c r="H106" i="9"/>
  <c r="I106" i="9" s="1"/>
  <c r="H104" i="9"/>
  <c r="H116" i="9" s="1"/>
  <c r="I83" i="9"/>
  <c r="I79" i="9"/>
  <c r="H55" i="9"/>
  <c r="I62" i="9"/>
  <c r="J62" i="9" s="1"/>
  <c r="H63" i="9"/>
  <c r="C63" i="9"/>
  <c r="I63" i="9"/>
  <c r="H68" i="9"/>
  <c r="K72" i="9"/>
  <c r="G72" i="9"/>
  <c r="H74" i="9"/>
  <c r="C74" i="9"/>
  <c r="I74" i="9"/>
  <c r="I75" i="9"/>
  <c r="H80" i="9"/>
  <c r="C80" i="9"/>
  <c r="F80" i="9"/>
  <c r="G81" i="9"/>
  <c r="J81" i="9" s="1"/>
  <c r="H83" i="9"/>
  <c r="K83" i="9" s="1"/>
  <c r="I91" i="9"/>
  <c r="C91" i="9"/>
  <c r="H91" i="9"/>
  <c r="H96" i="9"/>
  <c r="C88" i="9"/>
  <c r="I88" i="9"/>
  <c r="C92" i="9"/>
  <c r="I92" i="9"/>
  <c r="C96" i="9"/>
  <c r="I96" i="9"/>
  <c r="E116" i="9"/>
  <c r="I112" i="9"/>
  <c r="C90" i="9"/>
  <c r="I90" i="9"/>
  <c r="C94" i="9"/>
  <c r="I94" i="9"/>
  <c r="C98" i="9"/>
  <c r="I98" i="9"/>
  <c r="G94" i="9" l="1"/>
  <c r="K94" i="9" s="1"/>
  <c r="G116" i="9"/>
  <c r="J76" i="9"/>
  <c r="G76" i="9"/>
  <c r="G86" i="9" s="1"/>
  <c r="J65" i="9"/>
  <c r="K65" i="9"/>
  <c r="G65" i="9"/>
  <c r="S130" i="9"/>
  <c r="G44" i="9"/>
  <c r="J44" i="9" s="1"/>
  <c r="J19" i="9"/>
  <c r="G19" i="9"/>
  <c r="K19" i="9"/>
  <c r="I110" i="9"/>
  <c r="I104" i="9"/>
  <c r="G92" i="9"/>
  <c r="K92" i="9" s="1"/>
  <c r="I115" i="9"/>
  <c r="G93" i="9"/>
  <c r="K93" i="9" s="1"/>
  <c r="J114" i="9"/>
  <c r="K74" i="9"/>
  <c r="J74" i="9"/>
  <c r="G58" i="9"/>
  <c r="K58" i="9" s="1"/>
  <c r="F9" i="9"/>
  <c r="G2" i="9"/>
  <c r="J2" i="9" s="1"/>
  <c r="G84" i="9"/>
  <c r="K84" i="9" s="1"/>
  <c r="J68" i="9"/>
  <c r="G97" i="9"/>
  <c r="J97" i="9" s="1"/>
  <c r="K45" i="9"/>
  <c r="G45" i="9"/>
  <c r="J45" i="9" s="1"/>
  <c r="H60" i="9"/>
  <c r="K47" i="9"/>
  <c r="J42" i="9"/>
  <c r="J7" i="9"/>
  <c r="G7" i="9"/>
  <c r="K7" i="9"/>
  <c r="G31" i="9"/>
  <c r="K31" i="9" s="1"/>
  <c r="D35" i="9"/>
  <c r="C35" i="9" s="1"/>
  <c r="V129" i="9" s="1"/>
  <c r="Q137" i="9" s="1"/>
  <c r="F23" i="9"/>
  <c r="B120" i="9"/>
  <c r="Q127" i="9"/>
  <c r="K33" i="9"/>
  <c r="J33" i="9"/>
  <c r="G33" i="9"/>
  <c r="J25" i="9"/>
  <c r="G25" i="9"/>
  <c r="K25" i="9"/>
  <c r="G17" i="9"/>
  <c r="J17" i="9" s="1"/>
  <c r="G98" i="9"/>
  <c r="K98" i="9" s="1"/>
  <c r="G90" i="9"/>
  <c r="J90" i="9" s="1"/>
  <c r="I108" i="9"/>
  <c r="G91" i="9"/>
  <c r="J91" i="9" s="1"/>
  <c r="K81" i="9"/>
  <c r="J115" i="9"/>
  <c r="J107" i="9"/>
  <c r="K69" i="9"/>
  <c r="G69" i="9"/>
  <c r="J69" i="9" s="1"/>
  <c r="F86" i="9"/>
  <c r="B121" i="9"/>
  <c r="Q158" i="9" s="1"/>
  <c r="R128" i="9"/>
  <c r="C73" i="9"/>
  <c r="D22" i="9"/>
  <c r="C22" i="9" s="1"/>
  <c r="V128" i="9" s="1"/>
  <c r="D9" i="9"/>
  <c r="I60" i="9"/>
  <c r="K68" i="9"/>
  <c r="G41" i="9"/>
  <c r="J41" i="9" s="1"/>
  <c r="I22" i="9"/>
  <c r="I49" i="9" s="1"/>
  <c r="I99" i="9"/>
  <c r="G123" i="9" s="1"/>
  <c r="U160" i="9" s="1"/>
  <c r="J109" i="9"/>
  <c r="G95" i="9"/>
  <c r="J95" i="9" s="1"/>
  <c r="S129" i="9"/>
  <c r="G15" i="9"/>
  <c r="K15" i="9" s="1"/>
  <c r="S128" i="9"/>
  <c r="G5" i="9"/>
  <c r="K5" i="9" s="1"/>
  <c r="J3" i="9"/>
  <c r="G3" i="9"/>
  <c r="K3" i="9"/>
  <c r="J77" i="9"/>
  <c r="G77" i="9"/>
  <c r="K77" i="9" s="1"/>
  <c r="G66" i="9"/>
  <c r="J66" i="9" s="1"/>
  <c r="R127" i="9"/>
  <c r="B100" i="9"/>
  <c r="C100" i="9" s="1"/>
  <c r="C60" i="9"/>
  <c r="J57" i="9"/>
  <c r="G57" i="9"/>
  <c r="K57" i="9"/>
  <c r="G37" i="9"/>
  <c r="J37" i="9" s="1"/>
  <c r="I113" i="9"/>
  <c r="G56" i="9"/>
  <c r="K56" i="9" s="1"/>
  <c r="F36" i="9"/>
  <c r="D48" i="9"/>
  <c r="C48" i="9" s="1"/>
  <c r="G87" i="9"/>
  <c r="K87" i="9" s="1"/>
  <c r="D123" i="9"/>
  <c r="F116" i="9"/>
  <c r="G67" i="9"/>
  <c r="J67" i="9" s="1"/>
  <c r="K67" i="9"/>
  <c r="J11" i="9"/>
  <c r="G11" i="9"/>
  <c r="K11" i="9"/>
  <c r="H86" i="9"/>
  <c r="G89" i="9"/>
  <c r="J89" i="9" s="1"/>
  <c r="I73" i="9"/>
  <c r="G121" i="9" s="1"/>
  <c r="U158" i="9" s="1"/>
  <c r="J55" i="9"/>
  <c r="F22" i="9"/>
  <c r="G10" i="9"/>
  <c r="J10" i="9" s="1"/>
  <c r="I48" i="9"/>
  <c r="H99" i="9"/>
  <c r="F123" i="9" s="1"/>
  <c r="T160" i="9" s="1"/>
  <c r="K85" i="9"/>
  <c r="I114" i="9"/>
  <c r="G96" i="9"/>
  <c r="J96" i="9" s="1"/>
  <c r="G88" i="9"/>
  <c r="J88" i="9" s="1"/>
  <c r="K80" i="9"/>
  <c r="G80" i="9"/>
  <c r="J80" i="9" s="1"/>
  <c r="I86" i="9"/>
  <c r="G122" i="9" s="1"/>
  <c r="U159" i="9" s="1"/>
  <c r="K63" i="9"/>
  <c r="J63" i="9"/>
  <c r="I111" i="9"/>
  <c r="J83" i="9"/>
  <c r="K82" i="9"/>
  <c r="G82" i="9"/>
  <c r="J82" i="9" s="1"/>
  <c r="J106" i="9"/>
  <c r="J71" i="9"/>
  <c r="G71" i="9"/>
  <c r="K71" i="9" s="1"/>
  <c r="J61" i="9"/>
  <c r="G61" i="9"/>
  <c r="F73" i="9"/>
  <c r="D121" i="9" s="1"/>
  <c r="K61" i="9"/>
  <c r="J53" i="9"/>
  <c r="G53" i="9"/>
  <c r="F60" i="9"/>
  <c r="K53" i="9"/>
  <c r="I105" i="9"/>
  <c r="B123" i="9"/>
  <c r="Q160" i="9" s="1"/>
  <c r="C99" i="9"/>
  <c r="R130" i="9"/>
  <c r="J40" i="9"/>
  <c r="G40" i="9"/>
  <c r="K40" i="9"/>
  <c r="J104" i="9"/>
  <c r="J116" i="9" s="1"/>
  <c r="G78" i="9"/>
  <c r="J78" i="9" s="1"/>
  <c r="H73" i="9"/>
  <c r="F121" i="9" s="1"/>
  <c r="T158" i="9" s="1"/>
  <c r="G27" i="9"/>
  <c r="J27" i="9" s="1"/>
  <c r="H35" i="9"/>
  <c r="H49" i="9" s="1"/>
  <c r="G29" i="9"/>
  <c r="J29" i="9" s="1"/>
  <c r="J21" i="9"/>
  <c r="G21" i="9"/>
  <c r="K21" i="9"/>
  <c r="G13" i="9"/>
  <c r="K13" i="9" s="1"/>
  <c r="J98" i="9" l="1"/>
  <c r="J94" i="9"/>
  <c r="K89" i="9"/>
  <c r="J87" i="9"/>
  <c r="K95" i="9"/>
  <c r="K88" i="9"/>
  <c r="E122" i="9"/>
  <c r="J73" i="9"/>
  <c r="K10" i="9"/>
  <c r="K22" i="9" s="1"/>
  <c r="J36" i="9"/>
  <c r="J48" i="9" s="1"/>
  <c r="F48" i="9"/>
  <c r="K36" i="9"/>
  <c r="K48" i="9" s="1"/>
  <c r="G36" i="9"/>
  <c r="G48" i="9" s="1"/>
  <c r="K66" i="9"/>
  <c r="K73" i="9" s="1"/>
  <c r="K41" i="9"/>
  <c r="Q136" i="9"/>
  <c r="R158" i="9" s="1"/>
  <c r="S158" i="9" s="1"/>
  <c r="V158" i="9" s="1"/>
  <c r="Q157" i="9"/>
  <c r="B124" i="9"/>
  <c r="J58" i="9"/>
  <c r="I116" i="9"/>
  <c r="J13" i="9"/>
  <c r="J22" i="9" s="1"/>
  <c r="K29" i="9"/>
  <c r="K27" i="9"/>
  <c r="K78" i="9"/>
  <c r="K60" i="9"/>
  <c r="K96" i="9"/>
  <c r="G99" i="9"/>
  <c r="E123" i="9" s="1"/>
  <c r="J56" i="9"/>
  <c r="J60" i="9" s="1"/>
  <c r="K37" i="9"/>
  <c r="R131" i="9"/>
  <c r="J5" i="9"/>
  <c r="J9" i="9" s="1"/>
  <c r="J15" i="9"/>
  <c r="K91" i="9"/>
  <c r="K90" i="9"/>
  <c r="K17" i="9"/>
  <c r="J23" i="9"/>
  <c r="G23" i="9"/>
  <c r="G35" i="9" s="1"/>
  <c r="K23" i="9"/>
  <c r="K35" i="9" s="1"/>
  <c r="F35" i="9"/>
  <c r="J31" i="9"/>
  <c r="K97" i="9"/>
  <c r="J84" i="9"/>
  <c r="J86" i="9"/>
  <c r="J93" i="9"/>
  <c r="J92" i="9"/>
  <c r="K44" i="9"/>
  <c r="K76" i="9"/>
  <c r="K86" i="9" s="1"/>
  <c r="D120" i="9"/>
  <c r="C121" i="9"/>
  <c r="G22" i="9"/>
  <c r="I100" i="9"/>
  <c r="G120" i="9"/>
  <c r="R159" i="9"/>
  <c r="S159" i="9" s="1"/>
  <c r="V159" i="9" s="1"/>
  <c r="G9" i="9"/>
  <c r="G49" i="9" s="1"/>
  <c r="G60" i="9"/>
  <c r="G73" i="9"/>
  <c r="E121" i="9" s="1"/>
  <c r="F122" i="9"/>
  <c r="T159" i="9" s="1"/>
  <c r="D49" i="9"/>
  <c r="C9" i="9"/>
  <c r="V127" i="9" s="1"/>
  <c r="Q135" i="9" s="1"/>
  <c r="R157" i="9" s="1"/>
  <c r="S127" i="9"/>
  <c r="S131" i="9" s="1"/>
  <c r="Q131" i="9"/>
  <c r="F120" i="9"/>
  <c r="H100" i="9"/>
  <c r="K2" i="9"/>
  <c r="K9" i="9" s="1"/>
  <c r="J99" i="9" l="1"/>
  <c r="J123" i="9" s="1"/>
  <c r="K99" i="9"/>
  <c r="K100" i="9" s="1"/>
  <c r="J121" i="9"/>
  <c r="H120" i="9"/>
  <c r="C120" i="9"/>
  <c r="G100" i="9"/>
  <c r="E120" i="9"/>
  <c r="E124" i="9" s="1"/>
  <c r="K49" i="9"/>
  <c r="H123" i="9"/>
  <c r="C123" i="9"/>
  <c r="H121" i="9"/>
  <c r="D122" i="9"/>
  <c r="U157" i="9"/>
  <c r="U161" i="9" s="1"/>
  <c r="G124" i="9"/>
  <c r="I121" i="9"/>
  <c r="T151" i="9"/>
  <c r="R160" i="9"/>
  <c r="S160" i="9" s="1"/>
  <c r="V160" i="9" s="1"/>
  <c r="F124" i="9"/>
  <c r="T157" i="9"/>
  <c r="T161" i="9" s="1"/>
  <c r="J35" i="9"/>
  <c r="J49" i="9" s="1"/>
  <c r="Q161" i="9"/>
  <c r="S157" i="9"/>
  <c r="J100" i="9" l="1"/>
  <c r="H122" i="9"/>
  <c r="J122" i="9" s="1"/>
  <c r="I123" i="9" s="1"/>
  <c r="I122" i="9"/>
  <c r="C122" i="9"/>
  <c r="D124" i="9"/>
  <c r="K124" i="9" s="1"/>
  <c r="S161" i="9"/>
  <c r="V157" i="9"/>
  <c r="C124" i="9"/>
  <c r="Q163" i="9"/>
  <c r="Q162" i="9"/>
  <c r="I120" i="9"/>
  <c r="I124" i="9" l="1"/>
  <c r="V163" i="9"/>
  <c r="V162" i="9"/>
  <c r="H124" i="9"/>
  <c r="J120" i="9"/>
  <c r="J124" i="9" s="1"/>
  <c r="B123" i="1" l="1"/>
  <c r="L48" i="1" l="1"/>
  <c r="L9" i="1" l="1"/>
  <c r="M9" i="1"/>
  <c r="L22" i="1"/>
  <c r="M22" i="1"/>
  <c r="L35" i="1"/>
  <c r="M35" i="1"/>
  <c r="E48" i="1" l="1"/>
  <c r="B88" i="1"/>
  <c r="B89" i="1"/>
  <c r="B99" i="1" s="1"/>
  <c r="B90" i="1"/>
  <c r="B91" i="1"/>
  <c r="B92" i="1"/>
  <c r="B93" i="1"/>
  <c r="B94" i="1"/>
  <c r="B95" i="1"/>
  <c r="B96" i="1"/>
  <c r="B97" i="1"/>
  <c r="B98" i="1"/>
  <c r="B87" i="1"/>
  <c r="B36" i="1"/>
  <c r="H96" i="1" l="1"/>
  <c r="H92" i="1"/>
  <c r="H88" i="1"/>
  <c r="H97" i="1"/>
  <c r="H93" i="1"/>
  <c r="H89" i="1"/>
  <c r="H94" i="1"/>
  <c r="H90" i="1"/>
  <c r="H87" i="1"/>
  <c r="H95" i="1"/>
  <c r="H91" i="1"/>
  <c r="H98" i="1"/>
  <c r="D88" i="1"/>
  <c r="D89" i="1"/>
  <c r="D90" i="1"/>
  <c r="D91" i="1"/>
  <c r="D92" i="1"/>
  <c r="D93" i="1"/>
  <c r="D94" i="1"/>
  <c r="D95" i="1"/>
  <c r="D96" i="1"/>
  <c r="D97" i="1"/>
  <c r="D98" i="1"/>
  <c r="D87" i="1"/>
  <c r="B37" i="1" l="1"/>
  <c r="B38" i="1"/>
  <c r="B39" i="1"/>
  <c r="B40" i="1"/>
  <c r="B41" i="1"/>
  <c r="B42" i="1"/>
  <c r="B43" i="1"/>
  <c r="B44" i="1"/>
  <c r="H44" i="1" s="1"/>
  <c r="B45" i="1"/>
  <c r="H45" i="1" s="1"/>
  <c r="B46" i="1"/>
  <c r="B47" i="1"/>
  <c r="B48" i="1" l="1"/>
  <c r="E98" i="1"/>
  <c r="E97" i="1"/>
  <c r="E96" i="1"/>
  <c r="E95" i="1"/>
  <c r="E94" i="1"/>
  <c r="E93" i="1"/>
  <c r="E92" i="1"/>
  <c r="E91" i="1"/>
  <c r="E90" i="1"/>
  <c r="E89" i="1"/>
  <c r="E88" i="1"/>
  <c r="E87" i="1"/>
  <c r="E79" i="1"/>
  <c r="C37" i="1"/>
  <c r="C38" i="1"/>
  <c r="C39" i="1"/>
  <c r="C40" i="1"/>
  <c r="C41" i="1"/>
  <c r="C42" i="1"/>
  <c r="C43" i="1"/>
  <c r="C44" i="1"/>
  <c r="C45" i="1"/>
  <c r="C46" i="1"/>
  <c r="C47" i="1"/>
  <c r="C36" i="1"/>
  <c r="E99" i="1" l="1"/>
  <c r="D40" i="1"/>
  <c r="A122" i="1"/>
  <c r="A123" i="1" s="1"/>
  <c r="A121" i="1"/>
  <c r="E53" i="1" l="1"/>
  <c r="E85" i="1"/>
  <c r="E84" i="1"/>
  <c r="E83" i="1"/>
  <c r="E82" i="1"/>
  <c r="E81" i="1"/>
  <c r="E80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73" i="1" l="1"/>
  <c r="E86" i="1"/>
  <c r="E60" i="1"/>
  <c r="H41" i="1"/>
  <c r="C115" i="1"/>
  <c r="E115" i="1" s="1"/>
  <c r="C112" i="1"/>
  <c r="E112" i="1" s="1"/>
  <c r="C110" i="1"/>
  <c r="E110" i="1" s="1"/>
  <c r="C107" i="1"/>
  <c r="E107" i="1" s="1"/>
  <c r="C106" i="1"/>
  <c r="E106" i="1" s="1"/>
  <c r="C105" i="1"/>
  <c r="E105" i="1" s="1"/>
  <c r="D116" i="1"/>
  <c r="C114" i="1"/>
  <c r="E114" i="1" s="1"/>
  <c r="C113" i="1"/>
  <c r="E113" i="1" s="1"/>
  <c r="C111" i="1"/>
  <c r="E111" i="1" s="1"/>
  <c r="C109" i="1"/>
  <c r="E109" i="1" s="1"/>
  <c r="C104" i="1"/>
  <c r="E104" i="1" s="1"/>
  <c r="B116" i="1" l="1"/>
  <c r="C108" i="1"/>
  <c r="E108" i="1" s="1"/>
  <c r="F113" i="1"/>
  <c r="F107" i="1"/>
  <c r="F112" i="1"/>
  <c r="F105" i="1"/>
  <c r="F111" i="1"/>
  <c r="F104" i="1"/>
  <c r="F109" i="1"/>
  <c r="F115" i="1"/>
  <c r="F106" i="1"/>
  <c r="F110" i="1"/>
  <c r="F114" i="1"/>
  <c r="C116" i="1" l="1"/>
  <c r="B5" i="8"/>
  <c r="E116" i="1"/>
  <c r="F108" i="1"/>
  <c r="F116" i="1" s="1"/>
  <c r="I5" i="8" s="1"/>
  <c r="I15" i="8" l="1"/>
  <c r="I8" i="8"/>
  <c r="I9" i="8"/>
  <c r="I10" i="8" s="1"/>
  <c r="I14" i="8"/>
  <c r="B9" i="8"/>
  <c r="B10" i="8" s="1"/>
  <c r="B14" i="8"/>
  <c r="B15" i="8"/>
  <c r="B8" i="8"/>
  <c r="D99" i="1"/>
  <c r="B85" i="1"/>
  <c r="F85" i="1" s="1"/>
  <c r="B84" i="1"/>
  <c r="F84" i="1" s="1"/>
  <c r="B83" i="1"/>
  <c r="F83" i="1" s="1"/>
  <c r="B82" i="1"/>
  <c r="B81" i="1"/>
  <c r="F81" i="1" s="1"/>
  <c r="B80" i="1"/>
  <c r="B79" i="1"/>
  <c r="F79" i="1" s="1"/>
  <c r="B78" i="1"/>
  <c r="F78" i="1" s="1"/>
  <c r="B77" i="1"/>
  <c r="F77" i="1" s="1"/>
  <c r="B76" i="1"/>
  <c r="B75" i="1"/>
  <c r="F75" i="1" s="1"/>
  <c r="B74" i="1"/>
  <c r="F74" i="1" s="1"/>
  <c r="B72" i="1"/>
  <c r="F72" i="1" s="1"/>
  <c r="B71" i="1"/>
  <c r="F71" i="1" s="1"/>
  <c r="B70" i="1"/>
  <c r="F70" i="1" s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F63" i="1" s="1"/>
  <c r="B62" i="1"/>
  <c r="F62" i="1" s="1"/>
  <c r="B61" i="1"/>
  <c r="F61" i="1" s="1"/>
  <c r="B59" i="1"/>
  <c r="F59" i="1" s="1"/>
  <c r="B58" i="1"/>
  <c r="F58" i="1" s="1"/>
  <c r="B57" i="1"/>
  <c r="B56" i="1"/>
  <c r="F56" i="1" s="1"/>
  <c r="B55" i="1"/>
  <c r="F55" i="1" s="1"/>
  <c r="B54" i="1"/>
  <c r="F54" i="1" s="1"/>
  <c r="B53" i="1"/>
  <c r="B34" i="1"/>
  <c r="B33" i="1"/>
  <c r="B32" i="1"/>
  <c r="B31" i="1"/>
  <c r="H31" i="1" s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H4" i="1" s="1"/>
  <c r="B3" i="1"/>
  <c r="B2" i="1"/>
  <c r="F57" i="1" l="1"/>
  <c r="H57" i="1"/>
  <c r="B35" i="1"/>
  <c r="F76" i="1"/>
  <c r="C76" i="1"/>
  <c r="F80" i="1"/>
  <c r="C80" i="1"/>
  <c r="F82" i="1"/>
  <c r="C82" i="1"/>
  <c r="F73" i="1"/>
  <c r="I53" i="1"/>
  <c r="F53" i="1"/>
  <c r="B11" i="8"/>
  <c r="I27" i="8"/>
  <c r="I19" i="8"/>
  <c r="I24" i="8"/>
  <c r="I25" i="8" s="1"/>
  <c r="I16" i="8"/>
  <c r="B28" i="8"/>
  <c r="B34" i="8"/>
  <c r="B33" i="8"/>
  <c r="B20" i="8"/>
  <c r="C5" i="8"/>
  <c r="B27" i="8"/>
  <c r="B24" i="8"/>
  <c r="B25" i="8" s="1"/>
  <c r="B16" i="8"/>
  <c r="B19" i="8"/>
  <c r="I11" i="8"/>
  <c r="I34" i="8"/>
  <c r="I33" i="8"/>
  <c r="I20" i="8"/>
  <c r="I28" i="8"/>
  <c r="H46" i="1"/>
  <c r="H42" i="1"/>
  <c r="H38" i="1"/>
  <c r="H37" i="1"/>
  <c r="D36" i="1"/>
  <c r="F36" i="1" s="1"/>
  <c r="H36" i="1"/>
  <c r="H40" i="1"/>
  <c r="H47" i="1"/>
  <c r="H43" i="1"/>
  <c r="H39" i="1"/>
  <c r="C87" i="1"/>
  <c r="F87" i="1" s="1"/>
  <c r="C88" i="1"/>
  <c r="F88" i="1" s="1"/>
  <c r="C89" i="1"/>
  <c r="F89" i="1" s="1"/>
  <c r="G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G96" i="1" s="1"/>
  <c r="C97" i="1"/>
  <c r="F97" i="1" s="1"/>
  <c r="C98" i="1"/>
  <c r="F98" i="1" s="1"/>
  <c r="D38" i="1"/>
  <c r="F38" i="1" s="1"/>
  <c r="F40" i="1"/>
  <c r="G40" i="1" s="1"/>
  <c r="D42" i="1"/>
  <c r="F42" i="1" s="1"/>
  <c r="G42" i="1" s="1"/>
  <c r="D44" i="1"/>
  <c r="F44" i="1" s="1"/>
  <c r="D37" i="1"/>
  <c r="F37" i="1" s="1"/>
  <c r="D39" i="1"/>
  <c r="F39" i="1" s="1"/>
  <c r="D41" i="1"/>
  <c r="F41" i="1" s="1"/>
  <c r="D43" i="1"/>
  <c r="F43" i="1" s="1"/>
  <c r="D45" i="1"/>
  <c r="F45" i="1" s="1"/>
  <c r="G45" i="1" s="1"/>
  <c r="D46" i="1"/>
  <c r="F46" i="1" s="1"/>
  <c r="D47" i="1"/>
  <c r="F47" i="1" s="1"/>
  <c r="C53" i="1"/>
  <c r="C54" i="1"/>
  <c r="C55" i="1"/>
  <c r="C56" i="1"/>
  <c r="C57" i="1"/>
  <c r="C58" i="1"/>
  <c r="C59" i="1"/>
  <c r="D60" i="1"/>
  <c r="F60" i="1" l="1"/>
  <c r="F48" i="1"/>
  <c r="H48" i="1"/>
  <c r="F99" i="1"/>
  <c r="F86" i="1"/>
  <c r="I29" i="8"/>
  <c r="I30" i="8" s="1"/>
  <c r="B21" i="8"/>
  <c r="B22" i="8" s="1"/>
  <c r="B35" i="8"/>
  <c r="B29" i="8"/>
  <c r="B30" i="8" s="1"/>
  <c r="C14" i="8"/>
  <c r="C15" i="8"/>
  <c r="C8" i="8"/>
  <c r="C9" i="8"/>
  <c r="C10" i="8" s="1"/>
  <c r="I35" i="8"/>
  <c r="I21" i="8"/>
  <c r="I22" i="8" s="1"/>
  <c r="C99" i="1"/>
  <c r="G95" i="1"/>
  <c r="G93" i="1"/>
  <c r="G98" i="1"/>
  <c r="G94" i="1"/>
  <c r="G92" i="1"/>
  <c r="G90" i="1"/>
  <c r="G88" i="1"/>
  <c r="G97" i="1"/>
  <c r="G91" i="1"/>
  <c r="G87" i="1"/>
  <c r="G46" i="1"/>
  <c r="G41" i="1"/>
  <c r="G37" i="1"/>
  <c r="G44" i="1"/>
  <c r="D48" i="1"/>
  <c r="C48" i="1" s="1"/>
  <c r="G43" i="1"/>
  <c r="G39" i="1"/>
  <c r="G38" i="1"/>
  <c r="G47" i="1"/>
  <c r="D123" i="1" l="1"/>
  <c r="F100" i="1"/>
  <c r="B36" i="8"/>
  <c r="C11" i="8"/>
  <c r="C34" i="8"/>
  <c r="C33" i="8"/>
  <c r="C20" i="8"/>
  <c r="C28" i="8"/>
  <c r="I36" i="8"/>
  <c r="C27" i="8"/>
  <c r="C29" i="8" s="1"/>
  <c r="C30" i="8" s="1"/>
  <c r="C19" i="8"/>
  <c r="C24" i="8"/>
  <c r="C25" i="8" s="1"/>
  <c r="C16" i="8"/>
  <c r="G99" i="1"/>
  <c r="G36" i="1"/>
  <c r="G48" i="1" s="1"/>
  <c r="E123" i="1" l="1"/>
  <c r="C123" i="1"/>
  <c r="C35" i="8"/>
  <c r="C21" i="8"/>
  <c r="C22" i="8" s="1"/>
  <c r="C36" i="8" l="1"/>
  <c r="M1" i="1" l="1"/>
  <c r="N1" i="1"/>
  <c r="D2" i="1"/>
  <c r="F2" i="1" s="1"/>
  <c r="G2" i="1" s="1"/>
  <c r="I15" i="1"/>
  <c r="I57" i="1"/>
  <c r="H69" i="1"/>
  <c r="H59" i="1"/>
  <c r="G115" i="1" l="1"/>
  <c r="G110" i="1"/>
  <c r="G109" i="1"/>
  <c r="G104" i="1"/>
  <c r="G111" i="1"/>
  <c r="G106" i="1"/>
  <c r="G105" i="1"/>
  <c r="G112" i="1"/>
  <c r="G107" i="1"/>
  <c r="G114" i="1"/>
  <c r="G113" i="1"/>
  <c r="G108" i="1"/>
  <c r="H111" i="1"/>
  <c r="H106" i="1"/>
  <c r="H105" i="1"/>
  <c r="H112" i="1"/>
  <c r="H107" i="1"/>
  <c r="H114" i="1"/>
  <c r="H113" i="1"/>
  <c r="H108" i="1"/>
  <c r="H115" i="1"/>
  <c r="H110" i="1"/>
  <c r="H109" i="1"/>
  <c r="H104" i="1"/>
  <c r="I83" i="1"/>
  <c r="I26" i="1"/>
  <c r="H12" i="1"/>
  <c r="I78" i="1"/>
  <c r="I4" i="1"/>
  <c r="H63" i="1"/>
  <c r="H13" i="1"/>
  <c r="I10" i="1"/>
  <c r="H67" i="1"/>
  <c r="I62" i="1"/>
  <c r="H18" i="1"/>
  <c r="I21" i="1"/>
  <c r="I32" i="1"/>
  <c r="H62" i="1"/>
  <c r="H72" i="1"/>
  <c r="I77" i="1"/>
  <c r="I61" i="1"/>
  <c r="I27" i="1"/>
  <c r="I82" i="1"/>
  <c r="H17" i="1"/>
  <c r="I17" i="1"/>
  <c r="I31" i="1"/>
  <c r="H54" i="1"/>
  <c r="H68" i="1"/>
  <c r="I67" i="1"/>
  <c r="I84" i="1"/>
  <c r="H8" i="1"/>
  <c r="H14" i="1"/>
  <c r="H20" i="1"/>
  <c r="I11" i="1"/>
  <c r="I23" i="1"/>
  <c r="I28" i="1"/>
  <c r="I34" i="1"/>
  <c r="H55" i="1"/>
  <c r="H64" i="1"/>
  <c r="H70" i="1"/>
  <c r="I74" i="1"/>
  <c r="I70" i="1"/>
  <c r="I80" i="1"/>
  <c r="I85" i="1"/>
  <c r="H10" i="1"/>
  <c r="H16" i="1"/>
  <c r="H21" i="1"/>
  <c r="I24" i="1"/>
  <c r="I30" i="1"/>
  <c r="H66" i="1"/>
  <c r="H71" i="1"/>
  <c r="I76" i="1"/>
  <c r="I81" i="1"/>
  <c r="H78" i="1"/>
  <c r="H82" i="1"/>
  <c r="H74" i="1"/>
  <c r="H32" i="1"/>
  <c r="H28" i="1"/>
  <c r="H24" i="1"/>
  <c r="H26" i="1"/>
  <c r="H84" i="1"/>
  <c r="H79" i="1"/>
  <c r="I2" i="1"/>
  <c r="I59" i="1"/>
  <c r="I55" i="1"/>
  <c r="I7" i="1"/>
  <c r="I3" i="1"/>
  <c r="I58" i="1"/>
  <c r="H27" i="1"/>
  <c r="H33" i="1"/>
  <c r="I5" i="1"/>
  <c r="H83" i="1"/>
  <c r="H77" i="1"/>
  <c r="H53" i="1"/>
  <c r="H6" i="1"/>
  <c r="H2" i="1"/>
  <c r="H3" i="1"/>
  <c r="I69" i="1"/>
  <c r="I65" i="1"/>
  <c r="I20" i="1"/>
  <c r="I16" i="1"/>
  <c r="I12" i="1"/>
  <c r="I72" i="1"/>
  <c r="I68" i="1"/>
  <c r="I64" i="1"/>
  <c r="H5" i="1"/>
  <c r="H23" i="1"/>
  <c r="H29" i="1"/>
  <c r="H34" i="1"/>
  <c r="I6" i="1"/>
  <c r="I13" i="1"/>
  <c r="I18" i="1"/>
  <c r="H56" i="1"/>
  <c r="H81" i="1"/>
  <c r="H76" i="1"/>
  <c r="I54" i="1"/>
  <c r="I63" i="1"/>
  <c r="I71" i="1"/>
  <c r="H7" i="1"/>
  <c r="H25" i="1"/>
  <c r="H30" i="1"/>
  <c r="I8" i="1"/>
  <c r="I14" i="1"/>
  <c r="I19" i="1"/>
  <c r="H58" i="1"/>
  <c r="H85" i="1"/>
  <c r="H80" i="1"/>
  <c r="H75" i="1"/>
  <c r="I56" i="1"/>
  <c r="I66" i="1"/>
  <c r="H11" i="1"/>
  <c r="H15" i="1"/>
  <c r="H19" i="1"/>
  <c r="I25" i="1"/>
  <c r="I29" i="1"/>
  <c r="I33" i="1"/>
  <c r="H61" i="1"/>
  <c r="H65" i="1"/>
  <c r="I75" i="1"/>
  <c r="I79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C85" i="1"/>
  <c r="C84" i="1"/>
  <c r="C83" i="1"/>
  <c r="C81" i="1"/>
  <c r="C79" i="1"/>
  <c r="C78" i="1"/>
  <c r="C77" i="1"/>
  <c r="C75" i="1"/>
  <c r="C74" i="1"/>
  <c r="C72" i="1"/>
  <c r="C71" i="1"/>
  <c r="C70" i="1"/>
  <c r="C69" i="1"/>
  <c r="C68" i="1"/>
  <c r="C67" i="1"/>
  <c r="C66" i="1"/>
  <c r="C65" i="1"/>
  <c r="C64" i="1"/>
  <c r="C63" i="1"/>
  <c r="C62" i="1"/>
  <c r="C61" i="1"/>
  <c r="D86" i="1"/>
  <c r="D73" i="1"/>
  <c r="E35" i="1"/>
  <c r="E22" i="1"/>
  <c r="E9" i="1"/>
  <c r="H116" i="1" l="1"/>
  <c r="E5" i="8" s="1"/>
  <c r="I112" i="1"/>
  <c r="J112" i="1"/>
  <c r="I113" i="1"/>
  <c r="J113" i="1"/>
  <c r="I105" i="1"/>
  <c r="J105" i="1"/>
  <c r="I109" i="1"/>
  <c r="J109" i="1"/>
  <c r="J114" i="1"/>
  <c r="I114" i="1"/>
  <c r="I106" i="1"/>
  <c r="J106" i="1"/>
  <c r="I110" i="1"/>
  <c r="J110" i="1"/>
  <c r="I108" i="1"/>
  <c r="J108" i="1"/>
  <c r="G116" i="1"/>
  <c r="J104" i="1"/>
  <c r="I104" i="1"/>
  <c r="J107" i="1"/>
  <c r="I107" i="1"/>
  <c r="I111" i="1"/>
  <c r="J111" i="1"/>
  <c r="I115" i="1"/>
  <c r="J115" i="1"/>
  <c r="H99" i="1"/>
  <c r="J2" i="1"/>
  <c r="K2" i="1"/>
  <c r="I86" i="1"/>
  <c r="H86" i="1"/>
  <c r="I22" i="1"/>
  <c r="I9" i="1"/>
  <c r="I35" i="1"/>
  <c r="H22" i="1"/>
  <c r="I60" i="1"/>
  <c r="I73" i="1"/>
  <c r="H73" i="1"/>
  <c r="H35" i="1"/>
  <c r="H60" i="1"/>
  <c r="H9" i="1"/>
  <c r="F123" i="1" l="1"/>
  <c r="G122" i="1"/>
  <c r="F122" i="1"/>
  <c r="G120" i="1"/>
  <c r="E9" i="8"/>
  <c r="E10" i="8" s="1"/>
  <c r="E15" i="8"/>
  <c r="E8" i="8"/>
  <c r="E14" i="8"/>
  <c r="D5" i="8"/>
  <c r="J5" i="8"/>
  <c r="I116" i="1"/>
  <c r="J116" i="1"/>
  <c r="H49" i="1"/>
  <c r="H100" i="1"/>
  <c r="F121" i="1"/>
  <c r="G121" i="1"/>
  <c r="F120" i="1"/>
  <c r="F124" i="1" l="1"/>
  <c r="D5" i="3" s="1"/>
  <c r="D15" i="3" s="1"/>
  <c r="D8" i="8"/>
  <c r="D14" i="8"/>
  <c r="D15" i="8"/>
  <c r="D9" i="8"/>
  <c r="F5" i="8"/>
  <c r="E24" i="8"/>
  <c r="E25" i="8" s="1"/>
  <c r="E16" i="8"/>
  <c r="E27" i="8"/>
  <c r="E19" i="8"/>
  <c r="E11" i="8"/>
  <c r="J15" i="8"/>
  <c r="J9" i="8"/>
  <c r="J10" i="8" s="1"/>
  <c r="J8" i="8"/>
  <c r="J14" i="8"/>
  <c r="E34" i="8"/>
  <c r="E33" i="8"/>
  <c r="E20" i="8"/>
  <c r="E28" i="8"/>
  <c r="K5" i="8"/>
  <c r="E21" i="8" l="1"/>
  <c r="E22" i="8" s="1"/>
  <c r="K8" i="8"/>
  <c r="K9" i="8"/>
  <c r="K10" i="8" s="1"/>
  <c r="K14" i="8"/>
  <c r="K15" i="8"/>
  <c r="E29" i="8"/>
  <c r="E30" i="8" s="1"/>
  <c r="F9" i="8"/>
  <c r="D10" i="8"/>
  <c r="D11" i="8" s="1"/>
  <c r="E35" i="8"/>
  <c r="J11" i="8"/>
  <c r="D34" i="8"/>
  <c r="D33" i="8"/>
  <c r="D20" i="8"/>
  <c r="F20" i="8" s="1"/>
  <c r="D28" i="8"/>
  <c r="F15" i="8"/>
  <c r="J34" i="8"/>
  <c r="J33" i="8"/>
  <c r="J20" i="8"/>
  <c r="J28" i="8"/>
  <c r="F8" i="8"/>
  <c r="J27" i="8"/>
  <c r="J19" i="8"/>
  <c r="J24" i="8"/>
  <c r="J25" i="8" s="1"/>
  <c r="J16" i="8"/>
  <c r="D27" i="8"/>
  <c r="F27" i="8" s="1"/>
  <c r="D19" i="8"/>
  <c r="D24" i="8"/>
  <c r="F24" i="8" s="1"/>
  <c r="D16" i="8"/>
  <c r="F14" i="8"/>
  <c r="D9" i="3"/>
  <c r="D8" i="3"/>
  <c r="D14" i="3"/>
  <c r="D16" i="3" s="1"/>
  <c r="D33" i="3"/>
  <c r="D20" i="3"/>
  <c r="D34" i="3"/>
  <c r="D28" i="3"/>
  <c r="G53" i="1"/>
  <c r="K53" i="1" s="1"/>
  <c r="E36" i="8" l="1"/>
  <c r="J29" i="8"/>
  <c r="J30" i="8" s="1"/>
  <c r="K11" i="8"/>
  <c r="J35" i="8"/>
  <c r="J21" i="8"/>
  <c r="J22" i="8" s="1"/>
  <c r="F34" i="8"/>
  <c r="D29" i="8"/>
  <c r="D30" i="8" s="1"/>
  <c r="F30" i="8" s="1"/>
  <c r="F28" i="8"/>
  <c r="F29" i="8" s="1"/>
  <c r="K27" i="8"/>
  <c r="K19" i="8"/>
  <c r="K24" i="8"/>
  <c r="K25" i="8" s="1"/>
  <c r="K16" i="8"/>
  <c r="F19" i="8"/>
  <c r="F21" i="8" s="1"/>
  <c r="D21" i="8"/>
  <c r="D22" i="8" s="1"/>
  <c r="F22" i="8" s="1"/>
  <c r="D25" i="8"/>
  <c r="F25" i="8" s="1"/>
  <c r="F10" i="8"/>
  <c r="F11" i="8" s="1"/>
  <c r="K33" i="8"/>
  <c r="K28" i="8"/>
  <c r="K20" i="8"/>
  <c r="K34" i="8"/>
  <c r="F16" i="8"/>
  <c r="D35" i="8"/>
  <c r="F33" i="8"/>
  <c r="D19" i="3"/>
  <c r="D21" i="3" s="1"/>
  <c r="D22" i="3" s="1"/>
  <c r="D10" i="3"/>
  <c r="D11" i="3" s="1"/>
  <c r="D24" i="3"/>
  <c r="D27" i="3"/>
  <c r="D29" i="3" s="1"/>
  <c r="D30" i="3" s="1"/>
  <c r="J53" i="1"/>
  <c r="D35" i="3"/>
  <c r="K29" i="8" l="1"/>
  <c r="K30" i="8" s="1"/>
  <c r="J36" i="8"/>
  <c r="K21" i="8"/>
  <c r="K22" i="8" s="1"/>
  <c r="F35" i="8"/>
  <c r="K35" i="8"/>
  <c r="F36" i="8"/>
  <c r="D36" i="8"/>
  <c r="D25" i="3"/>
  <c r="D36" i="3"/>
  <c r="K36" i="8" l="1"/>
  <c r="B86" i="1" l="1"/>
  <c r="B73" i="1"/>
  <c r="B60" i="1"/>
  <c r="G85" i="1"/>
  <c r="K85" i="1" s="1"/>
  <c r="G84" i="1"/>
  <c r="J84" i="1" s="1"/>
  <c r="G82" i="1"/>
  <c r="G81" i="1"/>
  <c r="J81" i="1" s="1"/>
  <c r="G80" i="1"/>
  <c r="J80" i="1" s="1"/>
  <c r="G78" i="1"/>
  <c r="J78" i="1" s="1"/>
  <c r="G77" i="1"/>
  <c r="K77" i="1" s="1"/>
  <c r="G76" i="1"/>
  <c r="K76" i="1" s="1"/>
  <c r="G72" i="1"/>
  <c r="K72" i="1" s="1"/>
  <c r="G71" i="1"/>
  <c r="K71" i="1" s="1"/>
  <c r="G67" i="1"/>
  <c r="K67" i="1" s="1"/>
  <c r="G63" i="1"/>
  <c r="J63" i="1" s="1"/>
  <c r="G58" i="1"/>
  <c r="K58" i="1" s="1"/>
  <c r="G55" i="1"/>
  <c r="J55" i="1" s="1"/>
  <c r="G54" i="1"/>
  <c r="K54" i="1" s="1"/>
  <c r="B9" i="1"/>
  <c r="B22" i="1"/>
  <c r="B100" i="1" l="1"/>
  <c r="C100" i="1" s="1"/>
  <c r="K82" i="1"/>
  <c r="J82" i="1"/>
  <c r="K63" i="1"/>
  <c r="B49" i="1"/>
  <c r="J77" i="1"/>
  <c r="J67" i="1"/>
  <c r="K78" i="1"/>
  <c r="K84" i="1"/>
  <c r="K81" i="1"/>
  <c r="C86" i="1"/>
  <c r="B122" i="1"/>
  <c r="K80" i="1"/>
  <c r="J85" i="1"/>
  <c r="J76" i="1"/>
  <c r="J71" i="1"/>
  <c r="J72" i="1"/>
  <c r="C73" i="1"/>
  <c r="B121" i="1"/>
  <c r="C60" i="1"/>
  <c r="B120" i="1"/>
  <c r="J54" i="1"/>
  <c r="K55" i="1"/>
  <c r="J58" i="1"/>
  <c r="G68" i="1"/>
  <c r="G62" i="1"/>
  <c r="G66" i="1"/>
  <c r="G70" i="1"/>
  <c r="G59" i="1"/>
  <c r="G57" i="1"/>
  <c r="G64" i="1"/>
  <c r="G56" i="1"/>
  <c r="G61" i="1"/>
  <c r="G65" i="1"/>
  <c r="G69" i="1"/>
  <c r="G74" i="1"/>
  <c r="G75" i="1"/>
  <c r="G79" i="1"/>
  <c r="G83" i="1"/>
  <c r="B124" i="1" l="1"/>
  <c r="B5" i="3" s="1"/>
  <c r="K74" i="1"/>
  <c r="J74" i="1"/>
  <c r="J75" i="1"/>
  <c r="K75" i="1"/>
  <c r="K83" i="1"/>
  <c r="J83" i="1"/>
  <c r="J79" i="1"/>
  <c r="K79" i="1"/>
  <c r="K70" i="1"/>
  <c r="J70" i="1"/>
  <c r="J69" i="1"/>
  <c r="K69" i="1"/>
  <c r="K64" i="1"/>
  <c r="J64" i="1"/>
  <c r="K66" i="1"/>
  <c r="J66" i="1"/>
  <c r="J65" i="1"/>
  <c r="K65" i="1"/>
  <c r="J62" i="1"/>
  <c r="K62" i="1"/>
  <c r="K61" i="1"/>
  <c r="J61" i="1"/>
  <c r="J68" i="1"/>
  <c r="K68" i="1"/>
  <c r="J56" i="1"/>
  <c r="K56" i="1"/>
  <c r="K59" i="1"/>
  <c r="J59" i="1"/>
  <c r="K57" i="1"/>
  <c r="J57" i="1"/>
  <c r="G60" i="1"/>
  <c r="G73" i="1"/>
  <c r="G86" i="1"/>
  <c r="G100" i="1" l="1"/>
  <c r="K86" i="1"/>
  <c r="J60" i="1"/>
  <c r="K60" i="1"/>
  <c r="K73" i="1"/>
  <c r="J86" i="1"/>
  <c r="J73" i="1"/>
  <c r="F21" i="1"/>
  <c r="F20" i="1"/>
  <c r="F19" i="1"/>
  <c r="F18" i="1"/>
  <c r="F17" i="1"/>
  <c r="F16" i="1"/>
  <c r="F15" i="1"/>
  <c r="F14" i="1"/>
  <c r="F13" i="1"/>
  <c r="F12" i="1"/>
  <c r="F11" i="1"/>
  <c r="F4" i="1"/>
  <c r="F3" i="1"/>
  <c r="B8" i="3" l="1"/>
  <c r="B15" i="3"/>
  <c r="B14" i="3"/>
  <c r="B9" i="3"/>
  <c r="B10" i="3" s="1"/>
  <c r="G4" i="1"/>
  <c r="J4" i="1" s="1"/>
  <c r="G14" i="1"/>
  <c r="K14" i="1" s="1"/>
  <c r="G18" i="1"/>
  <c r="G11" i="1"/>
  <c r="K11" i="1" s="1"/>
  <c r="G15" i="1"/>
  <c r="K15" i="1" s="1"/>
  <c r="G19" i="1"/>
  <c r="J19" i="1" s="1"/>
  <c r="G12" i="1"/>
  <c r="J12" i="1" s="1"/>
  <c r="G16" i="1"/>
  <c r="J16" i="1" s="1"/>
  <c r="G20" i="1"/>
  <c r="K20" i="1" s="1"/>
  <c r="G3" i="1"/>
  <c r="K3" i="1" s="1"/>
  <c r="G21" i="1"/>
  <c r="K21" i="1" s="1"/>
  <c r="G17" i="1"/>
  <c r="J17" i="1" s="1"/>
  <c r="G13" i="1"/>
  <c r="K13" i="1" s="1"/>
  <c r="D22" i="1"/>
  <c r="C22" i="1" s="1"/>
  <c r="F10" i="1"/>
  <c r="F24" i="1"/>
  <c r="F25" i="1"/>
  <c r="F26" i="1"/>
  <c r="F27" i="1"/>
  <c r="F28" i="1"/>
  <c r="F29" i="1"/>
  <c r="F30" i="1"/>
  <c r="F31" i="1"/>
  <c r="F32" i="1"/>
  <c r="F33" i="1"/>
  <c r="F34" i="1"/>
  <c r="F8" i="1"/>
  <c r="F7" i="1"/>
  <c r="F6" i="1"/>
  <c r="F5" i="1"/>
  <c r="K18" i="1" l="1"/>
  <c r="K4" i="1"/>
  <c r="J20" i="1"/>
  <c r="J15" i="1"/>
  <c r="K12" i="1"/>
  <c r="J18" i="1"/>
  <c r="J21" i="1"/>
  <c r="J13" i="1"/>
  <c r="J14" i="1"/>
  <c r="K17" i="1"/>
  <c r="K16" i="1"/>
  <c r="K19" i="1"/>
  <c r="J11" i="1"/>
  <c r="J3" i="1"/>
  <c r="B11" i="3"/>
  <c r="B16" i="3"/>
  <c r="B27" i="3"/>
  <c r="B24" i="3"/>
  <c r="B25" i="3" s="1"/>
  <c r="B19" i="3"/>
  <c r="B20" i="3"/>
  <c r="B34" i="3"/>
  <c r="B33" i="3"/>
  <c r="B28" i="3"/>
  <c r="G5" i="1"/>
  <c r="J5" i="1" s="1"/>
  <c r="D35" i="1"/>
  <c r="C35" i="1" s="1"/>
  <c r="F23" i="1"/>
  <c r="G31" i="1"/>
  <c r="G27" i="1"/>
  <c r="J27" i="1" s="1"/>
  <c r="F22" i="1"/>
  <c r="G10" i="1"/>
  <c r="J10" i="1" s="1"/>
  <c r="G6" i="1"/>
  <c r="K6" i="1" s="1"/>
  <c r="G34" i="1"/>
  <c r="K34" i="1" s="1"/>
  <c r="G30" i="1"/>
  <c r="J30" i="1" s="1"/>
  <c r="G26" i="1"/>
  <c r="J26" i="1" s="1"/>
  <c r="G7" i="1"/>
  <c r="K7" i="1" s="1"/>
  <c r="G33" i="1"/>
  <c r="K33" i="1" s="1"/>
  <c r="G29" i="1"/>
  <c r="K29" i="1" s="1"/>
  <c r="G25" i="1"/>
  <c r="K25" i="1" s="1"/>
  <c r="D9" i="1"/>
  <c r="G8" i="1"/>
  <c r="J8" i="1" s="1"/>
  <c r="G32" i="1"/>
  <c r="J32" i="1" s="1"/>
  <c r="G28" i="1"/>
  <c r="K28" i="1" s="1"/>
  <c r="G24" i="1"/>
  <c r="J24" i="1" s="1"/>
  <c r="F9" i="1"/>
  <c r="D121" i="1" l="1"/>
  <c r="D49" i="1"/>
  <c r="K31" i="1"/>
  <c r="D120" i="1"/>
  <c r="K27" i="1"/>
  <c r="J34" i="1"/>
  <c r="C9" i="1"/>
  <c r="J7" i="1"/>
  <c r="J6" i="1"/>
  <c r="J29" i="1"/>
  <c r="J28" i="1"/>
  <c r="K26" i="1"/>
  <c r="J25" i="1"/>
  <c r="J33" i="1"/>
  <c r="K24" i="1"/>
  <c r="K32" i="1"/>
  <c r="K30" i="1"/>
  <c r="J31" i="1"/>
  <c r="K10" i="1"/>
  <c r="K8" i="1"/>
  <c r="K5" i="1"/>
  <c r="B35" i="3"/>
  <c r="B21" i="3"/>
  <c r="B22" i="3" s="1"/>
  <c r="B29" i="3"/>
  <c r="B30" i="3" s="1"/>
  <c r="G22" i="1"/>
  <c r="G23" i="1"/>
  <c r="K23" i="1" s="1"/>
  <c r="F35" i="1"/>
  <c r="G9" i="1"/>
  <c r="C121" i="1" l="1"/>
  <c r="E121" i="1"/>
  <c r="F49" i="1"/>
  <c r="C120" i="1"/>
  <c r="K9" i="1"/>
  <c r="D122" i="1"/>
  <c r="D124" i="1" s="1"/>
  <c r="C5" i="3" s="1"/>
  <c r="J23" i="1"/>
  <c r="B36" i="3"/>
  <c r="E120" i="1"/>
  <c r="G35" i="1"/>
  <c r="J22" i="1"/>
  <c r="K22" i="1"/>
  <c r="J9" i="1"/>
  <c r="H121" i="1" l="1"/>
  <c r="I121" i="1"/>
  <c r="E122" i="1"/>
  <c r="G49" i="1"/>
  <c r="C122" i="1"/>
  <c r="C124" i="1" s="1"/>
  <c r="I120" i="1"/>
  <c r="H120" i="1"/>
  <c r="J35" i="1"/>
  <c r="K35" i="1"/>
  <c r="J121" i="1" l="1"/>
  <c r="I122" i="1" s="1"/>
  <c r="E124" i="1"/>
  <c r="I5" i="3" s="1"/>
  <c r="J120" i="1"/>
  <c r="H122" i="1"/>
  <c r="J49" i="1"/>
  <c r="K49" i="1"/>
  <c r="C9" i="3" l="1"/>
  <c r="C14" i="3"/>
  <c r="C15" i="3"/>
  <c r="C8" i="3"/>
  <c r="I15" i="3"/>
  <c r="I8" i="3"/>
  <c r="I9" i="3"/>
  <c r="I10" i="3" s="1"/>
  <c r="I14" i="3"/>
  <c r="C33" i="3" l="1"/>
  <c r="C28" i="3"/>
  <c r="C20" i="3"/>
  <c r="C34" i="3"/>
  <c r="C27" i="3"/>
  <c r="C24" i="3"/>
  <c r="C19" i="3"/>
  <c r="C16" i="3"/>
  <c r="C10" i="3"/>
  <c r="I11" i="3"/>
  <c r="I28" i="3"/>
  <c r="I20" i="3"/>
  <c r="I34" i="3"/>
  <c r="I33" i="3"/>
  <c r="I19" i="3"/>
  <c r="I16" i="3"/>
  <c r="I27" i="3"/>
  <c r="I24" i="3"/>
  <c r="I25" i="3" s="1"/>
  <c r="I21" i="3" l="1"/>
  <c r="I22" i="3" s="1"/>
  <c r="C11" i="3"/>
  <c r="C25" i="3"/>
  <c r="C29" i="3"/>
  <c r="C21" i="3"/>
  <c r="C22" i="3" s="1"/>
  <c r="C35" i="3"/>
  <c r="I35" i="3"/>
  <c r="I29" i="3"/>
  <c r="I30" i="3" s="1"/>
  <c r="I36" i="3" l="1"/>
  <c r="C30" i="3"/>
  <c r="C36" i="3"/>
  <c r="J122" i="1" l="1"/>
  <c r="M48" i="1" l="1"/>
  <c r="I96" i="1" l="1"/>
  <c r="I88" i="1"/>
  <c r="I94" i="1"/>
  <c r="I87" i="1"/>
  <c r="I91" i="1"/>
  <c r="I92" i="1"/>
  <c r="I97" i="1"/>
  <c r="I89" i="1"/>
  <c r="I90" i="1"/>
  <c r="I95" i="1"/>
  <c r="I98" i="1"/>
  <c r="I93" i="1"/>
  <c r="I41" i="1"/>
  <c r="I37" i="1"/>
  <c r="I43" i="1"/>
  <c r="I46" i="1"/>
  <c r="I42" i="1"/>
  <c r="I38" i="1"/>
  <c r="I45" i="1"/>
  <c r="I36" i="1"/>
  <c r="I44" i="1"/>
  <c r="I40" i="1"/>
  <c r="I47" i="1"/>
  <c r="I39" i="1"/>
  <c r="K90" i="1" l="1"/>
  <c r="J90" i="1"/>
  <c r="K91" i="1"/>
  <c r="J91" i="1"/>
  <c r="J96" i="1"/>
  <c r="K96" i="1"/>
  <c r="J95" i="1"/>
  <c r="K95" i="1"/>
  <c r="J92" i="1"/>
  <c r="K92" i="1"/>
  <c r="J88" i="1"/>
  <c r="K88" i="1"/>
  <c r="K98" i="1"/>
  <c r="J98" i="1"/>
  <c r="J97" i="1"/>
  <c r="K97" i="1"/>
  <c r="K94" i="1"/>
  <c r="J94" i="1"/>
  <c r="K93" i="1"/>
  <c r="J93" i="1"/>
  <c r="J89" i="1"/>
  <c r="K89" i="1"/>
  <c r="I99" i="1"/>
  <c r="I100" i="1" s="1"/>
  <c r="K87" i="1"/>
  <c r="J87" i="1"/>
  <c r="J47" i="1"/>
  <c r="K47" i="1"/>
  <c r="J44" i="1"/>
  <c r="K44" i="1"/>
  <c r="J45" i="1"/>
  <c r="K45" i="1"/>
  <c r="K42" i="1"/>
  <c r="J42" i="1"/>
  <c r="J43" i="1"/>
  <c r="K43" i="1"/>
  <c r="J41" i="1"/>
  <c r="K41" i="1"/>
  <c r="J39" i="1"/>
  <c r="K39" i="1"/>
  <c r="J40" i="1"/>
  <c r="K40" i="1"/>
  <c r="I48" i="1"/>
  <c r="J36" i="1"/>
  <c r="K36" i="1"/>
  <c r="J38" i="1"/>
  <c r="K38" i="1"/>
  <c r="J46" i="1"/>
  <c r="K46" i="1"/>
  <c r="K37" i="1"/>
  <c r="J37" i="1"/>
  <c r="K99" i="1" l="1"/>
  <c r="K100" i="1" s="1"/>
  <c r="J99" i="1"/>
  <c r="J100" i="1" s="1"/>
  <c r="J48" i="1"/>
  <c r="K48" i="1"/>
  <c r="G123" i="1"/>
  <c r="I49" i="1"/>
  <c r="G124" i="1" l="1"/>
  <c r="J123" i="1"/>
  <c r="J124" i="1" s="1"/>
  <c r="H123" i="1"/>
  <c r="H124" i="1" s="1"/>
  <c r="K5" i="3" s="1"/>
  <c r="I123" i="1"/>
  <c r="I124" i="1" s="1"/>
  <c r="J5" i="3" s="1"/>
  <c r="K14" i="3" l="1"/>
  <c r="K8" i="3"/>
  <c r="K15" i="3"/>
  <c r="K9" i="3"/>
  <c r="K10" i="3" s="1"/>
  <c r="J15" i="3"/>
  <c r="J9" i="3"/>
  <c r="J10" i="3" s="1"/>
  <c r="J8" i="3"/>
  <c r="J14" i="3"/>
  <c r="E5" i="3"/>
  <c r="K124" i="1"/>
  <c r="F5" i="3" l="1"/>
  <c r="E9" i="3"/>
  <c r="E8" i="3"/>
  <c r="E15" i="3"/>
  <c r="E14" i="3"/>
  <c r="J11" i="3"/>
  <c r="J34" i="3"/>
  <c r="J33" i="3"/>
  <c r="J28" i="3"/>
  <c r="J20" i="3"/>
  <c r="K28" i="3"/>
  <c r="K20" i="3"/>
  <c r="K33" i="3"/>
  <c r="K34" i="3"/>
  <c r="K27" i="3"/>
  <c r="K29" i="3" s="1"/>
  <c r="K30" i="3" s="1"/>
  <c r="K24" i="3"/>
  <c r="K25" i="3" s="1"/>
  <c r="K19" i="3"/>
  <c r="K16" i="3"/>
  <c r="J27" i="3"/>
  <c r="J16" i="3"/>
  <c r="J24" i="3"/>
  <c r="J25" i="3" s="1"/>
  <c r="J19" i="3"/>
  <c r="J21" i="3" s="1"/>
  <c r="J22" i="3" s="1"/>
  <c r="K11" i="3"/>
  <c r="J29" i="3" l="1"/>
  <c r="J30" i="3" s="1"/>
  <c r="K21" i="3"/>
  <c r="K22" i="3" s="1"/>
  <c r="K35" i="3"/>
  <c r="E33" i="3"/>
  <c r="E20" i="3"/>
  <c r="F20" i="3" s="1"/>
  <c r="E28" i="3"/>
  <c r="F28" i="3" s="1"/>
  <c r="E34" i="3"/>
  <c r="F15" i="3"/>
  <c r="E10" i="3"/>
  <c r="E11" i="3" s="1"/>
  <c r="F9" i="3"/>
  <c r="J35" i="3"/>
  <c r="E19" i="3"/>
  <c r="E27" i="3"/>
  <c r="E24" i="3"/>
  <c r="F24" i="3" s="1"/>
  <c r="E16" i="3"/>
  <c r="F14" i="3"/>
  <c r="F8" i="3"/>
  <c r="K36" i="3" l="1"/>
  <c r="J36" i="3"/>
  <c r="E29" i="3"/>
  <c r="E30" i="3" s="1"/>
  <c r="F30" i="3" s="1"/>
  <c r="F27" i="3"/>
  <c r="F29" i="3" s="1"/>
  <c r="E35" i="3"/>
  <c r="F33" i="3"/>
  <c r="F16" i="3"/>
  <c r="E21" i="3"/>
  <c r="E22" i="3" s="1"/>
  <c r="F22" i="3" s="1"/>
  <c r="F19" i="3"/>
  <c r="F21" i="3" s="1"/>
  <c r="E25" i="3"/>
  <c r="F25" i="3" s="1"/>
  <c r="F10" i="3"/>
  <c r="F11" i="3" s="1"/>
  <c r="F34" i="3"/>
  <c r="E36" i="3" l="1"/>
  <c r="F36" i="3"/>
  <c r="F35" i="3"/>
</calcChain>
</file>

<file path=xl/comments1.xml><?xml version="1.0" encoding="utf-8"?>
<comments xmlns="http://schemas.openxmlformats.org/spreadsheetml/2006/main">
  <authors>
    <author>Ebubechukwu Nwazota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Royalty 7%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CITA 30%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Education Tax 2%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$/MScf TRANSPORTATION COST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$/Mscf OPEX</t>
        </r>
      </text>
    </comment>
  </commentList>
</comments>
</file>

<file path=xl/comments2.xml><?xml version="1.0" encoding="utf-8"?>
<comments xmlns="http://schemas.openxmlformats.org/spreadsheetml/2006/main">
  <authors>
    <author>Ebubechukwu Nwazota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Royalty 7%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CITA 30%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Education Tax 2%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$/MScf TRANSPORTATION COST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Ebubechukwu Nwazota:</t>
        </r>
        <r>
          <rPr>
            <sz val="9"/>
            <color indexed="81"/>
            <rFont val="Tahoma"/>
            <family val="2"/>
          </rPr>
          <t xml:space="preserve">
$/Mscf OPEX</t>
        </r>
      </text>
    </comment>
  </commentList>
</comments>
</file>

<file path=xl/sharedStrings.xml><?xml version="1.0" encoding="utf-8"?>
<sst xmlns="http://schemas.openxmlformats.org/spreadsheetml/2006/main" count="207" uniqueCount="98">
  <si>
    <t>MONTH</t>
  </si>
  <si>
    <t>SUB-TOTAL '13</t>
  </si>
  <si>
    <t>SUB-TOTAL '14</t>
  </si>
  <si>
    <t>SUB-TOTAL '15</t>
  </si>
  <si>
    <t>TOTAL RSG</t>
  </si>
  <si>
    <t>MMscf-RSG &amp; IEPL</t>
  </si>
  <si>
    <t>OVERALL TOTAL</t>
  </si>
  <si>
    <t>NAOC 20% SHARE</t>
  </si>
  <si>
    <t>NAOC JV SHARE</t>
  </si>
  <si>
    <t>SPDC JV SHARE</t>
  </si>
  <si>
    <t>NAOC SHARE IN NAOC JV</t>
  </si>
  <si>
    <t>TOTAL</t>
  </si>
  <si>
    <t>NNPC SHARE IN NAOC JV</t>
  </si>
  <si>
    <t>NNPC SHARE IN SPDC JV</t>
  </si>
  <si>
    <t>NAOC SHARE IN SPDC JV</t>
  </si>
  <si>
    <t>NNPC 60% SHARE</t>
  </si>
  <si>
    <t>TOTAL SHARE IN SPDC JV</t>
  </si>
  <si>
    <t>SPDC SHARE IN SPDC JV</t>
  </si>
  <si>
    <t>Current Practice</t>
  </si>
  <si>
    <t>OANDO 20% SHARE</t>
  </si>
  <si>
    <t>Best Practice</t>
  </si>
  <si>
    <t>SUMMARY (JUNE 2013 to DECEMBER 2015)</t>
  </si>
  <si>
    <t>OANDO SHARE IN NAOC JV</t>
  </si>
  <si>
    <t>SAMABRI BISENI GAS PRODUCTION AND FISCAL ANALYSIS</t>
  </si>
  <si>
    <t>Price-RSG NGN/Mscf</t>
  </si>
  <si>
    <t>FG  Delivery-RSG 
MMscf</t>
  </si>
  <si>
    <t>Exchange Rate $/NGN</t>
  </si>
  <si>
    <t>FG Delivery-IEPL 
MMscf</t>
  </si>
  <si>
    <t>FG Delivery-IEPL 
MMbtu</t>
  </si>
  <si>
    <t>Revenue-IEPL
(USD)</t>
  </si>
  <si>
    <t>Price-IEPL 
$/Mmbtu</t>
  </si>
  <si>
    <t>Royalty-IEPL (7%)
USD</t>
  </si>
  <si>
    <t>CIT-IEPL (30%)
USD</t>
  </si>
  <si>
    <t>EDU TAX 
(USD)</t>
  </si>
  <si>
    <t xml:space="preserve">Revenue-RSG 
(NGN) </t>
  </si>
  <si>
    <t>Revenue-RSG
(USD)</t>
  </si>
  <si>
    <t>Royalty-RSG (Rev x 7%) 
USD</t>
  </si>
  <si>
    <t>Transportation (USD)</t>
  </si>
  <si>
    <t>Opex (USD)</t>
  </si>
  <si>
    <t>CIT-RSG (30%) 
USD</t>
  </si>
  <si>
    <t>Year</t>
  </si>
  <si>
    <t>Gas 
MMScf</t>
  </si>
  <si>
    <t>Average Price 
$/MScf</t>
  </si>
  <si>
    <t>CIT (30%)
USD</t>
  </si>
  <si>
    <t>Total</t>
  </si>
  <si>
    <t>check</t>
  </si>
  <si>
    <t>REVENUE- RSG &amp; IEPL $</t>
  </si>
  <si>
    <t>ROYALTY-RSG &amp; IEPL $</t>
  </si>
  <si>
    <t>CIT- RSG &amp; IEPL $</t>
  </si>
  <si>
    <t>EDU-RSG &amp; IEPL $</t>
  </si>
  <si>
    <t>Company Entitlement by JV</t>
  </si>
  <si>
    <t>Transportation $</t>
  </si>
  <si>
    <t>Opex $</t>
  </si>
  <si>
    <t>NET $</t>
  </si>
  <si>
    <t>NAOC TO (REFUND) / BE REFUNDED</t>
  </si>
  <si>
    <t>OANDO (REFUND) / BE REFUNDED</t>
  </si>
  <si>
    <t>NNPC TO (REFUND) / BE REFUNDED</t>
  </si>
  <si>
    <t>TOTAL AND SPDC SHARE</t>
  </si>
  <si>
    <t>EDU TAX (2%) 
(USD)</t>
  </si>
  <si>
    <t>NNPC SHARE IN SPDC JV &amp; NAOC JV</t>
  </si>
  <si>
    <t>SPDC AND TOTAL TO RECEIVE</t>
  </si>
  <si>
    <t>NAOC SHARE IN SPDC JV &amp; NAOC JV</t>
  </si>
  <si>
    <t>Royalty (7%)
USD</t>
  </si>
  <si>
    <t>Revenue 
(USD)</t>
  </si>
  <si>
    <t>MMscf-RSG</t>
  </si>
  <si>
    <t>REVENUE- RSG $</t>
  </si>
  <si>
    <t>ROYALTY-RSG $</t>
  </si>
  <si>
    <t>CIT- RSG $</t>
  </si>
  <si>
    <t>EDU-RSG $</t>
  </si>
  <si>
    <t>SUB-TOTAL '16</t>
  </si>
  <si>
    <t xml:space="preserve"> </t>
  </si>
  <si>
    <t>FG Delivery-IEFCL
MMscf</t>
  </si>
  <si>
    <t>FG Delivery-IEFCL
MMbtu</t>
  </si>
  <si>
    <t>Price-IEFCL
$/Mmbtu</t>
  </si>
  <si>
    <t>Royalty-IEFCL(7%)
USD</t>
  </si>
  <si>
    <t>CIT-IEFCL(30%)
USD</t>
  </si>
  <si>
    <t>ALL</t>
  </si>
  <si>
    <t>NET 
USD</t>
  </si>
  <si>
    <t>Price-IEPL 
$/Mscf</t>
  </si>
  <si>
    <t>TOTAL IEPL</t>
  </si>
  <si>
    <t>SUMMARY (JUNE 2013 to DECEMBER 2016)</t>
  </si>
  <si>
    <t>RVSG Vol 
(MMscf)</t>
  </si>
  <si>
    <t xml:space="preserve">Indorama Vol (MMscf) </t>
  </si>
  <si>
    <t>Total Vol
(MMscf)</t>
  </si>
  <si>
    <t>R/S IPP price ($/Mscf)</t>
  </si>
  <si>
    <t>Indorama price ($/Mscf)</t>
  </si>
  <si>
    <t>Weighted Average Price
($/Mscf)</t>
  </si>
  <si>
    <t>Av. Gas Price ($/Mscf)</t>
  </si>
  <si>
    <t>Opex ($/Mscf)</t>
  </si>
  <si>
    <t>Transport ($/Mscf)</t>
  </si>
  <si>
    <t>End Price ($/Mscf)</t>
  </si>
  <si>
    <t>Vol
(MMscf)
RVSG + IEPL</t>
  </si>
  <si>
    <t>Weighted Av. Gas Price ($/Mscf)</t>
  </si>
  <si>
    <t>Revenue - RVSG+IEPL ($)</t>
  </si>
  <si>
    <t>Gas Transport ($/Mscf)</t>
  </si>
  <si>
    <t>Net ($)</t>
  </si>
  <si>
    <t>NAOC JV Share (35.92%)</t>
  </si>
  <si>
    <t>SPDC JV Share (64.08%)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</si>
</sst>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.00_);_(* \(#,##0.00\);_(* &quot;-&quot;??_);_(@_)"/>
    <numFmt numFmtId="165" formatCode="#,##0.00000"/>
    <numFmt numFmtId="166" formatCode="#,##0.00000_);\(#,##0.00000\)"/>
    <numFmt numFmtId="167" formatCode="_(* #,##0_);_(* \(#,##0\);_(* &quot;-&quot;??_);_(@_)"/>
    <numFmt numFmtId="168" formatCode="#,##0.0000"/>
    <numFmt numFmtId="169" formatCode="_(* #,##0.0000_);_(* \(#,##0.0000\);_(* &quot;-&quot;??_);_(@_)"/>
    <numFmt numFmtId="170" formatCode="_(* #,##0.000_);_(* \(#,##0.000\);_(* &quot;-&quot;??_);_(@_)"/>
    <numFmt numFmtId="171" formatCode="_ * #,##0.00000_ ;_ * \-#,##0.00000_ ;_ * &quot;-&quot;??_ ;_ @_ "/>
    <numFmt numFmtId="172" formatCode="_(* #,##0.00000_);_(* \(#,##0.00000\);_(* &quot;-&quot;??_);_(@_)"/>
    <numFmt numFmtId="173" formatCode="0.000000"/>
    <numFmt numFmtId="17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9" fontId="3" fillId="2" borderId="1" xfId="2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 wrapText="1"/>
    </xf>
    <xf numFmtId="4" fontId="6" fillId="0" borderId="4" xfId="0" applyNumberFormat="1" applyFont="1" applyBorder="1"/>
    <xf numFmtId="17" fontId="5" fillId="0" borderId="3" xfId="4" applyNumberFormat="1" applyFont="1" applyFill="1" applyBorder="1" applyAlignment="1">
      <alignment horizontal="center"/>
    </xf>
    <xf numFmtId="0" fontId="7" fillId="0" borderId="6" xfId="0" applyFont="1" applyBorder="1"/>
    <xf numFmtId="4" fontId="7" fillId="0" borderId="8" xfId="0" applyNumberFormat="1" applyFont="1" applyBorder="1"/>
    <xf numFmtId="4" fontId="7" fillId="0" borderId="7" xfId="0" applyNumberFormat="1" applyFont="1" applyBorder="1"/>
    <xf numFmtId="17" fontId="5" fillId="0" borderId="3" xfId="5" applyNumberFormat="1" applyFont="1" applyFill="1" applyBorder="1" applyAlignment="1">
      <alignment horizontal="center"/>
    </xf>
    <xf numFmtId="17" fontId="5" fillId="0" borderId="3" xfId="6" applyNumberFormat="1" applyFont="1" applyFill="1" applyBorder="1" applyAlignment="1">
      <alignment horizontal="center"/>
    </xf>
    <xf numFmtId="0" fontId="7" fillId="0" borderId="8" xfId="0" applyFont="1" applyBorder="1"/>
    <xf numFmtId="17" fontId="5" fillId="0" borderId="3" xfId="7" applyNumberFormat="1" applyFont="1" applyFill="1" applyBorder="1" applyAlignment="1">
      <alignment horizontal="center"/>
    </xf>
    <xf numFmtId="164" fontId="6" fillId="0" borderId="4" xfId="1" applyFont="1" applyBorder="1"/>
    <xf numFmtId="164" fontId="6" fillId="0" borderId="4" xfId="1" applyNumberFormat="1" applyFont="1" applyBorder="1"/>
    <xf numFmtId="164" fontId="6" fillId="0" borderId="5" xfId="1" applyFont="1" applyBorder="1" applyAlignment="1">
      <alignment horizontal="center"/>
    </xf>
    <xf numFmtId="164" fontId="7" fillId="0" borderId="8" xfId="1" applyFont="1" applyBorder="1"/>
    <xf numFmtId="164" fontId="7" fillId="0" borderId="7" xfId="1" applyFont="1" applyBorder="1"/>
    <xf numFmtId="165" fontId="5" fillId="0" borderId="5" xfId="8" applyNumberFormat="1" applyFont="1" applyBorder="1" applyAlignment="1">
      <alignment horizontal="center"/>
    </xf>
    <xf numFmtId="166" fontId="0" fillId="0" borderId="0" xfId="9" applyNumberFormat="1" applyFont="1" applyBorder="1" applyAlignment="1">
      <alignment horizontal="right"/>
    </xf>
    <xf numFmtId="166" fontId="8" fillId="0" borderId="0" xfId="10" applyNumberFormat="1" applyBorder="1" applyAlignment="1">
      <alignment horizontal="right"/>
    </xf>
    <xf numFmtId="166" fontId="9" fillId="0" borderId="0" xfId="9" applyNumberFormat="1" applyFont="1" applyBorder="1" applyAlignment="1">
      <alignment horizontal="right"/>
    </xf>
    <xf numFmtId="166" fontId="9" fillId="0" borderId="0" xfId="9" applyNumberFormat="1" applyFont="1" applyBorder="1"/>
    <xf numFmtId="166" fontId="0" fillId="0" borderId="0" xfId="9" applyNumberFormat="1" applyFont="1" applyBorder="1"/>
    <xf numFmtId="166" fontId="0" fillId="0" borderId="9" xfId="9" applyNumberFormat="1" applyFont="1" applyBorder="1" applyAlignment="1">
      <alignment horizontal="right"/>
    </xf>
    <xf numFmtId="166" fontId="0" fillId="0" borderId="5" xfId="9" applyNumberFormat="1" applyFont="1" applyBorder="1" applyAlignment="1">
      <alignment horizontal="right"/>
    </xf>
    <xf numFmtId="166" fontId="8" fillId="0" borderId="5" xfId="10" applyNumberFormat="1" applyBorder="1" applyAlignment="1">
      <alignment horizontal="right"/>
    </xf>
    <xf numFmtId="166" fontId="9" fillId="0" borderId="5" xfId="9" applyNumberFormat="1" applyFont="1" applyBorder="1"/>
    <xf numFmtId="166" fontId="0" fillId="0" borderId="10" xfId="9" applyNumberFormat="1" applyFont="1" applyBorder="1"/>
    <xf numFmtId="9" fontId="4" fillId="2" borderId="11" xfId="2" applyFont="1" applyFill="1" applyBorder="1" applyAlignment="1">
      <alignment horizontal="center" vertical="center" wrapText="1"/>
    </xf>
    <xf numFmtId="9" fontId="4" fillId="2" borderId="8" xfId="2" applyFont="1" applyFill="1" applyBorder="1" applyAlignment="1">
      <alignment horizontal="center" vertical="center" wrapText="1"/>
    </xf>
    <xf numFmtId="164" fontId="6" fillId="0" borderId="5" xfId="1" applyFont="1" applyBorder="1"/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8" xfId="0" applyFont="1" applyBorder="1"/>
    <xf numFmtId="0" fontId="10" fillId="4" borderId="8" xfId="0" applyFont="1" applyFill="1" applyBorder="1"/>
    <xf numFmtId="0" fontId="10" fillId="5" borderId="8" xfId="0" applyFont="1" applyFill="1" applyBorder="1"/>
    <xf numFmtId="0" fontId="12" fillId="0" borderId="0" xfId="0" applyFont="1"/>
    <xf numFmtId="167" fontId="0" fillId="0" borderId="0" xfId="0" applyNumberFormat="1"/>
    <xf numFmtId="2" fontId="13" fillId="0" borderId="0" xfId="0" applyNumberFormat="1" applyFont="1" applyAlignment="1">
      <alignment horizontal="center" vertical="center"/>
    </xf>
    <xf numFmtId="167" fontId="0" fillId="0" borderId="0" xfId="1" applyNumberFormat="1" applyFont="1"/>
    <xf numFmtId="168" fontId="7" fillId="0" borderId="8" xfId="0" applyNumberFormat="1" applyFont="1" applyBorder="1"/>
    <xf numFmtId="168" fontId="7" fillId="0" borderId="8" xfId="0" applyNumberFormat="1" applyFont="1" applyBorder="1" applyAlignment="1">
      <alignment horizontal="center" vertical="center"/>
    </xf>
    <xf numFmtId="169" fontId="7" fillId="0" borderId="12" xfId="1" applyNumberFormat="1" applyFont="1" applyBorder="1"/>
    <xf numFmtId="0" fontId="5" fillId="0" borderId="3" xfId="7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7" fontId="6" fillId="0" borderId="4" xfId="1" applyNumberFormat="1" applyFont="1" applyBorder="1"/>
    <xf numFmtId="167" fontId="6" fillId="0" borderId="5" xfId="1" applyNumberFormat="1" applyFont="1" applyBorder="1" applyAlignment="1">
      <alignment horizontal="center"/>
    </xf>
    <xf numFmtId="167" fontId="7" fillId="0" borderId="8" xfId="1" applyNumberFormat="1" applyFont="1" applyBorder="1"/>
    <xf numFmtId="169" fontId="6" fillId="0" borderId="5" xfId="1" applyNumberFormat="1" applyFont="1" applyBorder="1" applyAlignment="1">
      <alignment horizontal="center"/>
    </xf>
    <xf numFmtId="164" fontId="16" fillId="0" borderId="0" xfId="0" applyNumberFormat="1" applyFont="1"/>
    <xf numFmtId="0" fontId="16" fillId="0" borderId="0" xfId="0" applyFont="1"/>
    <xf numFmtId="10" fontId="16" fillId="0" borderId="0" xfId="11" applyNumberFormat="1" applyFont="1"/>
    <xf numFmtId="0" fontId="11" fillId="0" borderId="8" xfId="0" applyFont="1" applyBorder="1"/>
    <xf numFmtId="167" fontId="11" fillId="0" borderId="0" xfId="0" applyNumberFormat="1" applyFont="1"/>
    <xf numFmtId="167" fontId="10" fillId="5" borderId="8" xfId="1" applyNumberFormat="1" applyFont="1" applyFill="1" applyBorder="1"/>
    <xf numFmtId="167" fontId="11" fillId="0" borderId="8" xfId="1" applyNumberFormat="1" applyFont="1" applyBorder="1"/>
    <xf numFmtId="167" fontId="10" fillId="4" borderId="8" xfId="1" applyNumberFormat="1" applyFont="1" applyFill="1" applyBorder="1"/>
    <xf numFmtId="0" fontId="10" fillId="6" borderId="8" xfId="0" applyFont="1" applyFill="1" applyBorder="1"/>
    <xf numFmtId="167" fontId="10" fillId="6" borderId="8" xfId="1" applyNumberFormat="1" applyFont="1" applyFill="1" applyBorder="1"/>
    <xf numFmtId="0" fontId="10" fillId="7" borderId="8" xfId="0" applyFont="1" applyFill="1" applyBorder="1"/>
    <xf numFmtId="167" fontId="10" fillId="7" borderId="8" xfId="1" applyNumberFormat="1" applyFont="1" applyFill="1" applyBorder="1"/>
    <xf numFmtId="167" fontId="10" fillId="7" borderId="7" xfId="1" applyNumberFormat="1" applyFont="1" applyFill="1" applyBorder="1"/>
    <xf numFmtId="0" fontId="17" fillId="0" borderId="0" xfId="0" applyFont="1" applyFill="1"/>
    <xf numFmtId="0" fontId="11" fillId="6" borderId="8" xfId="0" applyFont="1" applyFill="1" applyBorder="1"/>
    <xf numFmtId="167" fontId="11" fillId="6" borderId="8" xfId="1" applyNumberFormat="1" applyFont="1" applyFill="1" applyBorder="1"/>
    <xf numFmtId="167" fontId="11" fillId="6" borderId="7" xfId="1" applyNumberFormat="1" applyFont="1" applyFill="1" applyBorder="1"/>
    <xf numFmtId="0" fontId="11" fillId="4" borderId="8" xfId="0" applyFont="1" applyFill="1" applyBorder="1"/>
    <xf numFmtId="167" fontId="11" fillId="4" borderId="8" xfId="1" applyNumberFormat="1" applyFont="1" applyFill="1" applyBorder="1"/>
    <xf numFmtId="167" fontId="11" fillId="4" borderId="7" xfId="1" applyNumberFormat="1" applyFont="1" applyFill="1" applyBorder="1"/>
    <xf numFmtId="167" fontId="10" fillId="4" borderId="7" xfId="1" applyNumberFormat="1" applyFont="1" applyFill="1" applyBorder="1"/>
    <xf numFmtId="0" fontId="10" fillId="3" borderId="8" xfId="0" applyFont="1" applyFill="1" applyBorder="1" applyAlignment="1">
      <alignment wrapText="1"/>
    </xf>
    <xf numFmtId="167" fontId="10" fillId="3" borderId="8" xfId="1" applyNumberFormat="1" applyFont="1" applyFill="1" applyBorder="1"/>
    <xf numFmtId="164" fontId="10" fillId="0" borderId="8" xfId="1" applyFont="1" applyBorder="1" applyAlignment="1">
      <alignment horizontal="center" vertical="center"/>
    </xf>
    <xf numFmtId="164" fontId="10" fillId="0" borderId="7" xfId="1" applyFont="1" applyBorder="1" applyAlignment="1">
      <alignment horizontal="center" vertical="center"/>
    </xf>
    <xf numFmtId="164" fontId="10" fillId="0" borderId="13" xfId="1" applyFont="1" applyBorder="1" applyAlignment="1">
      <alignment horizontal="center" vertical="center"/>
    </xf>
    <xf numFmtId="167" fontId="11" fillId="0" borderId="15" xfId="0" applyNumberFormat="1" applyFont="1" applyBorder="1"/>
    <xf numFmtId="167" fontId="11" fillId="6" borderId="14" xfId="1" applyNumberFormat="1" applyFont="1" applyFill="1" applyBorder="1"/>
    <xf numFmtId="167" fontId="10" fillId="6" borderId="14" xfId="1" applyNumberFormat="1" applyFont="1" applyFill="1" applyBorder="1"/>
    <xf numFmtId="167" fontId="0" fillId="0" borderId="15" xfId="0" applyNumberFormat="1" applyBorder="1"/>
    <xf numFmtId="167" fontId="11" fillId="4" borderId="14" xfId="1" applyNumberFormat="1" applyFont="1" applyFill="1" applyBorder="1"/>
    <xf numFmtId="167" fontId="10" fillId="4" borderId="14" xfId="1" applyNumberFormat="1" applyFont="1" applyFill="1" applyBorder="1"/>
    <xf numFmtId="167" fontId="11" fillId="0" borderId="14" xfId="1" applyNumberFormat="1" applyFont="1" applyBorder="1"/>
    <xf numFmtId="167" fontId="10" fillId="5" borderId="14" xfId="1" applyNumberFormat="1" applyFont="1" applyFill="1" applyBorder="1"/>
    <xf numFmtId="167" fontId="10" fillId="3" borderId="14" xfId="1" applyNumberFormat="1" applyFont="1" applyFill="1" applyBorder="1"/>
    <xf numFmtId="167" fontId="10" fillId="5" borderId="16" xfId="1" applyNumberFormat="1" applyFont="1" applyFill="1" applyBorder="1"/>
    <xf numFmtId="4" fontId="7" fillId="0" borderId="4" xfId="0" applyNumberFormat="1" applyFont="1" applyFill="1" applyBorder="1"/>
    <xf numFmtId="167" fontId="10" fillId="7" borderId="14" xfId="1" applyNumberFormat="1" applyFont="1" applyFill="1" applyBorder="1"/>
    <xf numFmtId="0" fontId="17" fillId="0" borderId="0" xfId="0" applyFont="1"/>
    <xf numFmtId="170" fontId="0" fillId="0" borderId="0" xfId="1" applyNumberFormat="1" applyFont="1"/>
    <xf numFmtId="166" fontId="6" fillId="0" borderId="9" xfId="9" applyNumberFormat="1" applyFont="1" applyBorder="1" applyAlignment="1">
      <alignment horizontal="right"/>
    </xf>
    <xf numFmtId="166" fontId="6" fillId="0" borderId="5" xfId="9" applyNumberFormat="1" applyFont="1" applyBorder="1" applyAlignment="1">
      <alignment horizontal="right"/>
    </xf>
    <xf numFmtId="166" fontId="8" fillId="0" borderId="5" xfId="10" applyNumberFormat="1" applyFont="1" applyBorder="1" applyAlignment="1">
      <alignment horizontal="right"/>
    </xf>
    <xf numFmtId="166" fontId="5" fillId="0" borderId="5" xfId="9" applyNumberFormat="1" applyFont="1" applyBorder="1"/>
    <xf numFmtId="166" fontId="6" fillId="0" borderId="10" xfId="9" applyNumberFormat="1" applyFont="1" applyBorder="1"/>
    <xf numFmtId="0" fontId="6" fillId="0" borderId="0" xfId="0" applyFont="1"/>
    <xf numFmtId="167" fontId="6" fillId="0" borderId="0" xfId="1" applyNumberFormat="1" applyFont="1"/>
    <xf numFmtId="164" fontId="6" fillId="0" borderId="0" xfId="0" applyNumberFormat="1" applyFont="1"/>
    <xf numFmtId="167" fontId="5" fillId="0" borderId="5" xfId="1" applyNumberFormat="1" applyFont="1" applyBorder="1"/>
    <xf numFmtId="164" fontId="0" fillId="0" borderId="0" xfId="1" applyFont="1"/>
    <xf numFmtId="171" fontId="0" fillId="8" borderId="4" xfId="0" applyNumberFormat="1" applyFill="1" applyBorder="1" applyAlignment="1">
      <alignment horizontal="center"/>
    </xf>
    <xf numFmtId="172" fontId="7" fillId="0" borderId="8" xfId="1" applyNumberFormat="1" applyFont="1" applyBorder="1"/>
    <xf numFmtId="4" fontId="7" fillId="9" borderId="7" xfId="0" applyNumberFormat="1" applyFont="1" applyFill="1" applyBorder="1"/>
    <xf numFmtId="167" fontId="7" fillId="9" borderId="8" xfId="1" applyNumberFormat="1" applyFont="1" applyFill="1" applyBorder="1"/>
    <xf numFmtId="167" fontId="18" fillId="9" borderId="0" xfId="0" applyNumberFormat="1" applyFont="1" applyFill="1"/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wrapText="1"/>
    </xf>
    <xf numFmtId="0" fontId="19" fillId="0" borderId="0" xfId="0" applyFont="1"/>
    <xf numFmtId="0" fontId="13" fillId="0" borderId="17" xfId="0" applyFont="1" applyBorder="1" applyAlignment="1">
      <alignment wrapText="1"/>
    </xf>
    <xf numFmtId="0" fontId="19" fillId="0" borderId="17" xfId="0" applyNumberFormat="1" applyFont="1" applyBorder="1" applyAlignment="1">
      <alignment horizontal="center"/>
    </xf>
    <xf numFmtId="4" fontId="19" fillId="0" borderId="17" xfId="0" applyNumberFormat="1" applyFont="1" applyBorder="1"/>
    <xf numFmtId="164" fontId="19" fillId="0" borderId="17" xfId="0" applyNumberFormat="1" applyFont="1" applyBorder="1"/>
    <xf numFmtId="0" fontId="19" fillId="0" borderId="17" xfId="0" applyFont="1" applyBorder="1" applyAlignment="1">
      <alignment horizontal="center"/>
    </xf>
    <xf numFmtId="173" fontId="19" fillId="0" borderId="17" xfId="0" applyNumberFormat="1" applyFont="1" applyBorder="1" applyAlignment="1">
      <alignment horizontal="left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wrapText="1"/>
    </xf>
    <xf numFmtId="0" fontId="13" fillId="0" borderId="17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/>
    </xf>
    <xf numFmtId="2" fontId="19" fillId="0" borderId="19" xfId="0" applyNumberFormat="1" applyFont="1" applyBorder="1"/>
    <xf numFmtId="2" fontId="19" fillId="0" borderId="17" xfId="0" applyNumberFormat="1" applyFont="1" applyBorder="1"/>
    <xf numFmtId="0" fontId="19" fillId="0" borderId="24" xfId="0" applyFont="1" applyBorder="1" applyAlignment="1">
      <alignment horizontal="center"/>
    </xf>
    <xf numFmtId="2" fontId="19" fillId="0" borderId="21" xfId="0" applyNumberFormat="1" applyFont="1" applyBorder="1"/>
    <xf numFmtId="2" fontId="19" fillId="0" borderId="20" xfId="0" applyNumberFormat="1" applyFont="1" applyBorder="1"/>
    <xf numFmtId="0" fontId="19" fillId="0" borderId="8" xfId="0" applyFont="1" applyFill="1" applyBorder="1" applyAlignment="1">
      <alignment horizontal="center"/>
    </xf>
    <xf numFmtId="2" fontId="19" fillId="0" borderId="8" xfId="0" applyNumberFormat="1" applyFont="1" applyBorder="1"/>
    <xf numFmtId="2" fontId="19" fillId="0" borderId="7" xfId="0" applyNumberFormat="1" applyFont="1" applyBorder="1"/>
    <xf numFmtId="0" fontId="19" fillId="0" borderId="17" xfId="0" applyFont="1" applyBorder="1"/>
    <xf numFmtId="167" fontId="19" fillId="0" borderId="17" xfId="0" applyNumberFormat="1" applyFont="1" applyBorder="1"/>
    <xf numFmtId="167" fontId="13" fillId="0" borderId="17" xfId="0" applyNumberFormat="1" applyFont="1" applyBorder="1"/>
    <xf numFmtId="174" fontId="13" fillId="0" borderId="17" xfId="0" applyNumberFormat="1" applyFont="1" applyBorder="1"/>
    <xf numFmtId="43" fontId="13" fillId="0" borderId="17" xfId="0" applyNumberFormat="1" applyFont="1" applyBorder="1"/>
    <xf numFmtId="0" fontId="17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wrapText="1"/>
    </xf>
    <xf numFmtId="0" fontId="17" fillId="0" borderId="17" xfId="0" applyFont="1" applyBorder="1" applyAlignment="1">
      <alignment horizontal="center" vertical="center" wrapText="1"/>
    </xf>
    <xf numFmtId="0" fontId="13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43" fontId="0" fillId="0" borderId="0" xfId="0" applyNumberFormat="1"/>
    <xf numFmtId="164" fontId="20" fillId="0" borderId="4" xfId="1" applyFont="1" applyBorder="1"/>
    <xf numFmtId="164" fontId="21" fillId="0" borderId="7" xfId="1" applyFont="1" applyBorder="1"/>
    <xf numFmtId="169" fontId="21" fillId="0" borderId="5" xfId="1" applyNumberFormat="1" applyFont="1" applyBorder="1" applyAlignment="1">
      <alignment horizontal="center"/>
    </xf>
    <xf numFmtId="167" fontId="13" fillId="9" borderId="0" xfId="0" applyNumberFormat="1" applyFont="1" applyFill="1"/>
    <xf numFmtId="0" fontId="13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9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wrapText="1"/>
    </xf>
    <xf numFmtId="0" fontId="13" fillId="0" borderId="0" xfId="0" applyNumberFormat="1" applyFont="1" applyBorder="1" applyAlignment="1">
      <alignment horizontal="center"/>
    </xf>
    <xf numFmtId="4" fontId="19" fillId="0" borderId="0" xfId="0" applyNumberFormat="1" applyFont="1" applyBorder="1"/>
    <xf numFmtId="164" fontId="19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wrapText="1"/>
    </xf>
    <xf numFmtId="0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173" fontId="19" fillId="0" borderId="0" xfId="0" applyNumberFormat="1" applyFont="1" applyBorder="1" applyAlignment="1">
      <alignment horizontal="left"/>
    </xf>
    <xf numFmtId="2" fontId="19" fillId="0" borderId="30" xfId="0" applyNumberFormat="1" applyFont="1" applyBorder="1"/>
    <xf numFmtId="0" fontId="19" fillId="0" borderId="12" xfId="0" applyFont="1" applyFill="1" applyBorder="1" applyAlignment="1">
      <alignment horizontal="center"/>
    </xf>
    <xf numFmtId="0" fontId="19" fillId="0" borderId="12" xfId="0" applyFont="1" applyBorder="1"/>
    <xf numFmtId="2" fontId="19" fillId="0" borderId="12" xfId="0" applyNumberFormat="1" applyFont="1" applyBorder="1"/>
    <xf numFmtId="0" fontId="17" fillId="0" borderId="0" xfId="0" applyFont="1" applyBorder="1" applyAlignment="1">
      <alignment horizontal="center" vertical="center" wrapText="1"/>
    </xf>
    <xf numFmtId="167" fontId="19" fillId="0" borderId="0" xfId="0" applyNumberFormat="1" applyFont="1" applyBorder="1"/>
    <xf numFmtId="167" fontId="13" fillId="0" borderId="0" xfId="0" applyNumberFormat="1" applyFont="1" applyBorder="1"/>
    <xf numFmtId="43" fontId="13" fillId="0" borderId="0" xfId="0" applyNumberFormat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wrapText="1"/>
    </xf>
    <xf numFmtId="2" fontId="19" fillId="0" borderId="0" xfId="0" applyNumberFormat="1" applyFont="1" applyBorder="1"/>
    <xf numFmtId="0" fontId="13" fillId="0" borderId="0" xfId="0" applyFont="1" applyBorder="1" applyAlignment="1">
      <alignment horizontal="center" vertical="center" wrapText="1"/>
    </xf>
    <xf numFmtId="2" fontId="19" fillId="0" borderId="28" xfId="0" applyNumberFormat="1" applyFont="1" applyBorder="1"/>
    <xf numFmtId="174" fontId="13" fillId="0" borderId="0" xfId="0" applyNumberFormat="1" applyFont="1" applyBorder="1"/>
    <xf numFmtId="4" fontId="7" fillId="0" borderId="0" xfId="0" applyNumberFormat="1" applyFont="1" applyFill="1" applyBorder="1"/>
    <xf numFmtId="0" fontId="0" fillId="0" borderId="0" xfId="0" applyBorder="1"/>
  </cellXfs>
  <cellStyles count="12">
    <cellStyle name="Comma" xfId="1" builtinId="3"/>
    <cellStyle name="Comma 10" xfId="7"/>
    <cellStyle name="Comma 2" xfId="9"/>
    <cellStyle name="Comma 6" xfId="3"/>
    <cellStyle name="Comma 7" xfId="4"/>
    <cellStyle name="Comma 8" xfId="5"/>
    <cellStyle name="Comma 9" xfId="6"/>
    <cellStyle name="Normal" xfId="0" builtinId="0"/>
    <cellStyle name="Normal 2" xfId="10"/>
    <cellStyle name="Normal 3" xfId="8"/>
    <cellStyle name="Percent" xfId="11" builtinId="5"/>
    <cellStyle name="Percent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7.Economic%20Evaluation\1_NAOC_JV\2016.10.31%20Samabri%20Biseni%20GSAA\Samabri-gas-17-02-2017-%20Gas%20Busin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7.Economic%20Evaluation\1_NAOC_JV\2016.10.31%20Samabri%20Biseni%20GSAA\Samabri_Calcs%20Sent%20v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7.Economic%20Evaluation\1_NAOC_JV\2018.03.12%20Samabiri%20Biseni%20GSAA\Samabri-gas-17-02-2017-%20Gas%20Business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7.Economic%20Evaluation\1_NAOC_JV\2018.03.12%20Samabiri%20Biseni%20GSAA\NAOC%20JV%20Gas%20%20NGL%20Supply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7.Economic%20Evaluation\1_NAOC_JV\2018.03.12%20Samabiri%20Biseni%20GSAA\Samabri_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</sheetNames>
    <sheetDataSet>
      <sheetData sheetId="0">
        <row r="4">
          <cell r="G4">
            <v>63.609243909709285</v>
          </cell>
          <cell r="H4">
            <v>336.44889388720446</v>
          </cell>
        </row>
        <row r="5">
          <cell r="G5">
            <v>31.550141652735597</v>
          </cell>
          <cell r="H5">
            <v>166.8784222009474</v>
          </cell>
        </row>
        <row r="6">
          <cell r="G6">
            <v>68.150031068072593</v>
          </cell>
          <cell r="H6">
            <v>360.46651652986822</v>
          </cell>
        </row>
        <row r="7">
          <cell r="G7">
            <v>58.278777636361355</v>
          </cell>
          <cell r="H7">
            <v>308.25441504515658</v>
          </cell>
        </row>
        <row r="8">
          <cell r="G8">
            <v>57.720667886300056</v>
          </cell>
          <cell r="H8">
            <v>305.30240058099588</v>
          </cell>
        </row>
        <row r="9">
          <cell r="G9">
            <v>67.549182621798735</v>
          </cell>
          <cell r="H9">
            <v>357.28844393039452</v>
          </cell>
        </row>
        <row r="10">
          <cell r="G10">
            <v>44.702217782176199</v>
          </cell>
          <cell r="H10">
            <v>236.4438060050955</v>
          </cell>
        </row>
        <row r="12">
          <cell r="G12">
            <v>67.553999782244702</v>
          </cell>
          <cell r="H12">
            <v>314.10701593665192</v>
          </cell>
        </row>
        <row r="13">
          <cell r="G13">
            <v>55.564932836415394</v>
          </cell>
          <cell r="H13">
            <v>258.3612413806207</v>
          </cell>
        </row>
        <row r="14">
          <cell r="G14">
            <v>75.310160568770669</v>
          </cell>
          <cell r="H14">
            <v>350.17097258812578</v>
          </cell>
        </row>
        <row r="15">
          <cell r="G15">
            <v>42.626575502063552</v>
          </cell>
          <cell r="H15">
            <v>198.20153467908648</v>
          </cell>
        </row>
        <row r="16">
          <cell r="G16">
            <v>8.5563629641167083</v>
          </cell>
          <cell r="H16">
            <v>39.784670731457922</v>
          </cell>
        </row>
        <row r="17">
          <cell r="G17">
            <v>37.548481453050975</v>
          </cell>
          <cell r="H17">
            <v>174.58983184102232</v>
          </cell>
        </row>
        <row r="18">
          <cell r="G18">
            <v>57.304907716801857</v>
          </cell>
          <cell r="H18">
            <v>266.45163305608997</v>
          </cell>
        </row>
        <row r="19">
          <cell r="G19">
            <v>16.74523280810298</v>
          </cell>
          <cell r="H19">
            <v>77.860602265925152</v>
          </cell>
        </row>
        <row r="20">
          <cell r="G20">
            <v>59.650429719757469</v>
          </cell>
          <cell r="H20">
            <v>277.3576477929966</v>
          </cell>
        </row>
        <row r="21">
          <cell r="G21">
            <v>12.61120639120599</v>
          </cell>
          <cell r="H21">
            <v>58.63854723142672</v>
          </cell>
        </row>
        <row r="22">
          <cell r="G22">
            <v>11.401404066846643</v>
          </cell>
          <cell r="H22">
            <v>53.013308175224786</v>
          </cell>
        </row>
        <row r="23">
          <cell r="G23">
            <v>12.754657967777495</v>
          </cell>
          <cell r="H23">
            <v>59.305556539439998</v>
          </cell>
        </row>
        <row r="25">
          <cell r="G25">
            <v>26.508050586328583</v>
          </cell>
          <cell r="H25">
            <v>96.785207954734602</v>
          </cell>
        </row>
        <row r="26">
          <cell r="G26">
            <v>25.037883281276631</v>
          </cell>
          <cell r="H26">
            <v>91.417387794428635</v>
          </cell>
        </row>
        <row r="27">
          <cell r="G27">
            <v>16.684627329104902</v>
          </cell>
          <cell r="H27">
            <v>60.918290480685343</v>
          </cell>
        </row>
        <row r="28">
          <cell r="G28">
            <v>25.052943999084537</v>
          </cell>
          <cell r="H28">
            <v>91.472376926890064</v>
          </cell>
        </row>
        <row r="29">
          <cell r="G29">
            <v>25.591564809327263</v>
          </cell>
          <cell r="H29">
            <v>93.438969187543734</v>
          </cell>
        </row>
        <row r="30">
          <cell r="G30">
            <v>29.905711627740256</v>
          </cell>
          <cell r="H30">
            <v>109.19062152454001</v>
          </cell>
        </row>
        <row r="31">
          <cell r="G31">
            <v>53.29088627449962</v>
          </cell>
          <cell r="H31">
            <v>194.57370104875443</v>
          </cell>
        </row>
        <row r="32">
          <cell r="G32">
            <v>74.482785802767054</v>
          </cell>
          <cell r="H32">
            <v>271.9487760705681</v>
          </cell>
        </row>
        <row r="33">
          <cell r="G33">
            <v>43.645279128623386</v>
          </cell>
          <cell r="H33">
            <v>159.35601914404356</v>
          </cell>
        </row>
        <row r="34">
          <cell r="G34">
            <v>36.224886396509561</v>
          </cell>
          <cell r="H34">
            <v>132.26295730818606</v>
          </cell>
        </row>
        <row r="35">
          <cell r="G35">
            <v>46.142442844726368</v>
          </cell>
          <cell r="H35">
            <v>168.47357038655909</v>
          </cell>
        </row>
        <row r="36">
          <cell r="G36">
            <v>21.525434682065459</v>
          </cell>
          <cell r="H36">
            <v>78.592866164750646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</sheetNames>
    <sheetDataSet>
      <sheetData sheetId="0">
        <row r="6">
          <cell r="K6">
            <v>0.52195000000000003</v>
          </cell>
          <cell r="L6">
            <v>0.44000000000000006</v>
          </cell>
        </row>
        <row r="7">
          <cell r="K7">
            <v>0.61182000000000003</v>
          </cell>
          <cell r="L7">
            <v>0.4537652801619449</v>
          </cell>
        </row>
        <row r="8">
          <cell r="K8">
            <v>0.33033000000000001</v>
          </cell>
          <cell r="L8">
            <v>0.45409492147676445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</sheetNames>
    <sheetDataSet>
      <sheetData sheetId="0">
        <row r="38">
          <cell r="G38">
            <v>26.597926339021729</v>
          </cell>
          <cell r="H38">
            <v>63.277324758156531</v>
          </cell>
          <cell r="I38">
            <v>124.62415486267439</v>
          </cell>
        </row>
        <row r="39">
          <cell r="G39">
            <v>21.438086580647937</v>
          </cell>
          <cell r="H39">
            <v>51.001899526541457</v>
          </cell>
          <cell r="I39">
            <v>100.44780889803589</v>
          </cell>
        </row>
        <row r="40">
          <cell r="G40">
            <v>22.698398358785553</v>
          </cell>
          <cell r="H40">
            <v>54.000221901949494</v>
          </cell>
          <cell r="I40">
            <v>106.35297940689037</v>
          </cell>
        </row>
        <row r="41">
          <cell r="G41">
            <v>23.146667455201484</v>
          </cell>
          <cell r="H41">
            <v>55.066668542616434</v>
          </cell>
          <cell r="I41">
            <v>108.4533370280005</v>
          </cell>
        </row>
        <row r="42">
          <cell r="G42">
            <v>17.549690110389228</v>
          </cell>
          <cell r="H42">
            <v>41.751278891651793</v>
          </cell>
          <cell r="I42">
            <v>82.228789952710827</v>
          </cell>
        </row>
        <row r="43">
          <cell r="G43">
            <v>3.8738883108019229</v>
          </cell>
          <cell r="H43">
            <v>9.2161052555368332</v>
          </cell>
          <cell r="I43">
            <v>18.151041198192878</v>
          </cell>
        </row>
        <row r="44">
          <cell r="G44">
            <v>23.268092117070275</v>
          </cell>
          <cell r="H44">
            <v>55.355541730126866</v>
          </cell>
          <cell r="I44">
            <v>109.02227032272442</v>
          </cell>
        </row>
        <row r="45">
          <cell r="G45">
            <v>10.93290397290798</v>
          </cell>
          <cell r="H45">
            <v>26.009731225869789</v>
          </cell>
          <cell r="I45">
            <v>51.22594522789948</v>
          </cell>
        </row>
        <row r="46">
          <cell r="G46">
            <v>0.5764684513880669</v>
          </cell>
          <cell r="H46">
            <v>1.3714370416087076</v>
          </cell>
          <cell r="I46">
            <v>2.7010336311005392</v>
          </cell>
        </row>
        <row r="47">
          <cell r="G47">
            <v>21.097879550041913</v>
          </cell>
          <cell r="H47">
            <v>50.192536026309391</v>
          </cell>
          <cell r="I47">
            <v>98.853774343341541</v>
          </cell>
        </row>
        <row r="48">
          <cell r="G48">
            <v>34.882279522344355</v>
          </cell>
          <cell r="H48">
            <v>82.986068218480526</v>
          </cell>
          <cell r="I48">
            <v>163.44035808453282</v>
          </cell>
        </row>
        <row r="49">
          <cell r="G49">
            <v>26.210510365259751</v>
          </cell>
          <cell r="H49">
            <v>62.355649659287309</v>
          </cell>
          <cell r="I49">
            <v>122.80892356625738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</sheetNames>
    <sheetDataSet>
      <sheetData sheetId="0"/>
      <sheetData sheetId="1">
        <row r="5">
          <cell r="F5">
            <v>77.396119999999996</v>
          </cell>
          <cell r="K5">
            <v>1.3368800000000001</v>
          </cell>
        </row>
        <row r="6">
          <cell r="F6">
            <v>77.396119999999996</v>
          </cell>
          <cell r="K6">
            <v>1.3368800000000001</v>
          </cell>
        </row>
        <row r="7">
          <cell r="F7">
            <v>77.396119999999996</v>
          </cell>
          <cell r="K7">
            <v>1.3368800000000001</v>
          </cell>
        </row>
        <row r="8">
          <cell r="F8">
            <v>77.396119999999996</v>
          </cell>
          <cell r="K8">
            <v>1.3368800000000001</v>
          </cell>
        </row>
        <row r="9">
          <cell r="F9">
            <v>77.396119999999996</v>
          </cell>
          <cell r="K9">
            <v>1.3368800000000001</v>
          </cell>
        </row>
        <row r="10">
          <cell r="F10">
            <v>77.396119999999996</v>
          </cell>
          <cell r="K10">
            <v>1.3368800000000001</v>
          </cell>
        </row>
        <row r="11">
          <cell r="F11">
            <v>77.396119999999996</v>
          </cell>
          <cell r="K11">
            <v>1.3361799999999999</v>
          </cell>
        </row>
        <row r="12">
          <cell r="F12">
            <v>77.396119999999996</v>
          </cell>
          <cell r="K12">
            <v>1.3361799999999999</v>
          </cell>
        </row>
        <row r="13">
          <cell r="F13">
            <v>77.396119999999996</v>
          </cell>
          <cell r="K13">
            <v>1.3361799999999999</v>
          </cell>
        </row>
        <row r="14">
          <cell r="F14">
            <v>77.396119999999996</v>
          </cell>
          <cell r="K14">
            <v>1.3361799999999999</v>
          </cell>
        </row>
        <row r="15">
          <cell r="F15">
            <v>77.396119999999996</v>
          </cell>
          <cell r="K15">
            <v>1.3361799999999999</v>
          </cell>
        </row>
        <row r="16">
          <cell r="F16">
            <v>77.396119999999996</v>
          </cell>
          <cell r="K16">
            <v>1.3361799999999999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</sheetNames>
    <sheetDataSet>
      <sheetData sheetId="0">
        <row r="9">
          <cell r="K9">
            <v>0.286152774948987</v>
          </cell>
          <cell r="L9">
            <v>0.45971434613003942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topLeftCell="A7" zoomScaleNormal="100" workbookViewId="0">
      <selection activeCell="F34" sqref="F34"/>
    </sheetView>
  </sheetViews>
  <sheetFormatPr defaultRowHeight="15" x14ac:dyDescent="0.25"/>
  <cols>
    <col min="1" max="1" width="43.5703125" bestFit="1" customWidth="1"/>
    <col min="2" max="2" width="20.5703125" bestFit="1" customWidth="1"/>
    <col min="3" max="3" width="25.42578125" customWidth="1"/>
    <col min="4" max="4" width="19.7109375" bestFit="1" customWidth="1"/>
    <col min="5" max="5" width="19.7109375" customWidth="1"/>
    <col min="6" max="6" width="20.140625" customWidth="1"/>
    <col min="7" max="7" width="7" bestFit="1" customWidth="1"/>
    <col min="8" max="8" width="3.85546875" customWidth="1"/>
    <col min="9" max="9" width="25.140625" bestFit="1" customWidth="1"/>
    <col min="10" max="10" width="19.140625" bestFit="1" customWidth="1"/>
    <col min="11" max="11" width="20.140625" customWidth="1"/>
  </cols>
  <sheetData>
    <row r="2" spans="1:11" ht="18.75" x14ac:dyDescent="0.3">
      <c r="A2" s="37" t="s">
        <v>23</v>
      </c>
      <c r="F2" s="99"/>
    </row>
    <row r="3" spans="1:11" ht="20.25" customHeight="1" thickBot="1" x14ac:dyDescent="0.3">
      <c r="A3" s="32" t="s">
        <v>80</v>
      </c>
      <c r="B3" s="33"/>
      <c r="C3" s="33"/>
      <c r="D3" s="33"/>
      <c r="E3" s="33"/>
      <c r="F3" s="33"/>
      <c r="I3" s="33"/>
      <c r="J3" s="33"/>
      <c r="K3" s="33"/>
    </row>
    <row r="4" spans="1:11" ht="17.25" thickTop="1" thickBot="1" x14ac:dyDescent="0.3">
      <c r="A4" s="34"/>
      <c r="B4" s="73" t="s">
        <v>5</v>
      </c>
      <c r="C4" s="74" t="s">
        <v>46</v>
      </c>
      <c r="D4" s="73" t="s">
        <v>51</v>
      </c>
      <c r="E4" s="74" t="s">
        <v>52</v>
      </c>
      <c r="F4" s="75" t="s">
        <v>53</v>
      </c>
      <c r="G4" s="52"/>
      <c r="I4" s="73" t="s">
        <v>47</v>
      </c>
      <c r="J4" s="74" t="s">
        <v>48</v>
      </c>
      <c r="K4" s="74" t="s">
        <v>49</v>
      </c>
    </row>
    <row r="5" spans="1:11" ht="16.5" thickBot="1" x14ac:dyDescent="0.3">
      <c r="A5" s="60" t="s">
        <v>6</v>
      </c>
      <c r="B5" s="61">
        <f>+'NAOC JV FG Supply'!B124</f>
        <v>8893.8049859201328</v>
      </c>
      <c r="C5" s="62">
        <f>'NAOC JV FG Supply'!D124</f>
        <v>10811039.402807219</v>
      </c>
      <c r="D5" s="61">
        <f>+'NAOC JV FG Supply'!F124</f>
        <v>4013594.7612906224</v>
      </c>
      <c r="E5" s="62">
        <f>+'NAOC JV FG Supply'!G124</f>
        <v>4054815.1413048413</v>
      </c>
      <c r="F5" s="87">
        <f>C5-SUM(D5:E5)</f>
        <v>2742629.5002117548</v>
      </c>
      <c r="G5" s="52"/>
      <c r="H5" s="31"/>
      <c r="I5" s="61">
        <f>+'NAOC JV FG Supply'!E124</f>
        <v>756772.75819650537</v>
      </c>
      <c r="J5" s="62">
        <f>+'NAOC JV FG Supply'!I124</f>
        <v>773135.0388619923</v>
      </c>
      <c r="K5" s="62">
        <f>+'NAOC JV FG Supply'!H124</f>
        <v>39717.134840304985</v>
      </c>
    </row>
    <row r="6" spans="1:11" ht="15.75" x14ac:dyDescent="0.25">
      <c r="A6" s="33"/>
      <c r="B6" s="54"/>
      <c r="C6" s="54"/>
      <c r="D6" s="54"/>
      <c r="E6" s="54"/>
      <c r="F6" s="76"/>
      <c r="G6" s="52"/>
      <c r="H6" s="40"/>
      <c r="I6" s="54"/>
      <c r="J6" s="54"/>
      <c r="K6" s="54"/>
    </row>
    <row r="7" spans="1:11" ht="16.5" thickBot="1" x14ac:dyDescent="0.3">
      <c r="A7" s="63" t="s">
        <v>18</v>
      </c>
      <c r="B7" s="54"/>
      <c r="C7" s="54"/>
      <c r="D7" s="54"/>
      <c r="E7" s="54"/>
      <c r="F7" s="76"/>
      <c r="G7" s="52"/>
      <c r="H7" s="31"/>
      <c r="I7" s="54"/>
      <c r="J7" s="54"/>
      <c r="K7" s="54"/>
    </row>
    <row r="8" spans="1:11" ht="16.5" thickBot="1" x14ac:dyDescent="0.3">
      <c r="A8" s="64" t="s">
        <v>15</v>
      </c>
      <c r="B8" s="65">
        <f>B5*$G$8</f>
        <v>5336.2829915520797</v>
      </c>
      <c r="C8" s="65">
        <f>C5*$G$8</f>
        <v>6486623.641684331</v>
      </c>
      <c r="D8" s="65">
        <f>D5*$G$8</f>
        <v>2408156.8567743734</v>
      </c>
      <c r="E8" s="65">
        <f>E5*$G$8</f>
        <v>2432889.0847829045</v>
      </c>
      <c r="F8" s="77">
        <f t="shared" ref="F8:F10" si="0">C8-SUM(D8:E8)</f>
        <v>1645577.7001270531</v>
      </c>
      <c r="G8" s="52">
        <v>0.6</v>
      </c>
      <c r="I8" s="65">
        <f>I5*$G$8</f>
        <v>454063.65491790319</v>
      </c>
      <c r="J8" s="65">
        <f>J5*$G$8</f>
        <v>463881.02331719536</v>
      </c>
      <c r="K8" s="65">
        <f>K5*$G$8</f>
        <v>23830.28090418299</v>
      </c>
    </row>
    <row r="9" spans="1:11" ht="16.5" thickBot="1" x14ac:dyDescent="0.3">
      <c r="A9" s="64" t="s">
        <v>7</v>
      </c>
      <c r="B9" s="65">
        <f>B5*G9</f>
        <v>1778.7609971840266</v>
      </c>
      <c r="C9" s="66">
        <f>C5*G9</f>
        <v>2162207.880561444</v>
      </c>
      <c r="D9" s="66">
        <f>D5*G9</f>
        <v>802718.95225812448</v>
      </c>
      <c r="E9" s="66">
        <f>E5*G9</f>
        <v>810963.02826096828</v>
      </c>
      <c r="F9" s="77">
        <f t="shared" si="0"/>
        <v>548525.90004235134</v>
      </c>
      <c r="G9" s="52">
        <v>0.2</v>
      </c>
      <c r="I9" s="65">
        <f>I5*G9</f>
        <v>151354.55163930109</v>
      </c>
      <c r="J9" s="66">
        <f>J5*G9</f>
        <v>154627.00777239847</v>
      </c>
      <c r="K9" s="66">
        <f>K5*G9</f>
        <v>7943.4269680609978</v>
      </c>
    </row>
    <row r="10" spans="1:11" ht="16.5" thickBot="1" x14ac:dyDescent="0.3">
      <c r="A10" s="64" t="s">
        <v>19</v>
      </c>
      <c r="B10" s="65">
        <f>B9</f>
        <v>1778.7609971840266</v>
      </c>
      <c r="C10" s="65">
        <f>C9</f>
        <v>2162207.880561444</v>
      </c>
      <c r="D10" s="65">
        <f t="shared" ref="D10:E10" si="1">D9</f>
        <v>802718.95225812448</v>
      </c>
      <c r="E10" s="65">
        <f t="shared" si="1"/>
        <v>810963.02826096828</v>
      </c>
      <c r="F10" s="77">
        <f t="shared" si="0"/>
        <v>548525.90004235134</v>
      </c>
      <c r="G10" s="52">
        <v>0.2</v>
      </c>
      <c r="I10" s="65">
        <f>I9</f>
        <v>151354.55163930109</v>
      </c>
      <c r="J10" s="65">
        <f>J9</f>
        <v>154627.00777239847</v>
      </c>
      <c r="K10" s="65">
        <f>K9</f>
        <v>7943.4269680609978</v>
      </c>
    </row>
    <row r="11" spans="1:11" ht="16.5" thickBot="1" x14ac:dyDescent="0.3">
      <c r="A11" s="58" t="s">
        <v>11</v>
      </c>
      <c r="B11" s="59">
        <f>SUM(B8:B10)</f>
        <v>8893.8049859201328</v>
      </c>
      <c r="C11" s="59">
        <f t="shared" ref="C11:E11" si="2">SUM(C8:C10)</f>
        <v>10811039.402807221</v>
      </c>
      <c r="D11" s="59">
        <f t="shared" si="2"/>
        <v>4013594.7612906224</v>
      </c>
      <c r="E11" s="59">
        <f t="shared" si="2"/>
        <v>4054815.1413048408</v>
      </c>
      <c r="F11" s="78">
        <f>SUM(F8:F10)</f>
        <v>2742629.5002117557</v>
      </c>
      <c r="G11" s="52"/>
      <c r="I11" s="59">
        <f>SUM(I8:I10)</f>
        <v>756772.75819650537</v>
      </c>
      <c r="J11" s="59">
        <f>SUM(J8:J10)</f>
        <v>773135.0388619923</v>
      </c>
      <c r="K11" s="59">
        <f>SUM(K8:K10)</f>
        <v>39717.134840304985</v>
      </c>
    </row>
    <row r="12" spans="1:11" x14ac:dyDescent="0.25">
      <c r="B12" s="38"/>
      <c r="C12" s="38"/>
      <c r="D12" s="38"/>
      <c r="E12" s="38"/>
      <c r="F12" s="79"/>
      <c r="G12" s="52"/>
      <c r="I12" s="38"/>
      <c r="J12" s="38"/>
      <c r="K12" s="38"/>
    </row>
    <row r="13" spans="1:11" ht="16.5" thickBot="1" x14ac:dyDescent="0.3">
      <c r="A13" s="63" t="s">
        <v>20</v>
      </c>
      <c r="B13" s="38"/>
      <c r="C13" s="38"/>
      <c r="D13" s="38"/>
      <c r="E13" s="38"/>
      <c r="F13" s="79"/>
      <c r="G13" s="52"/>
      <c r="I13" s="38"/>
      <c r="J13" s="38"/>
      <c r="K13" s="38"/>
    </row>
    <row r="14" spans="1:11" ht="16.5" thickBot="1" x14ac:dyDescent="0.3">
      <c r="A14" s="67" t="s">
        <v>8</v>
      </c>
      <c r="B14" s="68">
        <f>B5*G14</f>
        <v>3194.6547509425118</v>
      </c>
      <c r="C14" s="69">
        <f>C5*G14</f>
        <v>3883325.3534883531</v>
      </c>
      <c r="D14" s="69">
        <f>D5*G14</f>
        <v>1441683.2382555916</v>
      </c>
      <c r="E14" s="69">
        <f>E5*G14</f>
        <v>1456489.5987566991</v>
      </c>
      <c r="F14" s="80">
        <f t="shared" ref="F14:F15" si="3">C14-SUM(D14:E14)</f>
        <v>985152.51647606213</v>
      </c>
      <c r="G14" s="52">
        <v>0.35920000000000002</v>
      </c>
      <c r="I14" s="68">
        <f>I5*G14</f>
        <v>271832.77474418475</v>
      </c>
      <c r="J14" s="69">
        <f>J5*G14</f>
        <v>277710.10595922766</v>
      </c>
      <c r="K14" s="69">
        <f>K5*G14</f>
        <v>14266.394834637551</v>
      </c>
    </row>
    <row r="15" spans="1:11" ht="16.5" thickBot="1" x14ac:dyDescent="0.3">
      <c r="A15" s="67" t="s">
        <v>9</v>
      </c>
      <c r="B15" s="68">
        <f>B5*G15</f>
        <v>5699.150234977621</v>
      </c>
      <c r="C15" s="69">
        <f>C5*G15</f>
        <v>6927714.0493188659</v>
      </c>
      <c r="D15" s="69">
        <f>D5*G15</f>
        <v>2571911.5230350308</v>
      </c>
      <c r="E15" s="69">
        <f>E5*G15</f>
        <v>2598325.5425481424</v>
      </c>
      <c r="F15" s="80">
        <f t="shared" si="3"/>
        <v>1757476.9837356927</v>
      </c>
      <c r="G15" s="52">
        <v>0.64080000000000004</v>
      </c>
      <c r="I15" s="68">
        <f>I5*G15</f>
        <v>484939.98345232068</v>
      </c>
      <c r="J15" s="69">
        <f>J5*G15</f>
        <v>495424.9329027647</v>
      </c>
      <c r="K15" s="69">
        <f>K5*G15</f>
        <v>25450.740005667434</v>
      </c>
    </row>
    <row r="16" spans="1:11" ht="16.5" thickBot="1" x14ac:dyDescent="0.3">
      <c r="A16" s="35" t="s">
        <v>11</v>
      </c>
      <c r="B16" s="57">
        <f>SUM(B14:B15)</f>
        <v>8893.8049859201328</v>
      </c>
      <c r="C16" s="70">
        <f>SUM(C14:C15)</f>
        <v>10811039.402807219</v>
      </c>
      <c r="D16" s="70">
        <f t="shared" ref="D16:E16" si="4">SUM(D14:D15)</f>
        <v>4013594.7612906224</v>
      </c>
      <c r="E16" s="70">
        <f t="shared" si="4"/>
        <v>4054815.1413048413</v>
      </c>
      <c r="F16" s="81">
        <f>SUM(F14:F15)</f>
        <v>2742629.5002117548</v>
      </c>
      <c r="G16" s="52"/>
      <c r="I16" s="57">
        <f>SUM(I14:I15)</f>
        <v>756772.75819650549</v>
      </c>
      <c r="J16" s="70">
        <f>SUM(J14:J15)</f>
        <v>773135.0388619923</v>
      </c>
      <c r="K16" s="70">
        <f>SUM(K14:K15)</f>
        <v>39717.134840304985</v>
      </c>
    </row>
    <row r="17" spans="1:11" x14ac:dyDescent="0.25">
      <c r="B17" s="38"/>
      <c r="C17" s="38"/>
      <c r="D17" s="38"/>
      <c r="E17" s="38"/>
      <c r="F17" s="79"/>
      <c r="G17" s="52"/>
      <c r="I17" s="38"/>
      <c r="J17" s="38"/>
      <c r="K17" s="38"/>
    </row>
    <row r="18" spans="1:11" ht="16.5" thickBot="1" x14ac:dyDescent="0.3">
      <c r="A18" s="63" t="s">
        <v>50</v>
      </c>
      <c r="B18" s="38"/>
      <c r="C18" s="38"/>
      <c r="D18" s="38"/>
      <c r="E18" s="38"/>
      <c r="F18" s="79"/>
      <c r="G18" s="52"/>
      <c r="I18" s="38"/>
      <c r="J18" s="38"/>
      <c r="K18" s="38"/>
    </row>
    <row r="19" spans="1:11" ht="16.5" thickBot="1" x14ac:dyDescent="0.3">
      <c r="A19" s="53" t="s">
        <v>10</v>
      </c>
      <c r="B19" s="56">
        <f>B14*G19</f>
        <v>638.93095018850238</v>
      </c>
      <c r="C19" s="56">
        <f>C14*G19</f>
        <v>776665.07069767069</v>
      </c>
      <c r="D19" s="56">
        <f>D14*G19</f>
        <v>288336.64765111834</v>
      </c>
      <c r="E19" s="56">
        <f>E14*G19</f>
        <v>291297.91975133982</v>
      </c>
      <c r="F19" s="82">
        <f t="shared" ref="F19:F20" si="5">C19-SUM(D19:E19)</f>
        <v>197030.50329521252</v>
      </c>
      <c r="G19" s="52">
        <v>0.2</v>
      </c>
      <c r="I19" s="56">
        <f>I14*G19</f>
        <v>54366.554948836951</v>
      </c>
      <c r="J19" s="56">
        <f>J14*G19</f>
        <v>55542.021191845532</v>
      </c>
      <c r="K19" s="56">
        <f>K14*G19</f>
        <v>2853.2789669275103</v>
      </c>
    </row>
    <row r="20" spans="1:11" ht="16.5" thickBot="1" x14ac:dyDescent="0.3">
      <c r="A20" s="53" t="s">
        <v>14</v>
      </c>
      <c r="B20" s="56">
        <f>B15*G20</f>
        <v>284.95751174888107</v>
      </c>
      <c r="C20" s="56">
        <f>C15*G20</f>
        <v>346385.70246594329</v>
      </c>
      <c r="D20" s="56">
        <f>D15*G20</f>
        <v>128595.57615175155</v>
      </c>
      <c r="E20" s="56">
        <f>E15*G20</f>
        <v>129916.27712740713</v>
      </c>
      <c r="F20" s="82">
        <f t="shared" si="5"/>
        <v>87873.849186784617</v>
      </c>
      <c r="G20" s="52">
        <v>0.05</v>
      </c>
      <c r="I20" s="56">
        <f>I15*G20</f>
        <v>24246.999172616037</v>
      </c>
      <c r="J20" s="56">
        <f>J15*G20</f>
        <v>24771.246645138235</v>
      </c>
      <c r="K20" s="56">
        <f>K15*G20</f>
        <v>1272.5370002833718</v>
      </c>
    </row>
    <row r="21" spans="1:11" ht="16.5" thickBot="1" x14ac:dyDescent="0.3">
      <c r="A21" s="36" t="s">
        <v>61</v>
      </c>
      <c r="B21" s="55">
        <f>SUM(B19:B20)</f>
        <v>923.88846193738345</v>
      </c>
      <c r="C21" s="55">
        <f>SUM(C19:C20)</f>
        <v>1123050.7731636139</v>
      </c>
      <c r="D21" s="55">
        <f t="shared" ref="D21:E21" si="6">SUM(D19:D20)</f>
        <v>416932.22380286991</v>
      </c>
      <c r="E21" s="55">
        <f t="shared" si="6"/>
        <v>421214.19687874697</v>
      </c>
      <c r="F21" s="83">
        <f>SUM(F19:F20)</f>
        <v>284904.35248199711</v>
      </c>
      <c r="G21" s="52"/>
      <c r="I21" s="55">
        <f>SUM(I19:I20)</f>
        <v>78613.554121452995</v>
      </c>
      <c r="J21" s="55">
        <f>SUM(J19:J20)</f>
        <v>80313.267836983767</v>
      </c>
      <c r="K21" s="55">
        <f>SUM(K19:K20)</f>
        <v>4125.8159672108823</v>
      </c>
    </row>
    <row r="22" spans="1:11" ht="16.5" thickBot="1" x14ac:dyDescent="0.3">
      <c r="A22" s="71" t="s">
        <v>54</v>
      </c>
      <c r="B22" s="72">
        <f>+B21-B9</f>
        <v>-854.87253524664311</v>
      </c>
      <c r="C22" s="72">
        <f>+C21-C9</f>
        <v>-1039157.1073978301</v>
      </c>
      <c r="D22" s="72">
        <f t="shared" ref="D22:E22" si="7">D9-D21</f>
        <v>385786.72845525458</v>
      </c>
      <c r="E22" s="72">
        <f t="shared" si="7"/>
        <v>389748.83138222131</v>
      </c>
      <c r="F22" s="84">
        <f>SUM(C22:E22)</f>
        <v>-263621.54756035423</v>
      </c>
      <c r="G22" s="52"/>
      <c r="I22" s="72">
        <f>I9-I21</f>
        <v>72740.997517848096</v>
      </c>
      <c r="J22" s="72">
        <f>J9-J21</f>
        <v>74313.739935414706</v>
      </c>
      <c r="K22" s="72">
        <f>K9-K21</f>
        <v>3817.6110008501155</v>
      </c>
    </row>
    <row r="23" spans="1:11" ht="15.75" thickBot="1" x14ac:dyDescent="0.3">
      <c r="B23" s="38"/>
      <c r="C23" s="38"/>
      <c r="D23" s="38"/>
      <c r="E23" s="38"/>
      <c r="F23" s="79"/>
      <c r="G23" s="52"/>
      <c r="I23" s="38"/>
      <c r="J23" s="38"/>
      <c r="K23" s="38"/>
    </row>
    <row r="24" spans="1:11" ht="16.5" thickBot="1" x14ac:dyDescent="0.3">
      <c r="A24" s="36" t="s">
        <v>22</v>
      </c>
      <c r="B24" s="55">
        <f>B14*$G$24</f>
        <v>638.93095018850238</v>
      </c>
      <c r="C24" s="55">
        <f>C14*$G$24</f>
        <v>776665.07069767069</v>
      </c>
      <c r="D24" s="55">
        <f>D14*$G$24</f>
        <v>288336.64765111834</v>
      </c>
      <c r="E24" s="55">
        <f>E14*$G$24</f>
        <v>291297.91975133982</v>
      </c>
      <c r="F24" s="83">
        <f>C24-SUM(D24:E24)</f>
        <v>197030.50329521252</v>
      </c>
      <c r="G24" s="52">
        <v>0.2</v>
      </c>
      <c r="I24" s="55">
        <f>I14*$G$24</f>
        <v>54366.554948836951</v>
      </c>
      <c r="J24" s="55">
        <f>J14*$G$24</f>
        <v>55542.021191845532</v>
      </c>
      <c r="K24" s="55">
        <f>K14*$G$24</f>
        <v>2853.2789669275103</v>
      </c>
    </row>
    <row r="25" spans="1:11" ht="16.5" thickBot="1" x14ac:dyDescent="0.3">
      <c r="A25" s="71" t="s">
        <v>55</v>
      </c>
      <c r="B25" s="72">
        <f>+B24-B10</f>
        <v>-1139.8300469955243</v>
      </c>
      <c r="C25" s="72">
        <f>+C24-C10</f>
        <v>-1385542.8098637732</v>
      </c>
      <c r="D25" s="72">
        <f t="shared" ref="D25:E25" si="8">D10-D24</f>
        <v>514382.30460700614</v>
      </c>
      <c r="E25" s="72">
        <f t="shared" si="8"/>
        <v>519665.10850962845</v>
      </c>
      <c r="F25" s="84">
        <f>SUM(C25:E25)</f>
        <v>-351495.39674713858</v>
      </c>
      <c r="G25" s="52"/>
      <c r="I25" s="72">
        <f>I10-I24</f>
        <v>96987.996690464148</v>
      </c>
      <c r="J25" s="72">
        <f>J10-J24</f>
        <v>99084.986580552941</v>
      </c>
      <c r="K25" s="72">
        <f>K10-K24</f>
        <v>5090.1480011334879</v>
      </c>
    </row>
    <row r="26" spans="1:11" ht="15.75" thickBot="1" x14ac:dyDescent="0.3">
      <c r="B26" s="38"/>
      <c r="C26" s="38"/>
      <c r="D26" s="38"/>
      <c r="E26" s="38"/>
      <c r="F26" s="79"/>
      <c r="G26" s="52"/>
      <c r="I26" s="38"/>
      <c r="J26" s="38"/>
      <c r="K26" s="38"/>
    </row>
    <row r="27" spans="1:11" ht="16.5" thickBot="1" x14ac:dyDescent="0.3">
      <c r="A27" s="53" t="s">
        <v>12</v>
      </c>
      <c r="B27" s="56">
        <f>B14*$G$27</f>
        <v>1916.792850565507</v>
      </c>
      <c r="C27" s="56">
        <f>C14*$G$27</f>
        <v>2329995.2120930119</v>
      </c>
      <c r="D27" s="56">
        <f>D14*$G$27</f>
        <v>865009.94295335491</v>
      </c>
      <c r="E27" s="56">
        <f>E14*$G$27</f>
        <v>873893.75925401947</v>
      </c>
      <c r="F27" s="82">
        <f t="shared" ref="F27:F28" si="9">C27-SUM(D27:E27)</f>
        <v>591091.50988563756</v>
      </c>
      <c r="G27" s="52">
        <v>0.6</v>
      </c>
      <c r="I27" s="56">
        <f>I14*$G$27</f>
        <v>163099.66484651083</v>
      </c>
      <c r="J27" s="56">
        <f>J14*$G$27</f>
        <v>166626.06357553659</v>
      </c>
      <c r="K27" s="56">
        <f>K14*$G$27</f>
        <v>8559.8369007825295</v>
      </c>
    </row>
    <row r="28" spans="1:11" ht="16.5" thickBot="1" x14ac:dyDescent="0.3">
      <c r="A28" s="53" t="s">
        <v>13</v>
      </c>
      <c r="B28" s="56">
        <f>B15*$G$28</f>
        <v>3134.5326292376917</v>
      </c>
      <c r="C28" s="56">
        <f>C15*$G$28</f>
        <v>3810242.7271253765</v>
      </c>
      <c r="D28" s="56">
        <f>D15*$G$28</f>
        <v>1414551.3376692671</v>
      </c>
      <c r="E28" s="56">
        <f>E15*$G$28</f>
        <v>1429079.0484014784</v>
      </c>
      <c r="F28" s="82">
        <f t="shared" si="9"/>
        <v>966612.34105463093</v>
      </c>
      <c r="G28" s="52">
        <v>0.55000000000000004</v>
      </c>
      <c r="I28" s="56">
        <f>I15*$G$28</f>
        <v>266716.99089877639</v>
      </c>
      <c r="J28" s="56">
        <f>J15*$G$28</f>
        <v>272483.71309652063</v>
      </c>
      <c r="K28" s="56">
        <f>K15*$G$28</f>
        <v>13997.90700311709</v>
      </c>
    </row>
    <row r="29" spans="1:11" ht="16.5" thickBot="1" x14ac:dyDescent="0.3">
      <c r="A29" s="36" t="s">
        <v>59</v>
      </c>
      <c r="B29" s="55">
        <f>SUM(B27:B28)</f>
        <v>5051.3254798031985</v>
      </c>
      <c r="C29" s="55">
        <f>SUM(C27:C28)</f>
        <v>6140237.9392183889</v>
      </c>
      <c r="D29" s="55">
        <f t="shared" ref="D29:E29" si="10">SUM(D27:D28)</f>
        <v>2279561.280622622</v>
      </c>
      <c r="E29" s="55">
        <f t="shared" si="10"/>
        <v>2302972.8076554979</v>
      </c>
      <c r="F29" s="83">
        <f>SUM(F27:F28)</f>
        <v>1557703.8509402685</v>
      </c>
      <c r="G29" s="52"/>
      <c r="I29" s="55">
        <f>SUM(I27:I28)</f>
        <v>429816.65574528719</v>
      </c>
      <c r="J29" s="55">
        <f>SUM(J27:J28)</f>
        <v>439109.77667205723</v>
      </c>
      <c r="K29" s="55">
        <f>SUM(K27:K28)</f>
        <v>22557.74390389962</v>
      </c>
    </row>
    <row r="30" spans="1:11" ht="16.5" thickBot="1" x14ac:dyDescent="0.3">
      <c r="A30" s="71" t="s">
        <v>56</v>
      </c>
      <c r="B30" s="72">
        <f>+B29-B8</f>
        <v>-284.95751174888119</v>
      </c>
      <c r="C30" s="72">
        <f>+C29-C8</f>
        <v>-346385.70246594213</v>
      </c>
      <c r="D30" s="72">
        <f t="shared" ref="D30:E30" si="11">D8-D29</f>
        <v>128595.57615175145</v>
      </c>
      <c r="E30" s="72">
        <f t="shared" si="11"/>
        <v>129916.27712740656</v>
      </c>
      <c r="F30" s="84">
        <f>SUM(C30:E30)</f>
        <v>-87873.849186784122</v>
      </c>
      <c r="G30" s="52"/>
      <c r="I30" s="72">
        <f>I8-I29</f>
        <v>24246.999172615993</v>
      </c>
      <c r="J30" s="72">
        <f>J8-J29</f>
        <v>24771.246645138133</v>
      </c>
      <c r="K30" s="72">
        <f>K8-K29</f>
        <v>1272.5370002833697</v>
      </c>
    </row>
    <row r="31" spans="1:11" x14ac:dyDescent="0.25">
      <c r="B31" s="38"/>
      <c r="C31" s="38"/>
      <c r="D31" s="38"/>
      <c r="E31" s="38"/>
      <c r="F31" s="79"/>
      <c r="G31" s="52"/>
      <c r="I31" s="38"/>
      <c r="J31" s="38"/>
      <c r="K31" s="38"/>
    </row>
    <row r="32" spans="1:11" ht="16.5" thickBot="1" x14ac:dyDescent="0.3">
      <c r="A32" s="63" t="s">
        <v>57</v>
      </c>
      <c r="B32" s="38"/>
      <c r="C32" s="38"/>
      <c r="D32" s="38"/>
      <c r="E32" s="38"/>
      <c r="F32" s="79"/>
      <c r="G32" s="52"/>
      <c r="I32" s="38"/>
      <c r="J32" s="38"/>
      <c r="K32" s="38"/>
    </row>
    <row r="33" spans="1:11" ht="16.5" thickBot="1" x14ac:dyDescent="0.3">
      <c r="A33" s="53" t="s">
        <v>16</v>
      </c>
      <c r="B33" s="56">
        <f>B15*$G$33</f>
        <v>569.91502349776215</v>
      </c>
      <c r="C33" s="56">
        <f>C15*$G$33</f>
        <v>692771.40493188659</v>
      </c>
      <c r="D33" s="56">
        <f>D15*$G$33</f>
        <v>257191.1523035031</v>
      </c>
      <c r="E33" s="56">
        <f>E15*$G$33</f>
        <v>259832.55425481425</v>
      </c>
      <c r="F33" s="82">
        <f>C33-SUM(D33:E33)</f>
        <v>175747.69837356923</v>
      </c>
      <c r="G33" s="52">
        <v>0.1</v>
      </c>
      <c r="I33" s="56">
        <f>I15*$G$33</f>
        <v>48493.998345232074</v>
      </c>
      <c r="J33" s="56">
        <f>J15*$G$33</f>
        <v>49542.49329027647</v>
      </c>
      <c r="K33" s="56">
        <f>K15*$G$33</f>
        <v>2545.0740005667435</v>
      </c>
    </row>
    <row r="34" spans="1:11" ht="16.5" thickBot="1" x14ac:dyDescent="0.3">
      <c r="A34" s="53" t="s">
        <v>17</v>
      </c>
      <c r="B34" s="56">
        <f>B15*$G$34</f>
        <v>1709.7450704932862</v>
      </c>
      <c r="C34" s="56">
        <f>C15*$G$34</f>
        <v>2078314.2147956598</v>
      </c>
      <c r="D34" s="56">
        <f>D15*$G$34</f>
        <v>771573.45691050927</v>
      </c>
      <c r="E34" s="56">
        <f>E15*$G$34</f>
        <v>779497.66276444274</v>
      </c>
      <c r="F34" s="82">
        <f t="shared" ref="F34" si="12">C34-SUM(D34:E34)</f>
        <v>527243.09512070776</v>
      </c>
      <c r="G34" s="52">
        <v>0.3</v>
      </c>
      <c r="I34" s="56">
        <f>I15*$G$34</f>
        <v>145481.99503569619</v>
      </c>
      <c r="J34" s="56">
        <f>J15*$G$34</f>
        <v>148627.47987082941</v>
      </c>
      <c r="K34" s="56">
        <f>K15*$G$34</f>
        <v>7635.2220017002301</v>
      </c>
    </row>
    <row r="35" spans="1:11" ht="16.5" thickBot="1" x14ac:dyDescent="0.3">
      <c r="A35" s="36" t="s">
        <v>60</v>
      </c>
      <c r="B35" s="55">
        <f>SUM(B33:B34)</f>
        <v>2279.6600939910486</v>
      </c>
      <c r="C35" s="55">
        <f>SUM(C33:C34)</f>
        <v>2771085.6197275463</v>
      </c>
      <c r="D35" s="55">
        <f t="shared" ref="D35:E35" si="13">SUM(D33:D34)</f>
        <v>1028764.6092140124</v>
      </c>
      <c r="E35" s="55">
        <f t="shared" si="13"/>
        <v>1039330.217019257</v>
      </c>
      <c r="F35" s="85">
        <f>SUM(F33:F34)</f>
        <v>702990.79349427694</v>
      </c>
      <c r="I35" s="55">
        <f>SUM(I33:I34)</f>
        <v>193975.99338092827</v>
      </c>
      <c r="J35" s="55">
        <f>SUM(J33:J34)</f>
        <v>198169.97316110588</v>
      </c>
      <c r="K35" s="55">
        <f>SUM(K33:K34)</f>
        <v>10180.296002266974</v>
      </c>
    </row>
    <row r="36" spans="1:11" x14ac:dyDescent="0.25">
      <c r="B36" s="50">
        <f>+B34+B33+B29+B24+B21-B5</f>
        <v>0</v>
      </c>
      <c r="C36" s="50">
        <f>+C34+C33+C29+C24+C21-C5</f>
        <v>0</v>
      </c>
      <c r="D36" s="50">
        <f t="shared" ref="D36:E36" si="14">+D34+D33+D29+D24+D21-D5</f>
        <v>0</v>
      </c>
      <c r="E36" s="50">
        <f t="shared" si="14"/>
        <v>0</v>
      </c>
      <c r="F36" s="50">
        <f>+F34+F33+F29+F24+F21-F5</f>
        <v>0</v>
      </c>
      <c r="G36" s="51" t="s">
        <v>45</v>
      </c>
      <c r="I36" s="50">
        <f>+I34+I33+I29+I24+I21-I5</f>
        <v>0</v>
      </c>
      <c r="J36" s="50">
        <f>+J34+J33+J29+J24+J21-J5</f>
        <v>0</v>
      </c>
      <c r="K36" s="50">
        <f>+K34+K33+K29+K24+K21-K5</f>
        <v>0</v>
      </c>
    </row>
    <row r="38" spans="1:11" x14ac:dyDescent="0.25">
      <c r="C38" s="38"/>
      <c r="F38" s="38"/>
    </row>
    <row r="39" spans="1:11" x14ac:dyDescent="0.25">
      <c r="C39" s="40"/>
    </row>
  </sheetData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zoomScaleNormal="100" workbookViewId="0">
      <selection activeCell="I19" sqref="I19"/>
    </sheetView>
  </sheetViews>
  <sheetFormatPr defaultRowHeight="15" x14ac:dyDescent="0.25"/>
  <cols>
    <col min="1" max="1" width="43.5703125" bestFit="1" customWidth="1"/>
    <col min="2" max="2" width="20.5703125" bestFit="1" customWidth="1"/>
    <col min="3" max="3" width="25.42578125" customWidth="1"/>
    <col min="4" max="4" width="19.7109375" bestFit="1" customWidth="1"/>
    <col min="5" max="5" width="19.7109375" customWidth="1"/>
    <col min="6" max="6" width="20.140625" customWidth="1"/>
    <col min="7" max="7" width="7" bestFit="1" customWidth="1"/>
    <col min="8" max="8" width="3.85546875" customWidth="1"/>
    <col min="9" max="9" width="25.140625" bestFit="1" customWidth="1"/>
    <col min="10" max="10" width="19.140625" bestFit="1" customWidth="1"/>
    <col min="11" max="11" width="20.140625" customWidth="1"/>
  </cols>
  <sheetData>
    <row r="2" spans="1:11" ht="18.75" x14ac:dyDescent="0.3">
      <c r="A2" s="37" t="s">
        <v>23</v>
      </c>
    </row>
    <row r="3" spans="1:11" ht="20.25" customHeight="1" thickBot="1" x14ac:dyDescent="0.3">
      <c r="A3" s="32" t="s">
        <v>21</v>
      </c>
      <c r="B3" s="33"/>
      <c r="C3" s="33"/>
      <c r="D3" s="33"/>
      <c r="E3" s="33"/>
      <c r="F3" s="33"/>
      <c r="I3" s="33"/>
      <c r="J3" s="33"/>
      <c r="K3" s="33"/>
    </row>
    <row r="4" spans="1:11" ht="17.25" thickTop="1" thickBot="1" x14ac:dyDescent="0.3">
      <c r="A4" s="34"/>
      <c r="B4" s="73" t="s">
        <v>64</v>
      </c>
      <c r="C4" s="74" t="s">
        <v>65</v>
      </c>
      <c r="D4" s="73" t="s">
        <v>51</v>
      </c>
      <c r="E4" s="74" t="s">
        <v>52</v>
      </c>
      <c r="F4" s="75" t="s">
        <v>53</v>
      </c>
      <c r="G4" s="52"/>
      <c r="I4" s="73" t="s">
        <v>66</v>
      </c>
      <c r="J4" s="74" t="s">
        <v>67</v>
      </c>
      <c r="K4" s="74" t="s">
        <v>68</v>
      </c>
    </row>
    <row r="5" spans="1:11" ht="16.5" thickBot="1" x14ac:dyDescent="0.3">
      <c r="A5" s="60" t="s">
        <v>6</v>
      </c>
      <c r="B5" s="61" t="e">
        <f>+'NAOC JV FG Supply'!#REF!</f>
        <v>#REF!</v>
      </c>
      <c r="C5" s="62" t="e">
        <f>+'NAOC JV FG Supply'!#REF!</f>
        <v>#REF!</v>
      </c>
      <c r="D5" s="61" t="e">
        <f>+'NAOC JV FG Supply'!#REF!</f>
        <v>#REF!</v>
      </c>
      <c r="E5" s="62" t="e">
        <f>+'NAOC JV FG Supply'!#REF!</f>
        <v>#REF!</v>
      </c>
      <c r="F5" s="87" t="e">
        <f>C5-SUM(D5:E5)</f>
        <v>#REF!</v>
      </c>
      <c r="G5" s="52"/>
      <c r="H5" s="31"/>
      <c r="I5" s="61" t="e">
        <f>+'NAOC JV FG Supply'!#REF!</f>
        <v>#REF!</v>
      </c>
      <c r="J5" s="62" t="e">
        <f>+'NAOC JV FG Supply'!#REF!</f>
        <v>#REF!</v>
      </c>
      <c r="K5" s="62" t="e">
        <f>+'NAOC JV FG Supply'!#REF!</f>
        <v>#REF!</v>
      </c>
    </row>
    <row r="6" spans="1:11" ht="15.75" x14ac:dyDescent="0.25">
      <c r="A6" s="33"/>
      <c r="B6" s="54"/>
      <c r="C6" s="54"/>
      <c r="D6" s="54"/>
      <c r="E6" s="54"/>
      <c r="F6" s="76"/>
      <c r="G6" s="52"/>
      <c r="H6" s="40"/>
      <c r="I6" s="54"/>
      <c r="J6" s="54"/>
      <c r="K6" s="54"/>
    </row>
    <row r="7" spans="1:11" ht="16.5" thickBot="1" x14ac:dyDescent="0.3">
      <c r="A7" s="63" t="s">
        <v>18</v>
      </c>
      <c r="B7" s="54"/>
      <c r="C7" s="54"/>
      <c r="D7" s="54"/>
      <c r="E7" s="54"/>
      <c r="F7" s="76"/>
      <c r="G7" s="52"/>
      <c r="H7" s="31"/>
      <c r="I7" s="54"/>
      <c r="J7" s="54"/>
      <c r="K7" s="54"/>
    </row>
    <row r="8" spans="1:11" ht="16.5" thickBot="1" x14ac:dyDescent="0.3">
      <c r="A8" s="64" t="s">
        <v>15</v>
      </c>
      <c r="B8" s="65" t="e">
        <f>B5*$G$8</f>
        <v>#REF!</v>
      </c>
      <c r="C8" s="65" t="e">
        <f>C5*$G$8</f>
        <v>#REF!</v>
      </c>
      <c r="D8" s="65" t="e">
        <f>D5*$G$8</f>
        <v>#REF!</v>
      </c>
      <c r="E8" s="65" t="e">
        <f>E5*$G$8</f>
        <v>#REF!</v>
      </c>
      <c r="F8" s="77" t="e">
        <f t="shared" ref="F8:F10" si="0">C8-SUM(D8:E8)</f>
        <v>#REF!</v>
      </c>
      <c r="G8" s="52">
        <v>0.6</v>
      </c>
      <c r="I8" s="65" t="e">
        <f>I5*$G$8</f>
        <v>#REF!</v>
      </c>
      <c r="J8" s="65" t="e">
        <f>J5*$G$8</f>
        <v>#REF!</v>
      </c>
      <c r="K8" s="65" t="e">
        <f>K5*$G$8</f>
        <v>#REF!</v>
      </c>
    </row>
    <row r="9" spans="1:11" ht="16.5" thickBot="1" x14ac:dyDescent="0.3">
      <c r="A9" s="64" t="s">
        <v>7</v>
      </c>
      <c r="B9" s="65" t="e">
        <f>B5*G9</f>
        <v>#REF!</v>
      </c>
      <c r="C9" s="66" t="e">
        <f>C5*G9</f>
        <v>#REF!</v>
      </c>
      <c r="D9" s="66" t="e">
        <f>D5*G9</f>
        <v>#REF!</v>
      </c>
      <c r="E9" s="66" t="e">
        <f>E5*G9</f>
        <v>#REF!</v>
      </c>
      <c r="F9" s="77" t="e">
        <f t="shared" si="0"/>
        <v>#REF!</v>
      </c>
      <c r="G9" s="52">
        <v>0.2</v>
      </c>
      <c r="I9" s="65" t="e">
        <f>I5*G9</f>
        <v>#REF!</v>
      </c>
      <c r="J9" s="66" t="e">
        <f>J5*G9</f>
        <v>#REF!</v>
      </c>
      <c r="K9" s="66" t="e">
        <f>K5*G9</f>
        <v>#REF!</v>
      </c>
    </row>
    <row r="10" spans="1:11" ht="16.5" thickBot="1" x14ac:dyDescent="0.3">
      <c r="A10" s="64" t="s">
        <v>19</v>
      </c>
      <c r="B10" s="65" t="e">
        <f>B9</f>
        <v>#REF!</v>
      </c>
      <c r="C10" s="65" t="e">
        <f>C9</f>
        <v>#REF!</v>
      </c>
      <c r="D10" s="65" t="e">
        <f t="shared" ref="D10:E10" si="1">D9</f>
        <v>#REF!</v>
      </c>
      <c r="E10" s="65" t="e">
        <f t="shared" si="1"/>
        <v>#REF!</v>
      </c>
      <c r="F10" s="77" t="e">
        <f t="shared" si="0"/>
        <v>#REF!</v>
      </c>
      <c r="G10" s="52">
        <v>0.2</v>
      </c>
      <c r="I10" s="65" t="e">
        <f>I9</f>
        <v>#REF!</v>
      </c>
      <c r="J10" s="65" t="e">
        <f>J9</f>
        <v>#REF!</v>
      </c>
      <c r="K10" s="65" t="e">
        <f>K9</f>
        <v>#REF!</v>
      </c>
    </row>
    <row r="11" spans="1:11" ht="16.5" thickBot="1" x14ac:dyDescent="0.3">
      <c r="A11" s="58" t="s">
        <v>11</v>
      </c>
      <c r="B11" s="59" t="e">
        <f>SUM(B8:B10)</f>
        <v>#REF!</v>
      </c>
      <c r="C11" s="59" t="e">
        <f t="shared" ref="C11:E11" si="2">SUM(C8:C10)</f>
        <v>#REF!</v>
      </c>
      <c r="D11" s="59" t="e">
        <f t="shared" si="2"/>
        <v>#REF!</v>
      </c>
      <c r="E11" s="59" t="e">
        <f t="shared" si="2"/>
        <v>#REF!</v>
      </c>
      <c r="F11" s="78" t="e">
        <f>SUM(F8:F10)</f>
        <v>#REF!</v>
      </c>
      <c r="G11" s="52"/>
      <c r="I11" s="59" t="e">
        <f>SUM(I8:I10)</f>
        <v>#REF!</v>
      </c>
      <c r="J11" s="59" t="e">
        <f>SUM(J8:J10)</f>
        <v>#REF!</v>
      </c>
      <c r="K11" s="59" t="e">
        <f>SUM(K8:K10)</f>
        <v>#REF!</v>
      </c>
    </row>
    <row r="12" spans="1:11" x14ac:dyDescent="0.25">
      <c r="B12" s="38"/>
      <c r="C12" s="38"/>
      <c r="D12" s="38"/>
      <c r="E12" s="38"/>
      <c r="F12" s="79"/>
      <c r="G12" s="52"/>
      <c r="I12" s="38"/>
      <c r="J12" s="38"/>
      <c r="K12" s="38"/>
    </row>
    <row r="13" spans="1:11" ht="16.5" thickBot="1" x14ac:dyDescent="0.3">
      <c r="A13" s="63" t="s">
        <v>20</v>
      </c>
      <c r="B13" s="38"/>
      <c r="C13" s="38"/>
      <c r="D13" s="38"/>
      <c r="E13" s="38"/>
      <c r="F13" s="79"/>
      <c r="G13" s="52"/>
      <c r="I13" s="38"/>
      <c r="J13" s="38"/>
      <c r="K13" s="38"/>
    </row>
    <row r="14" spans="1:11" ht="16.5" thickBot="1" x14ac:dyDescent="0.3">
      <c r="A14" s="67" t="s">
        <v>8</v>
      </c>
      <c r="B14" s="68" t="e">
        <f>B5*G14</f>
        <v>#REF!</v>
      </c>
      <c r="C14" s="69" t="e">
        <f>C5*G14</f>
        <v>#REF!</v>
      </c>
      <c r="D14" s="69" t="e">
        <f>D5*G14</f>
        <v>#REF!</v>
      </c>
      <c r="E14" s="69" t="e">
        <f>E5*G14</f>
        <v>#REF!</v>
      </c>
      <c r="F14" s="80" t="e">
        <f t="shared" ref="F14:F15" si="3">C14-SUM(D14:E14)</f>
        <v>#REF!</v>
      </c>
      <c r="G14" s="52">
        <v>0.35920000000000002</v>
      </c>
      <c r="I14" s="68" t="e">
        <f>I5*G14</f>
        <v>#REF!</v>
      </c>
      <c r="J14" s="69" t="e">
        <f>J5*G14</f>
        <v>#REF!</v>
      </c>
      <c r="K14" s="69" t="e">
        <f>K5*G14</f>
        <v>#REF!</v>
      </c>
    </row>
    <row r="15" spans="1:11" ht="16.5" thickBot="1" x14ac:dyDescent="0.3">
      <c r="A15" s="67" t="s">
        <v>9</v>
      </c>
      <c r="B15" s="68" t="e">
        <f>B5*G15</f>
        <v>#REF!</v>
      </c>
      <c r="C15" s="69" t="e">
        <f>C5*G15</f>
        <v>#REF!</v>
      </c>
      <c r="D15" s="69" t="e">
        <f>D5*G15</f>
        <v>#REF!</v>
      </c>
      <c r="E15" s="69" t="e">
        <f>E5*G15</f>
        <v>#REF!</v>
      </c>
      <c r="F15" s="80" t="e">
        <f t="shared" si="3"/>
        <v>#REF!</v>
      </c>
      <c r="G15" s="52">
        <v>0.64080000000000004</v>
      </c>
      <c r="I15" s="68" t="e">
        <f>I5*G15</f>
        <v>#REF!</v>
      </c>
      <c r="J15" s="69" t="e">
        <f>J5*G15</f>
        <v>#REF!</v>
      </c>
      <c r="K15" s="69" t="e">
        <f>K5*G15</f>
        <v>#REF!</v>
      </c>
    </row>
    <row r="16" spans="1:11" ht="16.5" thickBot="1" x14ac:dyDescent="0.3">
      <c r="A16" s="35" t="s">
        <v>11</v>
      </c>
      <c r="B16" s="57" t="e">
        <f>SUM(B14:B15)</f>
        <v>#REF!</v>
      </c>
      <c r="C16" s="70" t="e">
        <f>SUM(C14:C15)</f>
        <v>#REF!</v>
      </c>
      <c r="D16" s="70" t="e">
        <f t="shared" ref="D16:E16" si="4">SUM(D14:D15)</f>
        <v>#REF!</v>
      </c>
      <c r="E16" s="70" t="e">
        <f t="shared" si="4"/>
        <v>#REF!</v>
      </c>
      <c r="F16" s="81" t="e">
        <f>SUM(F14:F15)</f>
        <v>#REF!</v>
      </c>
      <c r="G16" s="52"/>
      <c r="I16" s="57" t="e">
        <f>SUM(I14:I15)</f>
        <v>#REF!</v>
      </c>
      <c r="J16" s="70" t="e">
        <f>SUM(J14:J15)</f>
        <v>#REF!</v>
      </c>
      <c r="K16" s="70" t="e">
        <f>SUM(K14:K15)</f>
        <v>#REF!</v>
      </c>
    </row>
    <row r="17" spans="1:11" x14ac:dyDescent="0.25">
      <c r="B17" s="38"/>
      <c r="C17" s="38"/>
      <c r="D17" s="38"/>
      <c r="E17" s="38"/>
      <c r="F17" s="79"/>
      <c r="G17" s="52"/>
      <c r="I17" s="38"/>
      <c r="J17" s="38"/>
      <c r="K17" s="38"/>
    </row>
    <row r="18" spans="1:11" ht="16.5" thickBot="1" x14ac:dyDescent="0.3">
      <c r="A18" s="63" t="s">
        <v>50</v>
      </c>
      <c r="B18" s="38"/>
      <c r="C18" s="38"/>
      <c r="D18" s="38"/>
      <c r="E18" s="38"/>
      <c r="F18" s="79"/>
      <c r="G18" s="52"/>
      <c r="I18" s="38"/>
      <c r="J18" s="38"/>
      <c r="K18" s="38"/>
    </row>
    <row r="19" spans="1:11" ht="16.5" thickBot="1" x14ac:dyDescent="0.3">
      <c r="A19" s="53" t="s">
        <v>10</v>
      </c>
      <c r="B19" s="56" t="e">
        <f>B14*G19</f>
        <v>#REF!</v>
      </c>
      <c r="C19" s="56" t="e">
        <f>C14*G19</f>
        <v>#REF!</v>
      </c>
      <c r="D19" s="56" t="e">
        <f>D14*G19</f>
        <v>#REF!</v>
      </c>
      <c r="E19" s="56" t="e">
        <f>E14*G19</f>
        <v>#REF!</v>
      </c>
      <c r="F19" s="82" t="e">
        <f t="shared" ref="F19:F20" si="5">C19-SUM(D19:E19)</f>
        <v>#REF!</v>
      </c>
      <c r="G19" s="52">
        <v>0.2</v>
      </c>
      <c r="I19" s="56" t="e">
        <f>I14*G19</f>
        <v>#REF!</v>
      </c>
      <c r="J19" s="56" t="e">
        <f>J14*G19</f>
        <v>#REF!</v>
      </c>
      <c r="K19" s="56" t="e">
        <f>K14*G19</f>
        <v>#REF!</v>
      </c>
    </row>
    <row r="20" spans="1:11" ht="16.5" thickBot="1" x14ac:dyDescent="0.3">
      <c r="A20" s="53" t="s">
        <v>14</v>
      </c>
      <c r="B20" s="56" t="e">
        <f>B15*G20</f>
        <v>#REF!</v>
      </c>
      <c r="C20" s="56" t="e">
        <f>C15*G20</f>
        <v>#REF!</v>
      </c>
      <c r="D20" s="56" t="e">
        <f>D15*G20</f>
        <v>#REF!</v>
      </c>
      <c r="E20" s="56" t="e">
        <f>E15*G20</f>
        <v>#REF!</v>
      </c>
      <c r="F20" s="82" t="e">
        <f t="shared" si="5"/>
        <v>#REF!</v>
      </c>
      <c r="G20" s="52">
        <v>0.05</v>
      </c>
      <c r="I20" s="56" t="e">
        <f>I15*G20</f>
        <v>#REF!</v>
      </c>
      <c r="J20" s="56" t="e">
        <f>J15*G20</f>
        <v>#REF!</v>
      </c>
      <c r="K20" s="56" t="e">
        <f>K15*G20</f>
        <v>#REF!</v>
      </c>
    </row>
    <row r="21" spans="1:11" ht="16.5" thickBot="1" x14ac:dyDescent="0.3">
      <c r="A21" s="36" t="s">
        <v>61</v>
      </c>
      <c r="B21" s="55" t="e">
        <f>SUM(B19:B20)</f>
        <v>#REF!</v>
      </c>
      <c r="C21" s="55" t="e">
        <f>SUM(C19:C20)</f>
        <v>#REF!</v>
      </c>
      <c r="D21" s="55" t="e">
        <f t="shared" ref="D21:E21" si="6">SUM(D19:D20)</f>
        <v>#REF!</v>
      </c>
      <c r="E21" s="55" t="e">
        <f t="shared" si="6"/>
        <v>#REF!</v>
      </c>
      <c r="F21" s="83" t="e">
        <f>SUM(F19:F20)</f>
        <v>#REF!</v>
      </c>
      <c r="G21" s="52"/>
      <c r="I21" s="55" t="e">
        <f>SUM(I19:I20)</f>
        <v>#REF!</v>
      </c>
      <c r="J21" s="55" t="e">
        <f>SUM(J19:J20)</f>
        <v>#REF!</v>
      </c>
      <c r="K21" s="55" t="e">
        <f>SUM(K19:K20)</f>
        <v>#REF!</v>
      </c>
    </row>
    <row r="22" spans="1:11" ht="16.5" thickBot="1" x14ac:dyDescent="0.3">
      <c r="A22" s="71" t="s">
        <v>54</v>
      </c>
      <c r="B22" s="72" t="e">
        <f>+B21-B9</f>
        <v>#REF!</v>
      </c>
      <c r="C22" s="72" t="e">
        <f>+C21-C9</f>
        <v>#REF!</v>
      </c>
      <c r="D22" s="72" t="e">
        <f t="shared" ref="D22:E22" si="7">D9-D21</f>
        <v>#REF!</v>
      </c>
      <c r="E22" s="72" t="e">
        <f t="shared" si="7"/>
        <v>#REF!</v>
      </c>
      <c r="F22" s="84" t="e">
        <f>SUM(C22:E22)</f>
        <v>#REF!</v>
      </c>
      <c r="G22" s="52"/>
      <c r="I22" s="72" t="e">
        <f>I9-I21</f>
        <v>#REF!</v>
      </c>
      <c r="J22" s="72" t="e">
        <f>J9-J21</f>
        <v>#REF!</v>
      </c>
      <c r="K22" s="72" t="e">
        <f>K9-K21</f>
        <v>#REF!</v>
      </c>
    </row>
    <row r="23" spans="1:11" ht="15.75" thickBot="1" x14ac:dyDescent="0.3">
      <c r="B23" s="38"/>
      <c r="C23" s="38"/>
      <c r="D23" s="38"/>
      <c r="E23" s="38"/>
      <c r="F23" s="79"/>
      <c r="G23" s="52"/>
      <c r="I23" s="38"/>
      <c r="J23" s="38"/>
      <c r="K23" s="38"/>
    </row>
    <row r="24" spans="1:11" ht="16.5" thickBot="1" x14ac:dyDescent="0.3">
      <c r="A24" s="36" t="s">
        <v>22</v>
      </c>
      <c r="B24" s="55" t="e">
        <f>B14*$G$24</f>
        <v>#REF!</v>
      </c>
      <c r="C24" s="55" t="e">
        <f>C14*$G$24</f>
        <v>#REF!</v>
      </c>
      <c r="D24" s="55" t="e">
        <f>D14*$G$24</f>
        <v>#REF!</v>
      </c>
      <c r="E24" s="55" t="e">
        <f>E14*$G$24</f>
        <v>#REF!</v>
      </c>
      <c r="F24" s="83" t="e">
        <f>C24-SUM(D24:E24)</f>
        <v>#REF!</v>
      </c>
      <c r="G24" s="52">
        <v>0.2</v>
      </c>
      <c r="I24" s="55" t="e">
        <f>I14*$G$24</f>
        <v>#REF!</v>
      </c>
      <c r="J24" s="55" t="e">
        <f>J14*$G$24</f>
        <v>#REF!</v>
      </c>
      <c r="K24" s="55" t="e">
        <f>K14*$G$24</f>
        <v>#REF!</v>
      </c>
    </row>
    <row r="25" spans="1:11" ht="16.5" thickBot="1" x14ac:dyDescent="0.3">
      <c r="A25" s="71" t="s">
        <v>55</v>
      </c>
      <c r="B25" s="72" t="e">
        <f>+B24-B10</f>
        <v>#REF!</v>
      </c>
      <c r="C25" s="72" t="e">
        <f>+C24-C10</f>
        <v>#REF!</v>
      </c>
      <c r="D25" s="72" t="e">
        <f t="shared" ref="D25:E25" si="8">D10-D24</f>
        <v>#REF!</v>
      </c>
      <c r="E25" s="72" t="e">
        <f t="shared" si="8"/>
        <v>#REF!</v>
      </c>
      <c r="F25" s="84" t="e">
        <f>SUM(C25:E25)</f>
        <v>#REF!</v>
      </c>
      <c r="G25" s="52"/>
      <c r="I25" s="72" t="e">
        <f>I10-I24</f>
        <v>#REF!</v>
      </c>
      <c r="J25" s="72" t="e">
        <f>J10-J24</f>
        <v>#REF!</v>
      </c>
      <c r="K25" s="72" t="e">
        <f>K10-K24</f>
        <v>#REF!</v>
      </c>
    </row>
    <row r="26" spans="1:11" ht="15.75" thickBot="1" x14ac:dyDescent="0.3">
      <c r="B26" s="38"/>
      <c r="C26" s="38"/>
      <c r="D26" s="38"/>
      <c r="E26" s="38"/>
      <c r="F26" s="79"/>
      <c r="G26" s="52"/>
      <c r="I26" s="38"/>
      <c r="J26" s="38"/>
      <c r="K26" s="38"/>
    </row>
    <row r="27" spans="1:11" ht="16.5" thickBot="1" x14ac:dyDescent="0.3">
      <c r="A27" s="53" t="s">
        <v>12</v>
      </c>
      <c r="B27" s="56" t="e">
        <f>B14*$G$27</f>
        <v>#REF!</v>
      </c>
      <c r="C27" s="56" t="e">
        <f>C14*$G$27</f>
        <v>#REF!</v>
      </c>
      <c r="D27" s="56" t="e">
        <f>D14*$G$27</f>
        <v>#REF!</v>
      </c>
      <c r="E27" s="56" t="e">
        <f>E14*$G$27</f>
        <v>#REF!</v>
      </c>
      <c r="F27" s="82" t="e">
        <f t="shared" ref="F27:F28" si="9">C27-SUM(D27:E27)</f>
        <v>#REF!</v>
      </c>
      <c r="G27" s="52">
        <v>0.6</v>
      </c>
      <c r="I27" s="56" t="e">
        <f>I14*$G$27</f>
        <v>#REF!</v>
      </c>
      <c r="J27" s="56" t="e">
        <f>J14*$G$27</f>
        <v>#REF!</v>
      </c>
      <c r="K27" s="56" t="e">
        <f>K14*$G$27</f>
        <v>#REF!</v>
      </c>
    </row>
    <row r="28" spans="1:11" ht="16.5" thickBot="1" x14ac:dyDescent="0.3">
      <c r="A28" s="53" t="s">
        <v>13</v>
      </c>
      <c r="B28" s="56" t="e">
        <f>B15*$G$28</f>
        <v>#REF!</v>
      </c>
      <c r="C28" s="56" t="e">
        <f>C15*$G$28</f>
        <v>#REF!</v>
      </c>
      <c r="D28" s="56" t="e">
        <f>D15*$G$28</f>
        <v>#REF!</v>
      </c>
      <c r="E28" s="56" t="e">
        <f>E15*$G$28</f>
        <v>#REF!</v>
      </c>
      <c r="F28" s="82" t="e">
        <f t="shared" si="9"/>
        <v>#REF!</v>
      </c>
      <c r="G28" s="52">
        <v>0.55000000000000004</v>
      </c>
      <c r="I28" s="56" t="e">
        <f>I15*$G$28</f>
        <v>#REF!</v>
      </c>
      <c r="J28" s="56" t="e">
        <f>J15*$G$28</f>
        <v>#REF!</v>
      </c>
      <c r="K28" s="56" t="e">
        <f>K15*$G$28</f>
        <v>#REF!</v>
      </c>
    </row>
    <row r="29" spans="1:11" ht="16.5" thickBot="1" x14ac:dyDescent="0.3">
      <c r="A29" s="36" t="s">
        <v>59</v>
      </c>
      <c r="B29" s="55" t="e">
        <f>SUM(B27:B28)</f>
        <v>#REF!</v>
      </c>
      <c r="C29" s="55" t="e">
        <f>SUM(C27:C28)</f>
        <v>#REF!</v>
      </c>
      <c r="D29" s="55" t="e">
        <f t="shared" ref="D29:E29" si="10">SUM(D27:D28)</f>
        <v>#REF!</v>
      </c>
      <c r="E29" s="55" t="e">
        <f t="shared" si="10"/>
        <v>#REF!</v>
      </c>
      <c r="F29" s="83" t="e">
        <f>SUM(F27:F28)</f>
        <v>#REF!</v>
      </c>
      <c r="G29" s="52"/>
      <c r="I29" s="55" t="e">
        <f>SUM(I27:I28)</f>
        <v>#REF!</v>
      </c>
      <c r="J29" s="55" t="e">
        <f>SUM(J27:J28)</f>
        <v>#REF!</v>
      </c>
      <c r="K29" s="55" t="e">
        <f>SUM(K27:K28)</f>
        <v>#REF!</v>
      </c>
    </row>
    <row r="30" spans="1:11" ht="16.5" thickBot="1" x14ac:dyDescent="0.3">
      <c r="A30" s="71" t="s">
        <v>56</v>
      </c>
      <c r="B30" s="72" t="e">
        <f>+B29-B8</f>
        <v>#REF!</v>
      </c>
      <c r="C30" s="72" t="e">
        <f>+C29-C8</f>
        <v>#REF!</v>
      </c>
      <c r="D30" s="72" t="e">
        <f t="shared" ref="D30:E30" si="11">D8-D29</f>
        <v>#REF!</v>
      </c>
      <c r="E30" s="72" t="e">
        <f t="shared" si="11"/>
        <v>#REF!</v>
      </c>
      <c r="F30" s="84" t="e">
        <f>SUM(C30:E30)</f>
        <v>#REF!</v>
      </c>
      <c r="G30" s="52"/>
      <c r="I30" s="72" t="e">
        <f>I8-I29</f>
        <v>#REF!</v>
      </c>
      <c r="J30" s="72" t="e">
        <f>J8-J29</f>
        <v>#REF!</v>
      </c>
      <c r="K30" s="72" t="e">
        <f>K8-K29</f>
        <v>#REF!</v>
      </c>
    </row>
    <row r="31" spans="1:11" x14ac:dyDescent="0.25">
      <c r="B31" s="38"/>
      <c r="C31" s="38"/>
      <c r="D31" s="38"/>
      <c r="E31" s="38"/>
      <c r="F31" s="79"/>
      <c r="G31" s="52"/>
      <c r="I31" s="38"/>
      <c r="J31" s="38"/>
      <c r="K31" s="38"/>
    </row>
    <row r="32" spans="1:11" ht="16.5" thickBot="1" x14ac:dyDescent="0.3">
      <c r="A32" s="63" t="s">
        <v>57</v>
      </c>
      <c r="B32" s="38"/>
      <c r="C32" s="38"/>
      <c r="D32" s="38"/>
      <c r="E32" s="38"/>
      <c r="F32" s="79"/>
      <c r="G32" s="52"/>
      <c r="I32" s="38"/>
      <c r="J32" s="38"/>
      <c r="K32" s="38"/>
    </row>
    <row r="33" spans="1:11" ht="16.5" thickBot="1" x14ac:dyDescent="0.3">
      <c r="A33" s="53" t="s">
        <v>16</v>
      </c>
      <c r="B33" s="56" t="e">
        <f>B15*$G$33</f>
        <v>#REF!</v>
      </c>
      <c r="C33" s="56" t="e">
        <f>C15*$G$33</f>
        <v>#REF!</v>
      </c>
      <c r="D33" s="56" t="e">
        <f>D15*$G$33</f>
        <v>#REF!</v>
      </c>
      <c r="E33" s="56" t="e">
        <f>E15*$G$33</f>
        <v>#REF!</v>
      </c>
      <c r="F33" s="82" t="e">
        <f>C33-SUM(D33:E33)</f>
        <v>#REF!</v>
      </c>
      <c r="G33" s="52">
        <v>0.1</v>
      </c>
      <c r="I33" s="56" t="e">
        <f>I15*$G$33</f>
        <v>#REF!</v>
      </c>
      <c r="J33" s="56" t="e">
        <f>J15*$G$33</f>
        <v>#REF!</v>
      </c>
      <c r="K33" s="56" t="e">
        <f>K15*$G$33</f>
        <v>#REF!</v>
      </c>
    </row>
    <row r="34" spans="1:11" ht="16.5" thickBot="1" x14ac:dyDescent="0.3">
      <c r="A34" s="53" t="s">
        <v>17</v>
      </c>
      <c r="B34" s="56" t="e">
        <f>B15*$G$34</f>
        <v>#REF!</v>
      </c>
      <c r="C34" s="56" t="e">
        <f>C15*$G$34</f>
        <v>#REF!</v>
      </c>
      <c r="D34" s="56" t="e">
        <f>D15*$G$34</f>
        <v>#REF!</v>
      </c>
      <c r="E34" s="56" t="e">
        <f>E15*$G$34</f>
        <v>#REF!</v>
      </c>
      <c r="F34" s="82" t="e">
        <f t="shared" ref="F34" si="12">C34-SUM(D34:E34)</f>
        <v>#REF!</v>
      </c>
      <c r="G34" s="52">
        <v>0.3</v>
      </c>
      <c r="I34" s="56" t="e">
        <f>I15*$G$34</f>
        <v>#REF!</v>
      </c>
      <c r="J34" s="56" t="e">
        <f>J15*$G$34</f>
        <v>#REF!</v>
      </c>
      <c r="K34" s="56" t="e">
        <f>K15*$G$34</f>
        <v>#REF!</v>
      </c>
    </row>
    <row r="35" spans="1:11" ht="16.5" thickBot="1" x14ac:dyDescent="0.3">
      <c r="A35" s="36" t="s">
        <v>60</v>
      </c>
      <c r="B35" s="55" t="e">
        <f>SUM(B33:B34)</f>
        <v>#REF!</v>
      </c>
      <c r="C35" s="55" t="e">
        <f>SUM(C33:C34)</f>
        <v>#REF!</v>
      </c>
      <c r="D35" s="55" t="e">
        <f t="shared" ref="D35:E35" si="13">SUM(D33:D34)</f>
        <v>#REF!</v>
      </c>
      <c r="E35" s="55" t="e">
        <f t="shared" si="13"/>
        <v>#REF!</v>
      </c>
      <c r="F35" s="85" t="e">
        <f>SUM(F33:F34)</f>
        <v>#REF!</v>
      </c>
      <c r="I35" s="55" t="e">
        <f>SUM(I33:I34)</f>
        <v>#REF!</v>
      </c>
      <c r="J35" s="55" t="e">
        <f>SUM(J33:J34)</f>
        <v>#REF!</v>
      </c>
      <c r="K35" s="55" t="e">
        <f>SUM(K33:K34)</f>
        <v>#REF!</v>
      </c>
    </row>
    <row r="36" spans="1:11" x14ac:dyDescent="0.25">
      <c r="B36" s="50" t="e">
        <f>+B34+B33+B29+B24+B21-B5</f>
        <v>#REF!</v>
      </c>
      <c r="C36" s="50" t="e">
        <f>+C34+C33+C29+C24+C21-C5</f>
        <v>#REF!</v>
      </c>
      <c r="D36" s="50" t="e">
        <f t="shared" ref="D36:E36" si="14">+D34+D33+D29+D24+D21-D5</f>
        <v>#REF!</v>
      </c>
      <c r="E36" s="50" t="e">
        <f t="shared" si="14"/>
        <v>#REF!</v>
      </c>
      <c r="F36" s="50" t="e">
        <f>+F34+F33+F29+F24+F21-F5</f>
        <v>#REF!</v>
      </c>
      <c r="G36" s="51" t="s">
        <v>45</v>
      </c>
      <c r="I36" s="50" t="e">
        <f>+I34+I33+I29+I24+I21-I5</f>
        <v>#REF!</v>
      </c>
      <c r="J36" s="50" t="e">
        <f>+J34+J33+J29+J24+J21-J5</f>
        <v>#REF!</v>
      </c>
      <c r="K36" s="50" t="e">
        <f>+K34+K33+K29+K24+K21-K5</f>
        <v>#REF!</v>
      </c>
    </row>
    <row r="38" spans="1:11" x14ac:dyDescent="0.25">
      <c r="B38" t="s">
        <v>70</v>
      </c>
      <c r="C38" s="38"/>
    </row>
    <row r="39" spans="1:11" x14ac:dyDescent="0.25">
      <c r="C39" s="40"/>
    </row>
  </sheetData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3"/>
  <sheetViews>
    <sheetView topLeftCell="A81" zoomScale="115" zoomScaleNormal="115" workbookViewId="0">
      <selection activeCell="P124" sqref="P124"/>
    </sheetView>
  </sheetViews>
  <sheetFormatPr defaultRowHeight="15" outlineLevelRow="1" x14ac:dyDescent="0.25"/>
  <cols>
    <col min="1" max="2" width="12.7109375" customWidth="1"/>
    <col min="3" max="3" width="16.7109375" bestFit="1" customWidth="1"/>
    <col min="4" max="4" width="15" customWidth="1"/>
    <col min="5" max="5" width="12.7109375" customWidth="1"/>
    <col min="6" max="6" width="16.85546875" customWidth="1"/>
    <col min="7" max="11" width="12.7109375" customWidth="1"/>
    <col min="12" max="12" width="9" customWidth="1"/>
    <col min="13" max="13" width="13.5703125" customWidth="1"/>
    <col min="14" max="15" width="5" bestFit="1" customWidth="1"/>
    <col min="17" max="17" width="14.28515625" bestFit="1" customWidth="1"/>
    <col min="18" max="18" width="11.5703125" bestFit="1" customWidth="1"/>
    <col min="19" max="20" width="12.5703125" bestFit="1" customWidth="1"/>
    <col min="21" max="21" width="12.42578125" bestFit="1" customWidth="1"/>
    <col min="22" max="22" width="19.28515625" bestFit="1" customWidth="1"/>
    <col min="23" max="23" width="12.140625" bestFit="1" customWidth="1"/>
    <col min="24" max="24" width="12.28515625" bestFit="1" customWidth="1"/>
  </cols>
  <sheetData>
    <row r="1" spans="1:17" ht="39" thickBot="1" x14ac:dyDescent="0.3">
      <c r="A1" s="1" t="s">
        <v>0</v>
      </c>
      <c r="B1" s="2" t="s">
        <v>25</v>
      </c>
      <c r="C1" s="2" t="s">
        <v>24</v>
      </c>
      <c r="D1" s="2" t="s">
        <v>34</v>
      </c>
      <c r="E1" s="2" t="s">
        <v>26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58</v>
      </c>
      <c r="K1" s="2" t="s">
        <v>39</v>
      </c>
      <c r="L1" s="39">
        <v>7.0000000000000007E-2</v>
      </c>
      <c r="M1" s="39">
        <f>0.3</f>
        <v>0.3</v>
      </c>
      <c r="N1" s="39">
        <f>0.02</f>
        <v>0.02</v>
      </c>
    </row>
    <row r="2" spans="1:17" x14ac:dyDescent="0.25">
      <c r="A2" s="4">
        <v>41426</v>
      </c>
      <c r="B2" s="3">
        <f>+[1]Data!G4</f>
        <v>63.609243909709285</v>
      </c>
      <c r="C2" s="17">
        <v>62.388399999999997</v>
      </c>
      <c r="D2" s="3">
        <f>B2*C2*1000</f>
        <v>3968478.9527365062</v>
      </c>
      <c r="E2" s="3">
        <v>155.25</v>
      </c>
      <c r="F2" s="3">
        <f>D2/E2</f>
        <v>25561.861209252856</v>
      </c>
      <c r="G2" s="3">
        <f t="shared" ref="G2:G8" si="0">F2*$L$1</f>
        <v>1789.3302846477002</v>
      </c>
      <c r="H2" s="14">
        <f t="shared" ref="H2:H8" si="1">B2*$L$9*1000</f>
        <v>27988.06732027209</v>
      </c>
      <c r="I2" s="14">
        <f t="shared" ref="I2:I8" si="2">+B2*$M$9*1000</f>
        <v>33200.844858672761</v>
      </c>
      <c r="J2" s="14">
        <f>IF((F2-G2-H2-I2)&lt;0,0,(F2-G2-H2-I2)*$N$1)</f>
        <v>0</v>
      </c>
      <c r="K2" s="14">
        <f>IF((F2-G2-H2-I2)&lt;0,0,(F2-G2-H2-I2)*$M$1)</f>
        <v>0</v>
      </c>
      <c r="Q2" s="89"/>
    </row>
    <row r="3" spans="1:17" x14ac:dyDescent="0.25">
      <c r="A3" s="4">
        <v>41456</v>
      </c>
      <c r="B3" s="3">
        <f>+[1]Data!G5</f>
        <v>31.550141652735597</v>
      </c>
      <c r="C3" s="17">
        <v>62.388399999999997</v>
      </c>
      <c r="D3" s="3">
        <f t="shared" ref="D3:D8" si="3">(B3*C3)*1000</f>
        <v>1968362.8574875295</v>
      </c>
      <c r="E3" s="3">
        <v>155.26</v>
      </c>
      <c r="F3" s="3">
        <f t="shared" ref="F3:F8" si="4">D3/E3</f>
        <v>12677.849140071683</v>
      </c>
      <c r="G3" s="3">
        <f t="shared" si="0"/>
        <v>887.44943980501785</v>
      </c>
      <c r="H3" s="14">
        <f t="shared" si="1"/>
        <v>13882.062327203665</v>
      </c>
      <c r="I3" s="14">
        <f t="shared" si="2"/>
        <v>16467.596435645344</v>
      </c>
      <c r="J3" s="14">
        <f t="shared" ref="J3:J8" si="5">IF((F3-G3-H3-I3)&lt;0,0,(F3-G3-H3-I3)*$N$1)</f>
        <v>0</v>
      </c>
      <c r="K3" s="14">
        <f t="shared" ref="K3:K8" si="6">IF((F3-G3-H3-I3)&lt;0,0,(F3-G3-H3-I3)*$M$1)</f>
        <v>0</v>
      </c>
      <c r="Q3" s="40"/>
    </row>
    <row r="4" spans="1:17" x14ac:dyDescent="0.25">
      <c r="A4" s="4">
        <v>41487</v>
      </c>
      <c r="B4" s="3">
        <f>+[1]Data!G6</f>
        <v>68.150031068072593</v>
      </c>
      <c r="C4" s="17">
        <v>62.388399999999997</v>
      </c>
      <c r="D4" s="3">
        <f t="shared" si="3"/>
        <v>4251771.3982873401</v>
      </c>
      <c r="E4" s="3">
        <v>155.26</v>
      </c>
      <c r="F4" s="3">
        <f t="shared" si="4"/>
        <v>27384.847341796602</v>
      </c>
      <c r="G4" s="3">
        <f t="shared" si="0"/>
        <v>1916.9393139257622</v>
      </c>
      <c r="H4" s="14">
        <f>B4*$L$9*1000</f>
        <v>29986.013669951943</v>
      </c>
      <c r="I4" s="14">
        <f t="shared" si="2"/>
        <v>35570.908715980491</v>
      </c>
      <c r="J4" s="14">
        <f t="shared" si="5"/>
        <v>0</v>
      </c>
      <c r="K4" s="14">
        <f t="shared" si="6"/>
        <v>0</v>
      </c>
      <c r="Q4" s="40"/>
    </row>
    <row r="5" spans="1:17" x14ac:dyDescent="0.25">
      <c r="A5" s="4">
        <v>41518</v>
      </c>
      <c r="B5" s="3">
        <f>+[1]Data!G7</f>
        <v>58.278777636361355</v>
      </c>
      <c r="C5" s="17">
        <v>62.388399999999997</v>
      </c>
      <c r="D5" s="3">
        <f t="shared" si="3"/>
        <v>3635919.6906883665</v>
      </c>
      <c r="E5" s="3">
        <v>155.26</v>
      </c>
      <c r="F5" s="3">
        <f t="shared" si="4"/>
        <v>23418.264142009317</v>
      </c>
      <c r="G5" s="3">
        <f t="shared" si="0"/>
        <v>1639.2784899406524</v>
      </c>
      <c r="H5" s="14">
        <f t="shared" si="1"/>
        <v>25642.662159998999</v>
      </c>
      <c r="I5" s="14">
        <f t="shared" si="2"/>
        <v>30418.607987298808</v>
      </c>
      <c r="J5" s="14">
        <f t="shared" si="5"/>
        <v>0</v>
      </c>
      <c r="K5" s="14">
        <f t="shared" si="6"/>
        <v>0</v>
      </c>
      <c r="Q5" s="40"/>
    </row>
    <row r="6" spans="1:17" x14ac:dyDescent="0.25">
      <c r="A6" s="4">
        <v>41548</v>
      </c>
      <c r="B6" s="3">
        <f>+[1]Data!G8</f>
        <v>57.720667886300056</v>
      </c>
      <c r="C6" s="17">
        <v>62.388399999999997</v>
      </c>
      <c r="D6" s="3">
        <f t="shared" si="3"/>
        <v>3601100.1163576422</v>
      </c>
      <c r="E6" s="3">
        <v>155.25</v>
      </c>
      <c r="F6" s="3">
        <f t="shared" si="4"/>
        <v>23195.491892802849</v>
      </c>
      <c r="G6" s="3">
        <f t="shared" si="0"/>
        <v>1623.6844324961996</v>
      </c>
      <c r="H6" s="14">
        <f t="shared" si="1"/>
        <v>25397.093869972028</v>
      </c>
      <c r="I6" s="14">
        <f t="shared" si="2"/>
        <v>30127.302603254313</v>
      </c>
      <c r="J6" s="14">
        <f t="shared" si="5"/>
        <v>0</v>
      </c>
      <c r="K6" s="14">
        <f t="shared" si="6"/>
        <v>0</v>
      </c>
      <c r="Q6" s="40"/>
    </row>
    <row r="7" spans="1:17" x14ac:dyDescent="0.25">
      <c r="A7" s="4">
        <v>41579</v>
      </c>
      <c r="B7" s="3">
        <f>+[1]Data!G9</f>
        <v>67.549182621798735</v>
      </c>
      <c r="C7" s="17">
        <v>62.388399999999997</v>
      </c>
      <c r="D7" s="3">
        <f t="shared" si="3"/>
        <v>4214285.4250818286</v>
      </c>
      <c r="E7" s="3">
        <v>155.55000000000001</v>
      </c>
      <c r="F7" s="3">
        <f t="shared" si="4"/>
        <v>27092.802475614455</v>
      </c>
      <c r="G7" s="3">
        <f t="shared" si="0"/>
        <v>1896.4961732930121</v>
      </c>
      <c r="H7" s="14">
        <f t="shared" si="1"/>
        <v>29721.640353591447</v>
      </c>
      <c r="I7" s="14">
        <f t="shared" si="2"/>
        <v>35257.295869447851</v>
      </c>
      <c r="J7" s="14">
        <f t="shared" si="5"/>
        <v>0</v>
      </c>
      <c r="K7" s="14">
        <f t="shared" si="6"/>
        <v>0</v>
      </c>
      <c r="Q7" s="40"/>
    </row>
    <row r="8" spans="1:17" ht="15.75" thickBot="1" x14ac:dyDescent="0.3">
      <c r="A8" s="4">
        <v>41609</v>
      </c>
      <c r="B8" s="3">
        <f>+[1]Data!G10</f>
        <v>44.702217782176199</v>
      </c>
      <c r="C8" s="17">
        <v>62.388399999999997</v>
      </c>
      <c r="D8" s="3">
        <f t="shared" si="3"/>
        <v>2788899.8438815214</v>
      </c>
      <c r="E8" s="3">
        <v>155.22</v>
      </c>
      <c r="F8" s="3">
        <f t="shared" si="4"/>
        <v>17967.400102316205</v>
      </c>
      <c r="G8" s="3">
        <f t="shared" si="0"/>
        <v>1257.7180071621344</v>
      </c>
      <c r="H8" s="14">
        <f t="shared" si="1"/>
        <v>19668.975824157533</v>
      </c>
      <c r="I8" s="14">
        <f t="shared" si="2"/>
        <v>23332.322571406865</v>
      </c>
      <c r="J8" s="14">
        <f t="shared" si="5"/>
        <v>0</v>
      </c>
      <c r="K8" s="14">
        <f t="shared" si="6"/>
        <v>0</v>
      </c>
      <c r="Q8" s="40"/>
    </row>
    <row r="9" spans="1:17" ht="15.75" thickBot="1" x14ac:dyDescent="0.3">
      <c r="A9" s="5" t="s">
        <v>1</v>
      </c>
      <c r="B9" s="6">
        <f>SUM(B2:B8)</f>
        <v>391.56026255715386</v>
      </c>
      <c r="C9" s="42">
        <f>+D9/B9/1000</f>
        <v>62.38839999999999</v>
      </c>
      <c r="D9" s="6">
        <f>SUM(D2:D8)</f>
        <v>24428818.284520734</v>
      </c>
      <c r="E9" s="41">
        <f>AVERAGE(E2:E8)</f>
        <v>155.29285714285714</v>
      </c>
      <c r="F9" s="6">
        <f>SUM(F2:F8)</f>
        <v>157298.51630386396</v>
      </c>
      <c r="G9" s="6">
        <f>SUM(G2:G8)</f>
        <v>11010.896141270479</v>
      </c>
      <c r="H9" s="15">
        <f t="shared" ref="H9:I9" si="7">SUM(H2:H8)</f>
        <v>172286.5155251477</v>
      </c>
      <c r="I9" s="15">
        <f t="shared" si="7"/>
        <v>204374.87904170644</v>
      </c>
      <c r="J9" s="15">
        <f>SUM(J2:J8)</f>
        <v>0</v>
      </c>
      <c r="K9" s="15">
        <f>SUM(K2:K8)</f>
        <v>0</v>
      </c>
      <c r="L9" s="39">
        <f>+[2]Calcs!$L$6</f>
        <v>0.44000000000000006</v>
      </c>
      <c r="M9" s="39">
        <f>+[2]Calcs!$K$6</f>
        <v>0.52195000000000003</v>
      </c>
      <c r="N9" s="39"/>
    </row>
    <row r="10" spans="1:17" x14ac:dyDescent="0.25">
      <c r="A10" s="8">
        <v>41640</v>
      </c>
      <c r="B10" s="3">
        <f>[1]Data!G12</f>
        <v>67.553999782244702</v>
      </c>
      <c r="C10" s="17">
        <v>62.575209999999998</v>
      </c>
      <c r="D10" s="3">
        <f t="shared" ref="D10:D21" si="8">(B10*C10)*1000</f>
        <v>4227205.7227139166</v>
      </c>
      <c r="E10" s="3">
        <v>155.22</v>
      </c>
      <c r="F10" s="3">
        <f>D10/E10</f>
        <v>27233.6407854266</v>
      </c>
      <c r="G10" s="3">
        <f t="shared" ref="G10:G21" si="9">F10*$L$1</f>
        <v>1906.3548549798622</v>
      </c>
      <c r="H10" s="14">
        <f t="shared" ref="H10:H21" si="10">B10*$L$22*1000</f>
        <v>30653.659637250232</v>
      </c>
      <c r="I10" s="14">
        <f t="shared" ref="I10:I21" si="11">+B10*$M$22*1000</f>
        <v>41330.888146772959</v>
      </c>
      <c r="J10" s="14">
        <f t="shared" ref="J10:J21" si="12">IF((F10-G10-H10-I10)&lt;0,0,(F10-G10-H10-I10)*$N$1)</f>
        <v>0</v>
      </c>
      <c r="K10" s="14">
        <f t="shared" ref="K10:K21" si="13">IF((F10-G10-H10-I10)&lt;0,0,(F10-G10-H10-I10)*$M$1)</f>
        <v>0</v>
      </c>
    </row>
    <row r="11" spans="1:17" x14ac:dyDescent="0.25">
      <c r="A11" s="8">
        <v>41671</v>
      </c>
      <c r="B11" s="3">
        <f>[1]Data!G13</f>
        <v>55.564932836415394</v>
      </c>
      <c r="C11" s="17">
        <v>62.575200000000002</v>
      </c>
      <c r="D11" s="3">
        <f t="shared" si="8"/>
        <v>3476986.7852252605</v>
      </c>
      <c r="E11" s="3">
        <v>155.25</v>
      </c>
      <c r="F11" s="3">
        <f t="shared" ref="F11:F21" si="14">D11/E11</f>
        <v>22396.050146378489</v>
      </c>
      <c r="G11" s="3">
        <f t="shared" si="9"/>
        <v>1567.7235102464945</v>
      </c>
      <c r="H11" s="14">
        <f t="shared" si="10"/>
        <v>25213.437315695683</v>
      </c>
      <c r="I11" s="14">
        <f t="shared" si="11"/>
        <v>33995.737207975668</v>
      </c>
      <c r="J11" s="14">
        <f t="shared" si="12"/>
        <v>0</v>
      </c>
      <c r="K11" s="14">
        <f t="shared" si="13"/>
        <v>0</v>
      </c>
    </row>
    <row r="12" spans="1:17" x14ac:dyDescent="0.25">
      <c r="A12" s="8">
        <v>41699</v>
      </c>
      <c r="B12" s="3">
        <f>[1]Data!G14</f>
        <v>75.310160568770669</v>
      </c>
      <c r="C12" s="17">
        <v>62.575200000000002</v>
      </c>
      <c r="D12" s="3">
        <f t="shared" si="8"/>
        <v>4712548.3596229386</v>
      </c>
      <c r="E12" s="3">
        <v>155.25</v>
      </c>
      <c r="F12" s="3">
        <f t="shared" si="14"/>
        <v>30354.578805944853</v>
      </c>
      <c r="G12" s="3">
        <f t="shared" si="9"/>
        <v>2124.82051641614</v>
      </c>
      <c r="H12" s="14">
        <f t="shared" si="10"/>
        <v>34173.136109529281</v>
      </c>
      <c r="I12" s="14">
        <f t="shared" si="11"/>
        <v>46076.262439185273</v>
      </c>
      <c r="J12" s="14">
        <f t="shared" si="12"/>
        <v>0</v>
      </c>
      <c r="K12" s="14">
        <f t="shared" si="13"/>
        <v>0</v>
      </c>
    </row>
    <row r="13" spans="1:17" x14ac:dyDescent="0.25">
      <c r="A13" s="8">
        <v>41730</v>
      </c>
      <c r="B13" s="3">
        <f>[1]Data!G15</f>
        <v>42.626575502063552</v>
      </c>
      <c r="C13" s="17">
        <v>62.575200000000002</v>
      </c>
      <c r="D13" s="3">
        <f t="shared" si="8"/>
        <v>2667366.4873567275</v>
      </c>
      <c r="E13" s="3">
        <v>155.24</v>
      </c>
      <c r="F13" s="3">
        <f t="shared" si="14"/>
        <v>17182.211333140476</v>
      </c>
      <c r="G13" s="3">
        <f t="shared" si="9"/>
        <v>1202.7547933198334</v>
      </c>
      <c r="H13" s="14">
        <f t="shared" si="10"/>
        <v>19342.459975038164</v>
      </c>
      <c r="I13" s="14">
        <f t="shared" si="11"/>
        <v>26079.791423672526</v>
      </c>
      <c r="J13" s="14">
        <f t="shared" si="12"/>
        <v>0</v>
      </c>
      <c r="K13" s="14">
        <f t="shared" si="13"/>
        <v>0</v>
      </c>
    </row>
    <row r="14" spans="1:17" x14ac:dyDescent="0.25">
      <c r="A14" s="8">
        <v>41760</v>
      </c>
      <c r="B14" s="3">
        <f>[1]Data!G16</f>
        <v>8.5563629641167083</v>
      </c>
      <c r="C14" s="17">
        <v>62.575200000000002</v>
      </c>
      <c r="D14" s="3">
        <f t="shared" si="8"/>
        <v>535416.12375219585</v>
      </c>
      <c r="E14" s="3">
        <v>155.22999999999999</v>
      </c>
      <c r="F14" s="3">
        <f t="shared" si="14"/>
        <v>3449.1794353681371</v>
      </c>
      <c r="G14" s="3">
        <f t="shared" si="9"/>
        <v>241.44256047576962</v>
      </c>
      <c r="H14" s="14">
        <f t="shared" si="10"/>
        <v>3882.5804375797074</v>
      </c>
      <c r="I14" s="14">
        <f t="shared" si="11"/>
        <v>5234.9539887058854</v>
      </c>
      <c r="J14" s="14">
        <f t="shared" si="12"/>
        <v>0</v>
      </c>
      <c r="K14" s="14">
        <f t="shared" si="13"/>
        <v>0</v>
      </c>
    </row>
    <row r="15" spans="1:17" x14ac:dyDescent="0.25">
      <c r="A15" s="8">
        <v>41791</v>
      </c>
      <c r="B15" s="3">
        <f>[1]Data!G17</f>
        <v>37.548481453050975</v>
      </c>
      <c r="C15" s="17">
        <v>62.575200000000002</v>
      </c>
      <c r="D15" s="3">
        <f t="shared" si="8"/>
        <v>2349603.7366209552</v>
      </c>
      <c r="E15" s="3">
        <v>155.22999999999999</v>
      </c>
      <c r="F15" s="3">
        <f t="shared" si="14"/>
        <v>15136.27350783325</v>
      </c>
      <c r="G15" s="3">
        <f t="shared" si="9"/>
        <v>1059.5391455483275</v>
      </c>
      <c r="H15" s="14">
        <f t="shared" si="10"/>
        <v>17038.197206199267</v>
      </c>
      <c r="I15" s="14">
        <f t="shared" si="11"/>
        <v>22972.91192260565</v>
      </c>
      <c r="J15" s="14">
        <f t="shared" si="12"/>
        <v>0</v>
      </c>
      <c r="K15" s="14">
        <f t="shared" si="13"/>
        <v>0</v>
      </c>
    </row>
    <row r="16" spans="1:17" x14ac:dyDescent="0.25">
      <c r="A16" s="8">
        <v>41821</v>
      </c>
      <c r="B16" s="3">
        <f>[1]Data!G18</f>
        <v>57.304907716801857</v>
      </c>
      <c r="C16" s="17">
        <v>62.575200000000002</v>
      </c>
      <c r="D16" s="3">
        <f t="shared" si="8"/>
        <v>3585866.0613604197</v>
      </c>
      <c r="E16" s="3">
        <v>155.22999999999999</v>
      </c>
      <c r="F16" s="3">
        <f t="shared" si="14"/>
        <v>23100.341824134637</v>
      </c>
      <c r="G16" s="3">
        <f t="shared" si="9"/>
        <v>1617.0239276894247</v>
      </c>
      <c r="H16" s="14">
        <f t="shared" si="10"/>
        <v>26002.977504768991</v>
      </c>
      <c r="I16" s="14">
        <f t="shared" si="11"/>
        <v>35060.288639293714</v>
      </c>
      <c r="J16" s="14">
        <f t="shared" si="12"/>
        <v>0</v>
      </c>
      <c r="K16" s="14">
        <f t="shared" si="13"/>
        <v>0</v>
      </c>
    </row>
    <row r="17" spans="1:14" x14ac:dyDescent="0.25">
      <c r="A17" s="9">
        <v>41852</v>
      </c>
      <c r="B17" s="3">
        <f>[1]Data!G19</f>
        <v>16.74523280810298</v>
      </c>
      <c r="C17" s="17">
        <v>62.575200000000002</v>
      </c>
      <c r="D17" s="3">
        <f t="shared" si="8"/>
        <v>1047836.2920136056</v>
      </c>
      <c r="E17" s="3">
        <v>155.22999999999999</v>
      </c>
      <c r="F17" s="3">
        <f t="shared" si="14"/>
        <v>6750.2176899671822</v>
      </c>
      <c r="G17" s="3">
        <f t="shared" si="9"/>
        <v>472.51523829770281</v>
      </c>
      <c r="H17" s="14">
        <f t="shared" si="10"/>
        <v>7598.4052565458405</v>
      </c>
      <c r="I17" s="14">
        <f t="shared" si="11"/>
        <v>10245.068336653565</v>
      </c>
      <c r="J17" s="14">
        <f t="shared" si="12"/>
        <v>0</v>
      </c>
      <c r="K17" s="14">
        <f t="shared" si="13"/>
        <v>0</v>
      </c>
    </row>
    <row r="18" spans="1:14" x14ac:dyDescent="0.25">
      <c r="A18" s="9">
        <v>41883</v>
      </c>
      <c r="B18" s="3">
        <f>[1]Data!G20</f>
        <v>59.650429719757469</v>
      </c>
      <c r="C18" s="17">
        <v>62.575200000000002</v>
      </c>
      <c r="D18" s="3">
        <f t="shared" si="8"/>
        <v>3732637.5697997678</v>
      </c>
      <c r="E18" s="3">
        <v>155.25</v>
      </c>
      <c r="F18" s="3">
        <f t="shared" si="14"/>
        <v>24042.754072784333</v>
      </c>
      <c r="G18" s="3">
        <f t="shared" si="9"/>
        <v>1682.9927850949034</v>
      </c>
      <c r="H18" s="14">
        <f t="shared" si="10"/>
        <v>27067.293953566154</v>
      </c>
      <c r="I18" s="14">
        <f t="shared" si="11"/>
        <v>36495.325911142019</v>
      </c>
      <c r="J18" s="14">
        <f t="shared" si="12"/>
        <v>0</v>
      </c>
      <c r="K18" s="14">
        <f t="shared" si="13"/>
        <v>0</v>
      </c>
    </row>
    <row r="19" spans="1:14" x14ac:dyDescent="0.25">
      <c r="A19" s="9">
        <v>41913</v>
      </c>
      <c r="B19" s="3">
        <f>[1]Data!G21</f>
        <v>12.61120639120599</v>
      </c>
      <c r="C19" s="17">
        <v>62.575200000000002</v>
      </c>
      <c r="D19" s="3">
        <f t="shared" si="8"/>
        <v>789148.76217099314</v>
      </c>
      <c r="E19" s="3">
        <v>155.26</v>
      </c>
      <c r="F19" s="3">
        <f t="shared" si="14"/>
        <v>5082.7564225878732</v>
      </c>
      <c r="G19" s="3">
        <f t="shared" si="9"/>
        <v>355.79294958115116</v>
      </c>
      <c r="H19" s="14">
        <f t="shared" si="10"/>
        <v>5722.5276012856966</v>
      </c>
      <c r="I19" s="14">
        <f t="shared" si="11"/>
        <v>7715.7882942676488</v>
      </c>
      <c r="J19" s="14">
        <f t="shared" si="12"/>
        <v>0</v>
      </c>
      <c r="K19" s="14">
        <f t="shared" si="13"/>
        <v>0</v>
      </c>
    </row>
    <row r="20" spans="1:14" x14ac:dyDescent="0.25">
      <c r="A20" s="9">
        <v>41944</v>
      </c>
      <c r="B20" s="3">
        <f>[1]Data!G22</f>
        <v>11.401404066846643</v>
      </c>
      <c r="C20" s="17">
        <v>62.575200000000002</v>
      </c>
      <c r="D20" s="3">
        <f t="shared" si="8"/>
        <v>713445.1397637421</v>
      </c>
      <c r="E20" s="3">
        <v>157.91</v>
      </c>
      <c r="F20" s="3">
        <f t="shared" si="14"/>
        <v>4518.0491404201257</v>
      </c>
      <c r="G20" s="3">
        <f t="shared" si="9"/>
        <v>316.26343982940881</v>
      </c>
      <c r="H20" s="14">
        <f t="shared" si="10"/>
        <v>5173.5613106322044</v>
      </c>
      <c r="I20" s="14">
        <f t="shared" si="11"/>
        <v>6975.607036178114</v>
      </c>
      <c r="J20" s="14">
        <f t="shared" si="12"/>
        <v>0</v>
      </c>
      <c r="K20" s="14">
        <f t="shared" si="13"/>
        <v>0</v>
      </c>
    </row>
    <row r="21" spans="1:14" ht="15.75" thickBot="1" x14ac:dyDescent="0.3">
      <c r="A21" s="9">
        <v>41974</v>
      </c>
      <c r="B21" s="3">
        <f>[1]Data!G23</f>
        <v>12.754657967777495</v>
      </c>
      <c r="C21" s="17">
        <v>62.575200000000002</v>
      </c>
      <c r="D21" s="3">
        <f t="shared" si="8"/>
        <v>798125.2732652704</v>
      </c>
      <c r="E21" s="3">
        <v>157.91</v>
      </c>
      <c r="F21" s="3">
        <f t="shared" si="14"/>
        <v>5054.3048145479734</v>
      </c>
      <c r="G21" s="3">
        <f t="shared" si="9"/>
        <v>353.8013370183582</v>
      </c>
      <c r="H21" s="14">
        <f t="shared" si="10"/>
        <v>5787.620946118338</v>
      </c>
      <c r="I21" s="14">
        <f t="shared" si="11"/>
        <v>7803.5548378456278</v>
      </c>
      <c r="J21" s="14">
        <f t="shared" si="12"/>
        <v>0</v>
      </c>
      <c r="K21" s="14">
        <f t="shared" si="13"/>
        <v>0</v>
      </c>
    </row>
    <row r="22" spans="1:14" ht="15.75" thickBot="1" x14ac:dyDescent="0.3">
      <c r="A22" s="10" t="s">
        <v>2</v>
      </c>
      <c r="B22" s="7">
        <f>SUM(B10:B21)</f>
        <v>457.62835177715442</v>
      </c>
      <c r="C22" s="42">
        <f>+D22/B22/1000</f>
        <v>62.575201476176012</v>
      </c>
      <c r="D22" s="7">
        <f>SUM(D10:D21)</f>
        <v>28636186.313665789</v>
      </c>
      <c r="E22" s="41">
        <f>AVERAGE(E15:E21)</f>
        <v>156.00285714285715</v>
      </c>
      <c r="F22" s="7">
        <f>SUM(F10:F21)</f>
        <v>184300.35797853392</v>
      </c>
      <c r="G22" s="7">
        <f>SUM(G10:G21)</f>
        <v>12901.025058497378</v>
      </c>
      <c r="H22" s="15">
        <f t="shared" ref="H22:I22" si="15">SUM(H10:H21)</f>
        <v>207655.85725420955</v>
      </c>
      <c r="I22" s="15">
        <f t="shared" si="15"/>
        <v>279986.17818429862</v>
      </c>
      <c r="J22" s="15">
        <f>SUM(J10:J21)</f>
        <v>0</v>
      </c>
      <c r="K22" s="15">
        <f>SUM(K10:K21)</f>
        <v>0</v>
      </c>
      <c r="L22" s="39">
        <f>+[2]Calcs!$L$7</f>
        <v>0.4537652801619449</v>
      </c>
      <c r="M22" s="39">
        <f>+[2]Calcs!$K$7</f>
        <v>0.61182000000000003</v>
      </c>
      <c r="N22" s="39"/>
    </row>
    <row r="23" spans="1:14" x14ac:dyDescent="0.25">
      <c r="A23" s="11">
        <v>42005</v>
      </c>
      <c r="B23" s="3">
        <f>[1]Data!G25</f>
        <v>26.508050586328583</v>
      </c>
      <c r="C23" s="17">
        <v>64.901439999999994</v>
      </c>
      <c r="D23" s="3">
        <f t="shared" ref="D23:D34" si="16">(B23*C23)*1000</f>
        <v>1720410.6546455692</v>
      </c>
      <c r="E23" s="3">
        <v>167.5</v>
      </c>
      <c r="F23" s="3">
        <f>D23/E23</f>
        <v>10271.108385943697</v>
      </c>
      <c r="G23" s="3">
        <f t="shared" ref="G23:G34" si="17">F23*$L$1</f>
        <v>718.97758701605881</v>
      </c>
      <c r="H23" s="14">
        <f t="shared" ref="H23:H34" si="18">B23*$L$35*1000</f>
        <v>12037.171149500977</v>
      </c>
      <c r="I23" s="14">
        <f t="shared" ref="I23:I34" si="19">+B23*$M$35*1000</f>
        <v>8756.4043501819215</v>
      </c>
      <c r="J23" s="14">
        <f t="shared" ref="J23:J34" si="20">IF((F23-G23-H23-I23)&lt;0,0,(F23-G23-H23-I23)*$N$1)</f>
        <v>0</v>
      </c>
      <c r="K23" s="14">
        <f t="shared" ref="K23:K34" si="21">IF((F23-G23-H23-I23)&lt;0,0,(F23-G23-H23-I23)*$M$1)</f>
        <v>0</v>
      </c>
    </row>
    <row r="24" spans="1:14" x14ac:dyDescent="0.25">
      <c r="A24" s="11">
        <v>42036</v>
      </c>
      <c r="B24" s="3">
        <f>[1]Data!G26</f>
        <v>25.037883281276631</v>
      </c>
      <c r="C24" s="17">
        <v>64.901439999999994</v>
      </c>
      <c r="D24" s="3">
        <f t="shared" si="16"/>
        <v>1624994.6795067783</v>
      </c>
      <c r="E24" s="3">
        <v>167.5</v>
      </c>
      <c r="F24" s="3">
        <f t="shared" ref="F24:F34" si="22">D24/E24</f>
        <v>9701.4607731747947</v>
      </c>
      <c r="G24" s="3">
        <f t="shared" si="17"/>
        <v>679.10225412223565</v>
      </c>
      <c r="H24" s="14">
        <f t="shared" si="18"/>
        <v>11369.575642555707</v>
      </c>
      <c r="I24" s="14">
        <f t="shared" si="19"/>
        <v>8270.7639843041106</v>
      </c>
      <c r="J24" s="14">
        <f t="shared" si="20"/>
        <v>0</v>
      </c>
      <c r="K24" s="14">
        <f t="shared" si="21"/>
        <v>0</v>
      </c>
    </row>
    <row r="25" spans="1:14" x14ac:dyDescent="0.25">
      <c r="A25" s="11">
        <v>42064</v>
      </c>
      <c r="B25" s="3">
        <f>[1]Data!G27</f>
        <v>16.684627329104902</v>
      </c>
      <c r="C25" s="17">
        <v>64.901439999999994</v>
      </c>
      <c r="D25" s="3">
        <f t="shared" si="16"/>
        <v>1082856.3395222621</v>
      </c>
      <c r="E25" s="3">
        <v>197.5</v>
      </c>
      <c r="F25" s="3">
        <f t="shared" si="22"/>
        <v>5482.8169089734793</v>
      </c>
      <c r="G25" s="3">
        <f t="shared" si="17"/>
        <v>383.79718362814356</v>
      </c>
      <c r="H25" s="14">
        <f t="shared" si="18"/>
        <v>7576.4045368789693</v>
      </c>
      <c r="I25" s="14">
        <f t="shared" si="19"/>
        <v>5511.4329456232226</v>
      </c>
      <c r="J25" s="14">
        <f t="shared" si="20"/>
        <v>0</v>
      </c>
      <c r="K25" s="14">
        <f t="shared" si="21"/>
        <v>0</v>
      </c>
    </row>
    <row r="26" spans="1:14" x14ac:dyDescent="0.25">
      <c r="A26" s="11">
        <v>42095</v>
      </c>
      <c r="B26" s="3">
        <f>[1]Data!G28</f>
        <v>25.052943999084537</v>
      </c>
      <c r="C26" s="17">
        <v>64.901439999999994</v>
      </c>
      <c r="D26" s="3">
        <f t="shared" si="16"/>
        <v>1625972.1417799448</v>
      </c>
      <c r="E26" s="3">
        <v>196.5</v>
      </c>
      <c r="F26" s="3">
        <f t="shared" si="22"/>
        <v>8274.6673881931038</v>
      </c>
      <c r="G26" s="3">
        <f t="shared" si="17"/>
        <v>579.22671717351727</v>
      </c>
      <c r="H26" s="14">
        <f t="shared" si="18"/>
        <v>11376.41463802607</v>
      </c>
      <c r="I26" s="14">
        <f t="shared" si="19"/>
        <v>8275.738991217595</v>
      </c>
      <c r="J26" s="14">
        <f t="shared" si="20"/>
        <v>0</v>
      </c>
      <c r="K26" s="14">
        <f t="shared" si="21"/>
        <v>0</v>
      </c>
    </row>
    <row r="27" spans="1:14" x14ac:dyDescent="0.25">
      <c r="A27" s="11">
        <v>42125</v>
      </c>
      <c r="B27" s="3">
        <f>[1]Data!G29</f>
        <v>25.591564809327263</v>
      </c>
      <c r="C27" s="17">
        <v>64.901439999999994</v>
      </c>
      <c r="D27" s="3">
        <f t="shared" si="16"/>
        <v>1660929.4079786646</v>
      </c>
      <c r="E27" s="3">
        <v>196.5</v>
      </c>
      <c r="F27" s="3">
        <f t="shared" si="22"/>
        <v>8452.5669617234835</v>
      </c>
      <c r="G27" s="3">
        <f t="shared" si="17"/>
        <v>591.67968732064389</v>
      </c>
      <c r="H27" s="14">
        <f t="shared" si="18"/>
        <v>11620.999612558991</v>
      </c>
      <c r="I27" s="14">
        <f t="shared" si="19"/>
        <v>8453.661603465076</v>
      </c>
      <c r="J27" s="14">
        <f t="shared" si="20"/>
        <v>0</v>
      </c>
      <c r="K27" s="14">
        <f t="shared" si="21"/>
        <v>0</v>
      </c>
    </row>
    <row r="28" spans="1:14" x14ac:dyDescent="0.25">
      <c r="A28" s="11">
        <v>42156</v>
      </c>
      <c r="B28" s="3">
        <f>[1]Data!G30</f>
        <v>29.905711627740256</v>
      </c>
      <c r="C28" s="17">
        <v>64.901439999999994</v>
      </c>
      <c r="D28" s="3">
        <f t="shared" si="16"/>
        <v>1940923.7488650866</v>
      </c>
      <c r="E28" s="3">
        <v>196.4</v>
      </c>
      <c r="F28" s="3">
        <f t="shared" si="22"/>
        <v>9882.5038129586883</v>
      </c>
      <c r="G28" s="3">
        <f t="shared" si="17"/>
        <v>691.77526690710829</v>
      </c>
      <c r="H28" s="14">
        <f t="shared" si="18"/>
        <v>13580.031773305473</v>
      </c>
      <c r="I28" s="14">
        <f t="shared" si="19"/>
        <v>9878.7537219914393</v>
      </c>
      <c r="J28" s="14">
        <f t="shared" si="20"/>
        <v>0</v>
      </c>
      <c r="K28" s="14">
        <f t="shared" si="21"/>
        <v>0</v>
      </c>
    </row>
    <row r="29" spans="1:14" x14ac:dyDescent="0.25">
      <c r="A29" s="11">
        <v>42186</v>
      </c>
      <c r="B29" s="3">
        <f>[1]Data!G31</f>
        <v>53.29088627449962</v>
      </c>
      <c r="C29" s="17">
        <v>64.901439999999994</v>
      </c>
      <c r="D29" s="3">
        <f t="shared" si="16"/>
        <v>3458655.2580912602</v>
      </c>
      <c r="E29" s="3">
        <v>196.4</v>
      </c>
      <c r="F29" s="3">
        <f t="shared" si="22"/>
        <v>17610.260988244707</v>
      </c>
      <c r="G29" s="3">
        <f t="shared" si="17"/>
        <v>1232.7182691771295</v>
      </c>
      <c r="H29" s="14">
        <f t="shared" si="18"/>
        <v>24199.12081824609</v>
      </c>
      <c r="I29" s="14">
        <f t="shared" si="19"/>
        <v>17603.578463055459</v>
      </c>
      <c r="J29" s="14">
        <f t="shared" si="20"/>
        <v>0</v>
      </c>
      <c r="K29" s="14">
        <f t="shared" si="21"/>
        <v>0</v>
      </c>
    </row>
    <row r="30" spans="1:14" x14ac:dyDescent="0.25">
      <c r="A30" s="11">
        <v>42217</v>
      </c>
      <c r="B30" s="3">
        <f>[1]Data!G32</f>
        <v>74.482785802767054</v>
      </c>
      <c r="C30" s="17">
        <v>64.901439999999994</v>
      </c>
      <c r="D30" s="3">
        <f t="shared" si="16"/>
        <v>4834040.0538111376</v>
      </c>
      <c r="E30" s="3">
        <v>196.5</v>
      </c>
      <c r="F30" s="3">
        <f t="shared" si="22"/>
        <v>24600.712742041411</v>
      </c>
      <c r="G30" s="3">
        <f t="shared" si="17"/>
        <v>1722.049891942899</v>
      </c>
      <c r="H30" s="14">
        <f t="shared" si="18"/>
        <v>33822.254770478175</v>
      </c>
      <c r="I30" s="14">
        <f t="shared" si="19"/>
        <v>24603.89863422804</v>
      </c>
      <c r="J30" s="14">
        <f t="shared" si="20"/>
        <v>0</v>
      </c>
      <c r="K30" s="14">
        <f t="shared" si="21"/>
        <v>0</v>
      </c>
    </row>
    <row r="31" spans="1:14" x14ac:dyDescent="0.25">
      <c r="A31" s="11">
        <v>42248</v>
      </c>
      <c r="B31" s="3">
        <f>[1]Data!G33</f>
        <v>43.645279128623386</v>
      </c>
      <c r="C31" s="17">
        <v>64.901439999999994</v>
      </c>
      <c r="D31" s="3">
        <f t="shared" si="16"/>
        <v>2832641.4646496028</v>
      </c>
      <c r="E31" s="3">
        <v>196.5</v>
      </c>
      <c r="F31" s="3">
        <f t="shared" si="22"/>
        <v>14415.478191601032</v>
      </c>
      <c r="G31" s="3">
        <f t="shared" si="17"/>
        <v>1009.0834734120724</v>
      </c>
      <c r="H31" s="14">
        <f t="shared" si="18"/>
        <v>19819.099598743702</v>
      </c>
      <c r="I31" s="14">
        <f t="shared" si="19"/>
        <v>14417.345054558164</v>
      </c>
      <c r="J31" s="14">
        <f t="shared" si="20"/>
        <v>0</v>
      </c>
      <c r="K31" s="14">
        <f t="shared" si="21"/>
        <v>0</v>
      </c>
    </row>
    <row r="32" spans="1:14" x14ac:dyDescent="0.25">
      <c r="A32" s="11">
        <v>42278</v>
      </c>
      <c r="B32" s="3">
        <f>[1]Data!G34</f>
        <v>36.224886396509561</v>
      </c>
      <c r="C32" s="17">
        <v>64.901439999999994</v>
      </c>
      <c r="D32" s="3">
        <f t="shared" si="16"/>
        <v>2351047.2909698812</v>
      </c>
      <c r="E32" s="3">
        <v>196.5</v>
      </c>
      <c r="F32" s="3">
        <f t="shared" si="22"/>
        <v>11964.61725684418</v>
      </c>
      <c r="G32" s="3">
        <f t="shared" si="17"/>
        <v>837.52320797909272</v>
      </c>
      <c r="H32" s="14">
        <f t="shared" si="18"/>
        <v>16449.536943727722</v>
      </c>
      <c r="I32" s="14">
        <f t="shared" si="19"/>
        <v>11966.166723359003</v>
      </c>
      <c r="J32" s="14">
        <f t="shared" si="20"/>
        <v>0</v>
      </c>
      <c r="K32" s="14">
        <f t="shared" si="21"/>
        <v>0</v>
      </c>
    </row>
    <row r="33" spans="1:14" x14ac:dyDescent="0.25">
      <c r="A33" s="11">
        <v>42309</v>
      </c>
      <c r="B33" s="3">
        <f>[1]Data!G35</f>
        <v>46.142442844726368</v>
      </c>
      <c r="C33" s="17">
        <v>64.901439999999994</v>
      </c>
      <c r="D33" s="3">
        <f t="shared" si="16"/>
        <v>2994710.9857404376</v>
      </c>
      <c r="E33" s="3">
        <v>196.5</v>
      </c>
      <c r="F33" s="3">
        <f t="shared" si="22"/>
        <v>15240.259469416986</v>
      </c>
      <c r="G33" s="3">
        <f t="shared" si="17"/>
        <v>1066.818162859189</v>
      </c>
      <c r="H33" s="14">
        <f t="shared" si="18"/>
        <v>20953.04896032211</v>
      </c>
      <c r="I33" s="14">
        <f t="shared" si="19"/>
        <v>15242.233144898462</v>
      </c>
      <c r="J33" s="14">
        <f t="shared" si="20"/>
        <v>0</v>
      </c>
      <c r="K33" s="14">
        <f t="shared" si="21"/>
        <v>0</v>
      </c>
    </row>
    <row r="34" spans="1:14" ht="15.75" thickBot="1" x14ac:dyDescent="0.3">
      <c r="A34" s="11">
        <v>42339</v>
      </c>
      <c r="B34" s="3">
        <f>[1]Data!G36</f>
        <v>21.525434682065459</v>
      </c>
      <c r="C34" s="17">
        <v>64.901439999999994</v>
      </c>
      <c r="D34" s="3">
        <f t="shared" si="16"/>
        <v>1397031.7074919904</v>
      </c>
      <c r="E34" s="3">
        <v>196.5</v>
      </c>
      <c r="F34" s="3">
        <f t="shared" si="22"/>
        <v>7109.5761195521145</v>
      </c>
      <c r="G34" s="3">
        <f t="shared" si="17"/>
        <v>497.67032836864809</v>
      </c>
      <c r="H34" s="14">
        <f t="shared" si="18"/>
        <v>9774.5905717057376</v>
      </c>
      <c r="I34" s="14">
        <f t="shared" si="19"/>
        <v>7110.496838526683</v>
      </c>
      <c r="J34" s="14">
        <f t="shared" si="20"/>
        <v>0</v>
      </c>
      <c r="K34" s="14">
        <f t="shared" si="21"/>
        <v>0</v>
      </c>
    </row>
    <row r="35" spans="1:14" ht="15.75" thickBot="1" x14ac:dyDescent="0.3">
      <c r="A35" s="10" t="s">
        <v>3</v>
      </c>
      <c r="B35" s="7">
        <f>SUM(B23:B34)</f>
        <v>424.09249676205354</v>
      </c>
      <c r="C35" s="42">
        <f>+D35/B35/1000</f>
        <v>64.901440000000008</v>
      </c>
      <c r="D35" s="7">
        <f>SUM(D23:D34)</f>
        <v>27524213.733052615</v>
      </c>
      <c r="E35" s="41">
        <f>AVERAGE(E28:E34)</f>
        <v>196.47142857142856</v>
      </c>
      <c r="F35" s="7">
        <f>SUM(F23:F34)</f>
        <v>143006.02899866767</v>
      </c>
      <c r="G35" s="7">
        <f>SUM(G23:G34)</f>
        <v>10010.422029906738</v>
      </c>
      <c r="H35" s="15">
        <f t="shared" ref="H35:I35" si="23">SUM(H23:H34)</f>
        <v>192578.24901604973</v>
      </c>
      <c r="I35" s="15">
        <f t="shared" si="23"/>
        <v>140090.47445540916</v>
      </c>
      <c r="J35" s="15">
        <f>SUM(J23:J34)</f>
        <v>0</v>
      </c>
      <c r="K35" s="15">
        <f>SUM(K23:K34)</f>
        <v>0</v>
      </c>
      <c r="L35" s="39">
        <f>+[2]Calcs!$L$8</f>
        <v>0.45409492147676445</v>
      </c>
      <c r="M35" s="39">
        <f>+[2]Calcs!$K$8</f>
        <v>0.33033000000000001</v>
      </c>
      <c r="N35" s="39"/>
    </row>
    <row r="36" spans="1:14" outlineLevel="1" x14ac:dyDescent="0.25">
      <c r="A36" s="11">
        <v>42370</v>
      </c>
      <c r="B36" s="3">
        <f>[3]Data!G38</f>
        <v>26.597926339021729</v>
      </c>
      <c r="C36" s="17">
        <f>'[4]2016'!F5</f>
        <v>77.396119999999996</v>
      </c>
      <c r="D36" s="3">
        <f>(B36*C36)*1000</f>
        <v>2058576.2986860864</v>
      </c>
      <c r="E36" s="3">
        <v>196.5</v>
      </c>
      <c r="F36" s="3">
        <f>D36/E36</f>
        <v>10476.215260488989</v>
      </c>
      <c r="G36" s="3">
        <f t="shared" ref="G36:G47" si="24">F36*$L$1</f>
        <v>733.33506823422931</v>
      </c>
      <c r="H36" s="14">
        <f>B36*$L$48*1000</f>
        <v>12227.448315358326</v>
      </c>
      <c r="I36" s="14">
        <f>+B36*$M$48*1000</f>
        <v>7611.0704297998191</v>
      </c>
      <c r="J36" s="14">
        <f t="shared" ref="J36:J47" si="25">IF((F36-G36-H36-I36)&lt;0,0,(F36-G36-H36-I36)*$N$1)</f>
        <v>0</v>
      </c>
      <c r="K36" s="14">
        <f t="shared" ref="K36:K47" si="26">IF((F36-G36-H36-I36)&lt;0,0,(F36-G36-H36-I36)*$M$1)</f>
        <v>0</v>
      </c>
    </row>
    <row r="37" spans="1:14" outlineLevel="1" x14ac:dyDescent="0.25">
      <c r="A37" s="11">
        <v>42401</v>
      </c>
      <c r="B37" s="3">
        <f>[3]Data!G39</f>
        <v>21.438086580647937</v>
      </c>
      <c r="C37" s="17">
        <f>'[4]2016'!F6</f>
        <v>77.396119999999996</v>
      </c>
      <c r="D37" s="3">
        <f t="shared" ref="D37:D47" si="27">(B37*C37)*1000</f>
        <v>1659224.7215662173</v>
      </c>
      <c r="E37" s="3">
        <v>196.5</v>
      </c>
      <c r="F37" s="3">
        <f t="shared" ref="F37:F47" si="28">D37/E37</f>
        <v>8443.8917128051762</v>
      </c>
      <c r="G37" s="3">
        <f t="shared" si="24"/>
        <v>591.07241989636236</v>
      </c>
      <c r="H37" s="14">
        <f t="shared" ref="H37:H47" si="29">B37*$L$48*1000</f>
        <v>9855.3959547017403</v>
      </c>
      <c r="I37" s="14">
        <f t="shared" ref="I37:I47" si="30">+B37*$M$48*1000</f>
        <v>6134.5679646490471</v>
      </c>
      <c r="J37" s="14">
        <f t="shared" si="25"/>
        <v>0</v>
      </c>
      <c r="K37" s="14">
        <f t="shared" si="26"/>
        <v>0</v>
      </c>
    </row>
    <row r="38" spans="1:14" outlineLevel="1" x14ac:dyDescent="0.25">
      <c r="A38" s="11">
        <v>42430</v>
      </c>
      <c r="B38" s="3">
        <f>[3]Data!G40</f>
        <v>22.698398358785553</v>
      </c>
      <c r="C38" s="17">
        <f>'[4]2016'!F7</f>
        <v>77.396119999999996</v>
      </c>
      <c r="D38" s="3">
        <f t="shared" si="27"/>
        <v>1756767.9631843695</v>
      </c>
      <c r="E38" s="3">
        <v>196.5</v>
      </c>
      <c r="F38" s="3">
        <f>D38/E38</f>
        <v>8940.2949780375038</v>
      </c>
      <c r="G38" s="3">
        <f t="shared" si="24"/>
        <v>625.82064846262529</v>
      </c>
      <c r="H38" s="14">
        <f t="shared" si="29"/>
        <v>10434.77935970826</v>
      </c>
      <c r="I38" s="14">
        <f t="shared" si="30"/>
        <v>6495.209677264018</v>
      </c>
      <c r="J38" s="14">
        <f t="shared" si="25"/>
        <v>0</v>
      </c>
      <c r="K38" s="14">
        <f t="shared" si="26"/>
        <v>0</v>
      </c>
    </row>
    <row r="39" spans="1:14" outlineLevel="1" x14ac:dyDescent="0.25">
      <c r="A39" s="11">
        <v>42461</v>
      </c>
      <c r="B39" s="3">
        <f>[3]Data!G41</f>
        <v>23.146667455201484</v>
      </c>
      <c r="C39" s="17">
        <f>'[4]2016'!F8</f>
        <v>77.396119999999996</v>
      </c>
      <c r="D39" s="3">
        <f t="shared" si="27"/>
        <v>1791462.2519628685</v>
      </c>
      <c r="E39" s="3">
        <v>196.5</v>
      </c>
      <c r="F39" s="3">
        <f t="shared" si="28"/>
        <v>9116.8562440858441</v>
      </c>
      <c r="G39" s="3">
        <f t="shared" si="24"/>
        <v>638.17993708600909</v>
      </c>
      <c r="H39" s="14">
        <f t="shared" si="29"/>
        <v>10640.855094257415</v>
      </c>
      <c r="I39" s="14">
        <f t="shared" si="30"/>
        <v>6623.483123127312</v>
      </c>
      <c r="J39" s="14">
        <f t="shared" si="25"/>
        <v>0</v>
      </c>
      <c r="K39" s="14">
        <f t="shared" si="26"/>
        <v>0</v>
      </c>
    </row>
    <row r="40" spans="1:14" outlineLevel="1" x14ac:dyDescent="0.25">
      <c r="A40" s="11">
        <v>42491</v>
      </c>
      <c r="B40" s="3">
        <f>[3]Data!G42</f>
        <v>17.549690110389228</v>
      </c>
      <c r="C40" s="17">
        <f>'[4]2016'!F9</f>
        <v>77.396119999999996</v>
      </c>
      <c r="D40" s="3">
        <f>(B40*C40)*1000</f>
        <v>1358277.921746498</v>
      </c>
      <c r="E40" s="3">
        <v>196.5</v>
      </c>
      <c r="F40" s="3">
        <f t="shared" si="28"/>
        <v>6912.3558358600403</v>
      </c>
      <c r="G40" s="3">
        <f>F40*$L$1</f>
        <v>483.86490851020289</v>
      </c>
      <c r="H40" s="14">
        <f t="shared" si="29"/>
        <v>8067.8443138824041</v>
      </c>
      <c r="I40" s="14">
        <f t="shared" si="30"/>
        <v>5021.8925245826722</v>
      </c>
      <c r="J40" s="14">
        <f t="shared" si="25"/>
        <v>0</v>
      </c>
      <c r="K40" s="14">
        <f t="shared" si="26"/>
        <v>0</v>
      </c>
    </row>
    <row r="41" spans="1:14" outlineLevel="1" x14ac:dyDescent="0.25">
      <c r="A41" s="11">
        <v>42522</v>
      </c>
      <c r="B41" s="3">
        <f>[3]Data!G43</f>
        <v>3.8738883108019229</v>
      </c>
      <c r="C41" s="17">
        <f>'[4]2016'!F10</f>
        <v>77.396119999999996</v>
      </c>
      <c r="D41" s="3">
        <f t="shared" si="27"/>
        <v>299823.9245694229</v>
      </c>
      <c r="E41" s="3">
        <v>196.5</v>
      </c>
      <c r="F41" s="3">
        <f t="shared" si="28"/>
        <v>1525.8214990810327</v>
      </c>
      <c r="G41" s="3">
        <f t="shared" si="24"/>
        <v>106.8075049356723</v>
      </c>
      <c r="H41" s="14">
        <f>B41*$L$48*1000</f>
        <v>1780.8820317811089</v>
      </c>
      <c r="I41" s="14">
        <f t="shared" si="30"/>
        <v>1108.523889978414</v>
      </c>
      <c r="J41" s="14">
        <f t="shared" si="25"/>
        <v>0</v>
      </c>
      <c r="K41" s="14">
        <f t="shared" si="26"/>
        <v>0</v>
      </c>
    </row>
    <row r="42" spans="1:14" outlineLevel="1" x14ac:dyDescent="0.25">
      <c r="A42" s="11">
        <v>42552</v>
      </c>
      <c r="B42" s="3">
        <f>[3]Data!G44</f>
        <v>23.268092117070275</v>
      </c>
      <c r="C42" s="17">
        <f>'[4]2016'!F11</f>
        <v>77.396119999999996</v>
      </c>
      <c r="D42" s="3">
        <f t="shared" si="27"/>
        <v>1800860.0496638247</v>
      </c>
      <c r="E42" s="3">
        <v>280.5</v>
      </c>
      <c r="F42" s="3">
        <f t="shared" si="28"/>
        <v>6420.1784301740636</v>
      </c>
      <c r="G42" s="3">
        <f>F42*$L$1</f>
        <v>449.41249011218451</v>
      </c>
      <c r="H42" s="14">
        <f t="shared" si="29"/>
        <v>10696.675753292486</v>
      </c>
      <c r="I42" s="14">
        <f t="shared" si="30"/>
        <v>6658.229127068309</v>
      </c>
      <c r="J42" s="14">
        <f t="shared" si="25"/>
        <v>0</v>
      </c>
      <c r="K42" s="14">
        <f t="shared" si="26"/>
        <v>0</v>
      </c>
    </row>
    <row r="43" spans="1:14" outlineLevel="1" x14ac:dyDescent="0.25">
      <c r="A43" s="11">
        <v>42583</v>
      </c>
      <c r="B43" s="3">
        <f>[3]Data!G45</f>
        <v>10.93290397290798</v>
      </c>
      <c r="C43" s="17">
        <f>'[4]2016'!F12</f>
        <v>77.396119999999996</v>
      </c>
      <c r="D43" s="3">
        <f t="shared" si="27"/>
        <v>846164.34783566277</v>
      </c>
      <c r="E43" s="3">
        <v>309.5</v>
      </c>
      <c r="F43" s="3">
        <f t="shared" si="28"/>
        <v>2733.9720447032723</v>
      </c>
      <c r="G43" s="3">
        <f t="shared" si="24"/>
        <v>191.37804312922907</v>
      </c>
      <c r="H43" s="14">
        <f t="shared" si="29"/>
        <v>5026.0128012079022</v>
      </c>
      <c r="I43" s="14">
        <f t="shared" si="30"/>
        <v>3128.4808100984228</v>
      </c>
      <c r="J43" s="14">
        <f t="shared" si="25"/>
        <v>0</v>
      </c>
      <c r="K43" s="14">
        <f t="shared" si="26"/>
        <v>0</v>
      </c>
    </row>
    <row r="44" spans="1:14" outlineLevel="1" x14ac:dyDescent="0.25">
      <c r="A44" s="11">
        <v>42614</v>
      </c>
      <c r="B44" s="3">
        <f>[3]Data!G46</f>
        <v>0.5764684513880669</v>
      </c>
      <c r="C44" s="17">
        <f>'[4]2016'!F13</f>
        <v>77.396119999999996</v>
      </c>
      <c r="D44" s="3">
        <f t="shared" si="27"/>
        <v>44616.421439844991</v>
      </c>
      <c r="E44" s="3">
        <v>304.5</v>
      </c>
      <c r="F44" s="3">
        <f t="shared" si="28"/>
        <v>146.52355152658453</v>
      </c>
      <c r="G44" s="3">
        <f t="shared" si="24"/>
        <v>10.256648606860917</v>
      </c>
      <c r="H44" s="14">
        <f>B44*$L$48*1000</f>
        <v>265.01081719446159</v>
      </c>
      <c r="I44" s="14">
        <f t="shared" si="30"/>
        <v>164.95804703524055</v>
      </c>
      <c r="J44" s="14">
        <f t="shared" si="25"/>
        <v>0</v>
      </c>
      <c r="K44" s="14">
        <f t="shared" si="26"/>
        <v>0</v>
      </c>
    </row>
    <row r="45" spans="1:14" outlineLevel="1" x14ac:dyDescent="0.25">
      <c r="A45" s="11">
        <v>42644</v>
      </c>
      <c r="B45" s="3">
        <f>[3]Data!G47</f>
        <v>21.097879550041913</v>
      </c>
      <c r="C45" s="17">
        <f>'[4]2016'!F14</f>
        <v>77.396119999999996</v>
      </c>
      <c r="D45" s="3">
        <f t="shared" si="27"/>
        <v>1632894.0174005898</v>
      </c>
      <c r="E45" s="3">
        <v>304.5</v>
      </c>
      <c r="F45" s="3">
        <f t="shared" si="28"/>
        <v>5362.5419290659765</v>
      </c>
      <c r="G45" s="3">
        <f>F45*$L$1</f>
        <v>375.37793503461842</v>
      </c>
      <c r="H45" s="14">
        <f>B45*$L$48*1000</f>
        <v>9698.9979020778483</v>
      </c>
      <c r="I45" s="14">
        <f t="shared" si="30"/>
        <v>6037.216778783979</v>
      </c>
      <c r="J45" s="14">
        <f t="shared" si="25"/>
        <v>0</v>
      </c>
      <c r="K45" s="14">
        <f t="shared" si="26"/>
        <v>0</v>
      </c>
    </row>
    <row r="46" spans="1:14" outlineLevel="1" x14ac:dyDescent="0.25">
      <c r="A46" s="11">
        <v>42675</v>
      </c>
      <c r="B46" s="3">
        <f>[3]Data!G48</f>
        <v>34.882279522344355</v>
      </c>
      <c r="C46" s="17">
        <f>'[4]2016'!F15</f>
        <v>77.396119999999996</v>
      </c>
      <c r="D46" s="3">
        <f t="shared" si="27"/>
        <v>2699753.0917849061</v>
      </c>
      <c r="E46" s="3">
        <v>305</v>
      </c>
      <c r="F46" s="3">
        <f t="shared" si="28"/>
        <v>8851.6494812619876</v>
      </c>
      <c r="G46" s="3">
        <f t="shared" si="24"/>
        <v>619.61546368833922</v>
      </c>
      <c r="H46" s="14">
        <f t="shared" si="29"/>
        <v>16035.8843221398</v>
      </c>
      <c r="I46" s="14">
        <f t="shared" si="30"/>
        <v>9981.6610818650606</v>
      </c>
      <c r="J46" s="14">
        <f t="shared" si="25"/>
        <v>0</v>
      </c>
      <c r="K46" s="14">
        <f t="shared" si="26"/>
        <v>0</v>
      </c>
    </row>
    <row r="47" spans="1:14" ht="15.75" outlineLevel="1" thickBot="1" x14ac:dyDescent="0.3">
      <c r="A47" s="11">
        <v>42705</v>
      </c>
      <c r="B47" s="3">
        <f>[3]Data!G49</f>
        <v>26.210510365259751</v>
      </c>
      <c r="C47" s="17">
        <f>'[4]2016'!F16</f>
        <v>77.396119999999996</v>
      </c>
      <c r="D47" s="3">
        <f t="shared" si="27"/>
        <v>2028591.8054908873</v>
      </c>
      <c r="E47" s="3">
        <v>305</v>
      </c>
      <c r="F47" s="3">
        <f t="shared" si="28"/>
        <v>6651.1206737406137</v>
      </c>
      <c r="G47" s="3">
        <f t="shared" si="24"/>
        <v>465.57844716184303</v>
      </c>
      <c r="H47" s="14">
        <f t="shared" si="29"/>
        <v>12049.347634300007</v>
      </c>
      <c r="I47" s="14">
        <f t="shared" si="30"/>
        <v>7500.2102738482645</v>
      </c>
      <c r="J47" s="14">
        <f t="shared" si="25"/>
        <v>0</v>
      </c>
      <c r="K47" s="14">
        <f t="shared" si="26"/>
        <v>0</v>
      </c>
    </row>
    <row r="48" spans="1:14" ht="15.75" outlineLevel="1" thickBot="1" x14ac:dyDescent="0.3">
      <c r="A48" s="10" t="s">
        <v>69</v>
      </c>
      <c r="B48" s="7">
        <f>SUM(B36:B47)</f>
        <v>232.27279113386021</v>
      </c>
      <c r="C48" s="42">
        <f>+D48/B48/1000</f>
        <v>77.396119999999996</v>
      </c>
      <c r="D48" s="7">
        <f>SUM(D36:D47)</f>
        <v>17977012.81533118</v>
      </c>
      <c r="E48" s="41">
        <f>AVERAGE(E36:E47)</f>
        <v>249</v>
      </c>
      <c r="F48" s="7">
        <f t="shared" ref="F48:K48" si="31">SUM(F36:F47)</f>
        <v>75581.421640831089</v>
      </c>
      <c r="G48" s="7">
        <f t="shared" si="31"/>
        <v>5290.6995148581755</v>
      </c>
      <c r="H48" s="15">
        <f t="shared" si="31"/>
        <v>106779.13429990177</v>
      </c>
      <c r="I48" s="15">
        <f t="shared" si="31"/>
        <v>66465.50372810055</v>
      </c>
      <c r="J48" s="15">
        <f t="shared" si="31"/>
        <v>0</v>
      </c>
      <c r="K48" s="15">
        <f t="shared" si="31"/>
        <v>0</v>
      </c>
      <c r="L48" s="39">
        <f>[5]Calcs!$L$9</f>
        <v>0.45971434613003942</v>
      </c>
      <c r="M48" s="39">
        <f>[5]Calcs!$K$9</f>
        <v>0.286152774948987</v>
      </c>
      <c r="N48" s="39"/>
    </row>
    <row r="49" spans="1:11" ht="15.75" thickBot="1" x14ac:dyDescent="0.3">
      <c r="A49" s="10" t="s">
        <v>4</v>
      </c>
      <c r="B49" s="7">
        <f>B9+B22+B35+B48</f>
        <v>1505.5539022302221</v>
      </c>
      <c r="C49" s="7"/>
      <c r="D49" s="7">
        <f>D9+D22+D35+D48</f>
        <v>98566231.14657031</v>
      </c>
      <c r="E49" s="7"/>
      <c r="F49" s="7">
        <f>F9+F22+F35+F48</f>
        <v>560186.32492189668</v>
      </c>
      <c r="G49" s="7">
        <f>G9+G22+G35+G48</f>
        <v>39213.042744532773</v>
      </c>
      <c r="H49" s="7">
        <f>H9+H22+H35+H48</f>
        <v>679299.75609530881</v>
      </c>
      <c r="I49" s="7">
        <f>I9+I22+I35+I48</f>
        <v>690917.03540951479</v>
      </c>
      <c r="J49" s="7">
        <f t="shared" ref="J49:K49" si="32">J9+J22+J35</f>
        <v>0</v>
      </c>
      <c r="K49" s="7">
        <f t="shared" si="32"/>
        <v>0</v>
      </c>
    </row>
    <row r="50" spans="1:11" x14ac:dyDescent="0.25">
      <c r="F50" s="99"/>
    </row>
    <row r="51" spans="1:11" ht="15.75" thickBot="1" x14ac:dyDescent="0.3"/>
    <row r="52" spans="1:11" ht="39" thickBot="1" x14ac:dyDescent="0.3">
      <c r="A52" s="1" t="s">
        <v>0</v>
      </c>
      <c r="B52" s="2" t="s">
        <v>27</v>
      </c>
      <c r="C52" s="2" t="s">
        <v>28</v>
      </c>
      <c r="D52" s="28" t="s">
        <v>30</v>
      </c>
      <c r="E52" s="28" t="s">
        <v>78</v>
      </c>
      <c r="F52" s="29" t="s">
        <v>29</v>
      </c>
      <c r="G52" s="2" t="s">
        <v>31</v>
      </c>
      <c r="H52" s="2" t="s">
        <v>37</v>
      </c>
      <c r="I52" s="2" t="s">
        <v>38</v>
      </c>
      <c r="J52" s="2" t="s">
        <v>58</v>
      </c>
      <c r="K52" s="2" t="s">
        <v>32</v>
      </c>
    </row>
    <row r="53" spans="1:11" x14ac:dyDescent="0.25">
      <c r="A53" s="4">
        <v>41426</v>
      </c>
      <c r="B53" s="14">
        <f>+[1]Data!H4</f>
        <v>336.44889388720446</v>
      </c>
      <c r="C53" s="14">
        <f>B53/1.1*1000</f>
        <v>305862.63080654945</v>
      </c>
      <c r="D53" s="18">
        <v>1.2826599999999999</v>
      </c>
      <c r="E53" s="18">
        <f>D53*1.1</f>
        <v>1.4109260000000001</v>
      </c>
      <c r="F53" s="30">
        <f>B53*E53*1000</f>
        <v>474704.49205669784</v>
      </c>
      <c r="G53" s="12">
        <f t="shared" ref="G53:G59" si="33">F53*$L$1</f>
        <v>33229.314443968855</v>
      </c>
      <c r="H53" s="14">
        <f t="shared" ref="H53:H59" si="34">B53*$L$9*1000</f>
        <v>148037.51331036998</v>
      </c>
      <c r="I53" s="13">
        <f t="shared" ref="I53:I59" si="35">+B53*$M$9*1000</f>
        <v>175609.50016442637</v>
      </c>
      <c r="J53" s="13">
        <f>IF((F53-G53-H53-I53)&lt;0,0,(F53-G53-H53-I53)*$N$1)</f>
        <v>2356.5632827586523</v>
      </c>
      <c r="K53" s="13">
        <f>IF((F53-G53-H53-I53)&lt;0,0,(F53-G53-H53-I53)*$M$1)</f>
        <v>35348.449241379785</v>
      </c>
    </row>
    <row r="54" spans="1:11" x14ac:dyDescent="0.25">
      <c r="A54" s="4">
        <v>41456</v>
      </c>
      <c r="B54" s="14">
        <f>+[1]Data!H5</f>
        <v>166.8784222009474</v>
      </c>
      <c r="C54" s="14">
        <f t="shared" ref="C54:C86" si="36">B54/1.1*1000</f>
        <v>151707.65654631579</v>
      </c>
      <c r="D54" s="18">
        <v>1.2916000000000001</v>
      </c>
      <c r="E54" s="18">
        <f t="shared" ref="E54:E59" si="37">D54*1.1</f>
        <v>1.4207600000000002</v>
      </c>
      <c r="F54" s="30">
        <f t="shared" ref="F54:F59" si="38">B54*E54*1000</f>
        <v>237094.18712621805</v>
      </c>
      <c r="G54" s="12">
        <f t="shared" si="33"/>
        <v>16596.593098835267</v>
      </c>
      <c r="H54" s="13">
        <f t="shared" si="34"/>
        <v>73426.505768416857</v>
      </c>
      <c r="I54" s="13">
        <f t="shared" si="35"/>
        <v>87102.192467784509</v>
      </c>
      <c r="J54" s="13">
        <f t="shared" ref="J54:J59" si="39">IF((F54-G54-H54-I54)&lt;0,0,(F54-G54-H54-I54)*$N$1)</f>
        <v>1199.3779158236284</v>
      </c>
      <c r="K54" s="13">
        <f t="shared" ref="K54:K59" si="40">IF((F54-G54-H54-I54)&lt;0,0,(F54-G54-H54-I54)*$M$1)</f>
        <v>17990.668737354426</v>
      </c>
    </row>
    <row r="55" spans="1:11" x14ac:dyDescent="0.25">
      <c r="A55" s="4">
        <v>41487</v>
      </c>
      <c r="B55" s="14">
        <f>+[1]Data!H6</f>
        <v>360.46651652986822</v>
      </c>
      <c r="C55" s="14">
        <f t="shared" si="36"/>
        <v>327696.83320897107</v>
      </c>
      <c r="D55" s="19">
        <v>1.2916000000000001</v>
      </c>
      <c r="E55" s="18">
        <f t="shared" si="37"/>
        <v>1.4207600000000002</v>
      </c>
      <c r="F55" s="30">
        <f t="shared" si="38"/>
        <v>512136.40802497568</v>
      </c>
      <c r="G55" s="12">
        <f t="shared" si="33"/>
        <v>35849.548561748299</v>
      </c>
      <c r="H55" s="13">
        <f t="shared" si="34"/>
        <v>158605.26727314203</v>
      </c>
      <c r="I55" s="13">
        <f t="shared" si="35"/>
        <v>188145.49830276472</v>
      </c>
      <c r="J55" s="13">
        <f t="shared" si="39"/>
        <v>2590.7218777464122</v>
      </c>
      <c r="K55" s="13">
        <f t="shared" si="40"/>
        <v>38860.828166196181</v>
      </c>
    </row>
    <row r="56" spans="1:11" x14ac:dyDescent="0.25">
      <c r="A56" s="4">
        <v>41518</v>
      </c>
      <c r="B56" s="14">
        <f>+[1]Data!H7</f>
        <v>308.25441504515658</v>
      </c>
      <c r="C56" s="14">
        <f t="shared" si="36"/>
        <v>280231.28640468774</v>
      </c>
      <c r="D56" s="20">
        <v>1.2916000000000001</v>
      </c>
      <c r="E56" s="18">
        <f t="shared" si="37"/>
        <v>1.4207600000000002</v>
      </c>
      <c r="F56" s="30">
        <f t="shared" si="38"/>
        <v>437955.54271955672</v>
      </c>
      <c r="G56" s="12">
        <f t="shared" si="33"/>
        <v>30656.887990368974</v>
      </c>
      <c r="H56" s="13">
        <f t="shared" si="34"/>
        <v>135631.9426198689</v>
      </c>
      <c r="I56" s="13">
        <f t="shared" si="35"/>
        <v>160893.39193281948</v>
      </c>
      <c r="J56" s="13">
        <f t="shared" si="39"/>
        <v>2215.466403529987</v>
      </c>
      <c r="K56" s="13">
        <f t="shared" si="40"/>
        <v>33231.996052949798</v>
      </c>
    </row>
    <row r="57" spans="1:11" x14ac:dyDescent="0.25">
      <c r="A57" s="4">
        <v>41548</v>
      </c>
      <c r="B57" s="14">
        <f>+[1]Data!H8</f>
        <v>305.30240058099588</v>
      </c>
      <c r="C57" s="14">
        <f t="shared" si="36"/>
        <v>277547.63689181441</v>
      </c>
      <c r="D57" s="21">
        <v>1.2916000000000001</v>
      </c>
      <c r="E57" s="18">
        <f t="shared" si="37"/>
        <v>1.4207600000000002</v>
      </c>
      <c r="F57" s="30">
        <f t="shared" si="38"/>
        <v>433761.43864945578</v>
      </c>
      <c r="G57" s="12">
        <f t="shared" si="33"/>
        <v>30363.300705461908</v>
      </c>
      <c r="H57" s="13">
        <f>B57*$L$9*1000</f>
        <v>134333.05625563822</v>
      </c>
      <c r="I57" s="13">
        <f t="shared" si="35"/>
        <v>159352.58798325079</v>
      </c>
      <c r="J57" s="13">
        <f t="shared" si="39"/>
        <v>2194.2498741020972</v>
      </c>
      <c r="K57" s="13">
        <f t="shared" si="40"/>
        <v>32913.748111531459</v>
      </c>
    </row>
    <row r="58" spans="1:11" x14ac:dyDescent="0.25">
      <c r="A58" s="4">
        <v>41579</v>
      </c>
      <c r="B58" s="14">
        <f>+[1]Data!H9</f>
        <v>357.28844393039452</v>
      </c>
      <c r="C58" s="14">
        <f t="shared" si="36"/>
        <v>324807.67630035867</v>
      </c>
      <c r="D58" s="21">
        <v>1.2916000000000001</v>
      </c>
      <c r="E58" s="18">
        <f t="shared" si="37"/>
        <v>1.4207600000000002</v>
      </c>
      <c r="F58" s="30">
        <f t="shared" si="38"/>
        <v>507621.12959854736</v>
      </c>
      <c r="G58" s="12">
        <f t="shared" si="33"/>
        <v>35533.47907189832</v>
      </c>
      <c r="H58" s="13">
        <f t="shared" si="34"/>
        <v>157206.91532937359</v>
      </c>
      <c r="I58" s="13">
        <f t="shared" si="35"/>
        <v>186486.70330946942</v>
      </c>
      <c r="J58" s="13">
        <f t="shared" si="39"/>
        <v>2567.88063775612</v>
      </c>
      <c r="K58" s="13">
        <f t="shared" si="40"/>
        <v>38518.209566341793</v>
      </c>
    </row>
    <row r="59" spans="1:11" ht="15.75" thickBot="1" x14ac:dyDescent="0.3">
      <c r="A59" s="4">
        <v>41609</v>
      </c>
      <c r="B59" s="14">
        <f>+[1]Data!H10</f>
        <v>236.4438060050955</v>
      </c>
      <c r="C59" s="14">
        <f t="shared" si="36"/>
        <v>214948.91455008677</v>
      </c>
      <c r="D59" s="22">
        <v>1.2916000000000001</v>
      </c>
      <c r="E59" s="18">
        <f t="shared" si="37"/>
        <v>1.4207600000000002</v>
      </c>
      <c r="F59" s="30">
        <f t="shared" si="38"/>
        <v>335929.9018197995</v>
      </c>
      <c r="G59" s="12">
        <f t="shared" si="33"/>
        <v>23515.093127385968</v>
      </c>
      <c r="H59" s="13">
        <f t="shared" si="34"/>
        <v>104035.27464224203</v>
      </c>
      <c r="I59" s="13">
        <f t="shared" si="35"/>
        <v>123411.8445443596</v>
      </c>
      <c r="J59" s="13">
        <f t="shared" si="39"/>
        <v>1699.3537901162385</v>
      </c>
      <c r="K59" s="13">
        <f t="shared" si="40"/>
        <v>25490.306851743579</v>
      </c>
    </row>
    <row r="60" spans="1:11" ht="15.75" thickBot="1" x14ac:dyDescent="0.3">
      <c r="A60" s="5" t="s">
        <v>1</v>
      </c>
      <c r="B60" s="15">
        <f>SUM(B53:B59)</f>
        <v>2071.0828981796626</v>
      </c>
      <c r="C60" s="15">
        <f t="shared" si="36"/>
        <v>1882802.6347087841</v>
      </c>
      <c r="D60" s="43">
        <f>AVERAGE(D53:D59)</f>
        <v>1.2903228571428571</v>
      </c>
      <c r="E60" s="41">
        <f>AVERAGE(E53:E59)</f>
        <v>1.4193551428571429</v>
      </c>
      <c r="F60" s="15">
        <f>SUM(F53:F59)</f>
        <v>2939203.0999952508</v>
      </c>
      <c r="G60" s="16">
        <f>SUM(G53:G59)</f>
        <v>205744.21699966761</v>
      </c>
      <c r="H60" s="7">
        <f t="shared" ref="H60:I60" si="41">SUM(H53:H59)</f>
        <v>911276.47519905155</v>
      </c>
      <c r="I60" s="7">
        <f t="shared" si="41"/>
        <v>1081001.7187048751</v>
      </c>
      <c r="J60" s="7">
        <f>SUM(J53:J59)</f>
        <v>14823.613781833135</v>
      </c>
      <c r="K60" s="7">
        <f>SUM(K53:K59)</f>
        <v>222354.20672749702</v>
      </c>
    </row>
    <row r="61" spans="1:11" x14ac:dyDescent="0.25">
      <c r="A61" s="8">
        <v>41640</v>
      </c>
      <c r="B61" s="14">
        <f>+[1]Data!H12</f>
        <v>314.10701593665192</v>
      </c>
      <c r="C61" s="14">
        <f t="shared" si="36"/>
        <v>285551.83266968356</v>
      </c>
      <c r="D61" s="18">
        <v>1.30385</v>
      </c>
      <c r="E61" s="18">
        <f t="shared" ref="E61:E72" si="42">D61*1.1</f>
        <v>1.4342350000000001</v>
      </c>
      <c r="F61" s="30">
        <f t="shared" ref="F61:F72" si="43">B61*E61*1000</f>
        <v>450503.27600190399</v>
      </c>
      <c r="G61" s="12">
        <f t="shared" ref="G61:G72" si="44">F61*$L$1</f>
        <v>31535.229320133283</v>
      </c>
      <c r="H61" s="13">
        <f t="shared" ref="H61:H72" si="45">B61*$L$22*1000</f>
        <v>142530.85808732733</v>
      </c>
      <c r="I61" s="13">
        <f t="shared" ref="I61:I72" si="46">+B61*$M$22*1000</f>
        <v>192176.9544903624</v>
      </c>
      <c r="J61" s="13">
        <f t="shared" ref="J61:J72" si="47">IF((F61-G61-H61-I61)&lt;0,0,(F61-G61-H61-I61)*$N$1)</f>
        <v>1685.2046820816195</v>
      </c>
      <c r="K61" s="13">
        <f t="shared" ref="K61:K72" si="48">IF((F61-G61-H61-I61)&lt;0,0,(F61-G61-H61-I61)*$M$1)</f>
        <v>25278.07023122429</v>
      </c>
    </row>
    <row r="62" spans="1:11" x14ac:dyDescent="0.25">
      <c r="A62" s="8">
        <v>41671</v>
      </c>
      <c r="B62" s="14">
        <f>+[1]Data!H13</f>
        <v>258.3612413806207</v>
      </c>
      <c r="C62" s="14">
        <f t="shared" si="36"/>
        <v>234873.85580056426</v>
      </c>
      <c r="D62" s="18">
        <v>1.30385</v>
      </c>
      <c r="E62" s="18">
        <f t="shared" si="42"/>
        <v>1.4342350000000001</v>
      </c>
      <c r="F62" s="30">
        <f t="shared" si="43"/>
        <v>370550.73503153457</v>
      </c>
      <c r="G62" s="12">
        <f t="shared" si="44"/>
        <v>25938.551452207423</v>
      </c>
      <c r="H62" s="13">
        <f t="shared" si="45"/>
        <v>117235.36107806522</v>
      </c>
      <c r="I62" s="13">
        <f t="shared" si="46"/>
        <v>158070.57470149136</v>
      </c>
      <c r="J62" s="13">
        <f t="shared" si="47"/>
        <v>1386.1249559954106</v>
      </c>
      <c r="K62" s="13">
        <f t="shared" si="48"/>
        <v>20791.874339931157</v>
      </c>
    </row>
    <row r="63" spans="1:11" x14ac:dyDescent="0.25">
      <c r="A63" s="8">
        <v>41699</v>
      </c>
      <c r="B63" s="14">
        <f>+[1]Data!H14</f>
        <v>350.17097258812578</v>
      </c>
      <c r="C63" s="14">
        <f t="shared" si="36"/>
        <v>318337.24780738703</v>
      </c>
      <c r="D63" s="18">
        <v>1.30385</v>
      </c>
      <c r="E63" s="18">
        <f t="shared" si="42"/>
        <v>1.4342350000000001</v>
      </c>
      <c r="F63" s="30">
        <f t="shared" si="43"/>
        <v>502227.46486993058</v>
      </c>
      <c r="G63" s="12">
        <f t="shared" si="44"/>
        <v>35155.922540895146</v>
      </c>
      <c r="H63" s="13">
        <f t="shared" si="45"/>
        <v>158895.42948103161</v>
      </c>
      <c r="I63" s="13">
        <f t="shared" si="46"/>
        <v>214241.60444886712</v>
      </c>
      <c r="J63" s="13">
        <f t="shared" si="47"/>
        <v>1878.6901679827349</v>
      </c>
      <c r="K63" s="13">
        <f t="shared" si="48"/>
        <v>28180.352519741024</v>
      </c>
    </row>
    <row r="64" spans="1:11" x14ac:dyDescent="0.25">
      <c r="A64" s="8">
        <v>41730</v>
      </c>
      <c r="B64" s="14">
        <f>+[1]Data!H15</f>
        <v>198.20153467908648</v>
      </c>
      <c r="C64" s="14">
        <f t="shared" si="36"/>
        <v>180183.21334462406</v>
      </c>
      <c r="D64" s="18">
        <v>1.30385</v>
      </c>
      <c r="E64" s="18">
        <f t="shared" si="42"/>
        <v>1.4342350000000001</v>
      </c>
      <c r="F64" s="30">
        <f t="shared" si="43"/>
        <v>284267.57809045963</v>
      </c>
      <c r="G64" s="12">
        <f t="shared" si="44"/>
        <v>19898.730466332177</v>
      </c>
      <c r="H64" s="13">
        <f t="shared" si="45"/>
        <v>89936.974912183112</v>
      </c>
      <c r="I64" s="13">
        <f t="shared" si="46"/>
        <v>121263.66294735869</v>
      </c>
      <c r="J64" s="13">
        <f t="shared" si="47"/>
        <v>1063.3641952917128</v>
      </c>
      <c r="K64" s="13">
        <f t="shared" si="48"/>
        <v>15950.462929375692</v>
      </c>
    </row>
    <row r="65" spans="1:13" x14ac:dyDescent="0.25">
      <c r="A65" s="8">
        <v>41760</v>
      </c>
      <c r="B65" s="14">
        <f>+[1]Data!H16</f>
        <v>39.784670731457922</v>
      </c>
      <c r="C65" s="14">
        <f t="shared" si="36"/>
        <v>36167.882483143563</v>
      </c>
      <c r="D65" s="18">
        <v>1.30385</v>
      </c>
      <c r="E65" s="18">
        <f t="shared" si="42"/>
        <v>1.4342350000000001</v>
      </c>
      <c r="F65" s="30">
        <f t="shared" si="43"/>
        <v>57060.567226532556</v>
      </c>
      <c r="G65" s="12">
        <f t="shared" si="44"/>
        <v>3994.2397058572792</v>
      </c>
      <c r="H65" s="13">
        <f t="shared" si="45"/>
        <v>18052.902260610732</v>
      </c>
      <c r="I65" s="13">
        <f t="shared" si="46"/>
        <v>24341.057246920587</v>
      </c>
      <c r="J65" s="13">
        <f t="shared" si="47"/>
        <v>213.4473602628791</v>
      </c>
      <c r="K65" s="13">
        <f t="shared" si="48"/>
        <v>3201.7104039431861</v>
      </c>
    </row>
    <row r="66" spans="1:13" x14ac:dyDescent="0.25">
      <c r="A66" s="8">
        <v>41791</v>
      </c>
      <c r="B66" s="14">
        <f>+[1]Data!H17</f>
        <v>174.58983184102232</v>
      </c>
      <c r="C66" s="14">
        <f t="shared" si="36"/>
        <v>158718.02894638391</v>
      </c>
      <c r="D66" s="18">
        <v>1.30385</v>
      </c>
      <c r="E66" s="18">
        <f t="shared" si="42"/>
        <v>1.4342350000000001</v>
      </c>
      <c r="F66" s="30">
        <f t="shared" si="43"/>
        <v>250402.84747050868</v>
      </c>
      <c r="G66" s="12">
        <f t="shared" si="44"/>
        <v>17528.199322935609</v>
      </c>
      <c r="H66" s="13">
        <f t="shared" si="45"/>
        <v>79222.803958768345</v>
      </c>
      <c r="I66" s="13">
        <f t="shared" si="46"/>
        <v>106817.55091697429</v>
      </c>
      <c r="J66" s="13">
        <f t="shared" si="47"/>
        <v>936.68586543660899</v>
      </c>
      <c r="K66" s="13">
        <f t="shared" si="48"/>
        <v>14050.287981549134</v>
      </c>
    </row>
    <row r="67" spans="1:13" x14ac:dyDescent="0.25">
      <c r="A67" s="8">
        <v>41821</v>
      </c>
      <c r="B67" s="14">
        <f>+[1]Data!H18</f>
        <v>266.45163305608997</v>
      </c>
      <c r="C67" s="14">
        <f t="shared" si="36"/>
        <v>242228.75732371814</v>
      </c>
      <c r="D67" s="18">
        <v>1.31149</v>
      </c>
      <c r="E67" s="18">
        <f t="shared" si="42"/>
        <v>1.4426390000000002</v>
      </c>
      <c r="F67" s="30">
        <f t="shared" si="43"/>
        <v>384393.51746040466</v>
      </c>
      <c r="G67" s="12">
        <f t="shared" si="44"/>
        <v>26907.546222228328</v>
      </c>
      <c r="H67" s="13">
        <f t="shared" si="45"/>
        <v>120906.49992330441</v>
      </c>
      <c r="I67" s="13">
        <f t="shared" si="46"/>
        <v>163020.43813637699</v>
      </c>
      <c r="J67" s="13">
        <f t="shared" si="47"/>
        <v>1471.1806635698986</v>
      </c>
      <c r="K67" s="13">
        <f t="shared" si="48"/>
        <v>22067.709953548478</v>
      </c>
    </row>
    <row r="68" spans="1:13" x14ac:dyDescent="0.25">
      <c r="A68" s="9">
        <v>41852</v>
      </c>
      <c r="B68" s="14">
        <f>+[1]Data!H19</f>
        <v>77.860602265925152</v>
      </c>
      <c r="C68" s="14">
        <f t="shared" si="36"/>
        <v>70782.365696295587</v>
      </c>
      <c r="D68" s="18">
        <v>1.31149</v>
      </c>
      <c r="E68" s="18">
        <f t="shared" si="42"/>
        <v>1.4426390000000002</v>
      </c>
      <c r="F68" s="30">
        <f t="shared" si="43"/>
        <v>112324.741392312</v>
      </c>
      <c r="G68" s="12">
        <f t="shared" si="44"/>
        <v>7862.7318974618411</v>
      </c>
      <c r="H68" s="13">
        <f t="shared" si="45"/>
        <v>35330.438000775292</v>
      </c>
      <c r="I68" s="13">
        <f t="shared" si="46"/>
        <v>47636.673678338324</v>
      </c>
      <c r="J68" s="13">
        <f t="shared" si="47"/>
        <v>429.897956314731</v>
      </c>
      <c r="K68" s="13">
        <f t="shared" si="48"/>
        <v>6448.4693447209647</v>
      </c>
    </row>
    <row r="69" spans="1:13" x14ac:dyDescent="0.25">
      <c r="A69" s="9">
        <v>41883</v>
      </c>
      <c r="B69" s="14">
        <f>+[1]Data!H20</f>
        <v>277.3576477929966</v>
      </c>
      <c r="C69" s="14">
        <f t="shared" si="36"/>
        <v>252143.31617545144</v>
      </c>
      <c r="D69" s="19">
        <v>1.31149</v>
      </c>
      <c r="E69" s="18">
        <f t="shared" si="42"/>
        <v>1.4426390000000002</v>
      </c>
      <c r="F69" s="30">
        <f t="shared" si="43"/>
        <v>400126.95965444087</v>
      </c>
      <c r="G69" s="12">
        <f t="shared" si="44"/>
        <v>28008.887175810865</v>
      </c>
      <c r="H69" s="13">
        <f t="shared" si="45"/>
        <v>125855.27075584714</v>
      </c>
      <c r="I69" s="13">
        <f t="shared" si="46"/>
        <v>169692.95607271118</v>
      </c>
      <c r="J69" s="13">
        <f t="shared" si="47"/>
        <v>1531.3969130014332</v>
      </c>
      <c r="K69" s="13">
        <f t="shared" si="48"/>
        <v>22970.953695021497</v>
      </c>
    </row>
    <row r="70" spans="1:13" x14ac:dyDescent="0.25">
      <c r="A70" s="9">
        <v>41913</v>
      </c>
      <c r="B70" s="14">
        <f>+[1]Data!H21</f>
        <v>58.63854723142672</v>
      </c>
      <c r="C70" s="14">
        <f t="shared" si="36"/>
        <v>53307.77021038792</v>
      </c>
      <c r="D70" s="21">
        <v>1.31149</v>
      </c>
      <c r="E70" s="18">
        <f t="shared" si="42"/>
        <v>1.4426390000000002</v>
      </c>
      <c r="F70" s="30">
        <f t="shared" si="43"/>
        <v>84594.255139398228</v>
      </c>
      <c r="G70" s="12">
        <f t="shared" si="44"/>
        <v>5921.5978597578769</v>
      </c>
      <c r="H70" s="13">
        <f t="shared" si="45"/>
        <v>26608.136812757784</v>
      </c>
      <c r="I70" s="13">
        <f t="shared" si="46"/>
        <v>35876.235967131499</v>
      </c>
      <c r="J70" s="13">
        <f t="shared" si="47"/>
        <v>323.76568999502126</v>
      </c>
      <c r="K70" s="13">
        <f t="shared" si="48"/>
        <v>4856.4853499253186</v>
      </c>
    </row>
    <row r="71" spans="1:13" x14ac:dyDescent="0.25">
      <c r="A71" s="9">
        <v>41944</v>
      </c>
      <c r="B71" s="14">
        <f>+[1]Data!H22</f>
        <v>53.013308175224786</v>
      </c>
      <c r="C71" s="14">
        <f t="shared" si="36"/>
        <v>48193.91652293162</v>
      </c>
      <c r="D71" s="21">
        <v>1.31149</v>
      </c>
      <c r="E71" s="18">
        <f t="shared" si="42"/>
        <v>1.4426390000000002</v>
      </c>
      <c r="F71" s="30">
        <f t="shared" si="43"/>
        <v>76479.065892598126</v>
      </c>
      <c r="G71" s="12">
        <f t="shared" si="44"/>
        <v>5353.5346124818698</v>
      </c>
      <c r="H71" s="13">
        <f t="shared" si="45"/>
        <v>24055.598636442399</v>
      </c>
      <c r="I71" s="13">
        <f t="shared" si="46"/>
        <v>32434.602207766035</v>
      </c>
      <c r="J71" s="13">
        <f t="shared" si="47"/>
        <v>292.7066087181563</v>
      </c>
      <c r="K71" s="13">
        <f t="shared" si="48"/>
        <v>4390.5991307723443</v>
      </c>
    </row>
    <row r="72" spans="1:13" ht="15.75" thickBot="1" x14ac:dyDescent="0.3">
      <c r="A72" s="9">
        <v>41974</v>
      </c>
      <c r="B72" s="14">
        <f>+[1]Data!H23</f>
        <v>59.305556539439998</v>
      </c>
      <c r="C72" s="14">
        <f t="shared" si="36"/>
        <v>53914.14230858181</v>
      </c>
      <c r="D72" s="22">
        <v>1.31149</v>
      </c>
      <c r="E72" s="18">
        <f t="shared" si="42"/>
        <v>1.4426390000000002</v>
      </c>
      <c r="F72" s="30">
        <f t="shared" si="43"/>
        <v>85556.508780501186</v>
      </c>
      <c r="G72" s="12">
        <f t="shared" si="44"/>
        <v>5988.9556146350833</v>
      </c>
      <c r="H72" s="13">
        <f t="shared" si="45"/>
        <v>26910.802478279053</v>
      </c>
      <c r="I72" s="13">
        <f t="shared" si="46"/>
        <v>36284.325601960183</v>
      </c>
      <c r="J72" s="13">
        <f t="shared" si="47"/>
        <v>327.44850171253739</v>
      </c>
      <c r="K72" s="13">
        <f t="shared" si="48"/>
        <v>4911.7275256880612</v>
      </c>
    </row>
    <row r="73" spans="1:13" ht="15.75" thickBot="1" x14ac:dyDescent="0.3">
      <c r="A73" s="10" t="s">
        <v>2</v>
      </c>
      <c r="B73" s="15">
        <f>SUM(B61:B72)</f>
        <v>2127.8425622180685</v>
      </c>
      <c r="C73" s="15">
        <f t="shared" si="36"/>
        <v>1934402.329289153</v>
      </c>
      <c r="D73" s="43">
        <f>AVERAGE(D66:D72)</f>
        <v>1.3103985714285713</v>
      </c>
      <c r="E73" s="43">
        <f>AVERAGE(E61:E72)</f>
        <v>1.4384370000000002</v>
      </c>
      <c r="F73" s="15">
        <f>SUM(F61:F72)</f>
        <v>3058487.5170105258</v>
      </c>
      <c r="G73" s="16">
        <f>SUM(G61:G72)</f>
        <v>214094.12619073677</v>
      </c>
      <c r="H73" s="7">
        <f t="shared" ref="H73:I73" si="49">SUM(H61:H72)</f>
        <v>965541.07638539257</v>
      </c>
      <c r="I73" s="7">
        <f t="shared" si="49"/>
        <v>1301856.6364162588</v>
      </c>
      <c r="J73" s="7">
        <f>SUM(J61:J72)</f>
        <v>11539.913560362744</v>
      </c>
      <c r="K73" s="7">
        <f>SUM(K61:K72)</f>
        <v>173098.70340544116</v>
      </c>
      <c r="L73" s="178"/>
      <c r="M73" s="179"/>
    </row>
    <row r="74" spans="1:13" x14ac:dyDescent="0.25">
      <c r="A74" s="11">
        <v>42005</v>
      </c>
      <c r="B74" s="14">
        <f>+[1]Data!H25</f>
        <v>96.785207954734602</v>
      </c>
      <c r="C74" s="14">
        <f t="shared" si="36"/>
        <v>87986.552686122363</v>
      </c>
      <c r="D74" s="23">
        <v>1.3291599999999999</v>
      </c>
      <c r="E74" s="18">
        <f t="shared" ref="E74:E98" si="50">D74*1.1</f>
        <v>1.4620759999999999</v>
      </c>
      <c r="F74" s="30">
        <f t="shared" ref="F74:F84" si="51">B74*E74*1000</f>
        <v>141507.32970562656</v>
      </c>
      <c r="G74" s="12">
        <f t="shared" ref="G74:G85" si="52">F74*$L$1</f>
        <v>9905.5130793938606</v>
      </c>
      <c r="H74" s="13">
        <f t="shared" ref="H74:H85" si="53">B74*$L$35*1000</f>
        <v>43949.671406317524</v>
      </c>
      <c r="I74" s="13">
        <f t="shared" ref="I74:I85" si="54">+B74*$M$35*1000</f>
        <v>31971.057743687481</v>
      </c>
      <c r="J74" s="13">
        <f t="shared" ref="J74:J85" si="55">IF((F74-G74-H74-I74)&lt;0,0,(F74-G74-H74-I74)*$N$1)</f>
        <v>1113.6217495245537</v>
      </c>
      <c r="K74" s="13">
        <f t="shared" ref="K74:K85" si="56">IF((F74-G74-H74-I74)&lt;0,0,(F74-G74-H74-I74)*$M$1)</f>
        <v>16704.326242868305</v>
      </c>
    </row>
    <row r="75" spans="1:13" x14ac:dyDescent="0.25">
      <c r="A75" s="11">
        <v>42036</v>
      </c>
      <c r="B75" s="14">
        <f>+[1]Data!H26</f>
        <v>91.417387794428635</v>
      </c>
      <c r="C75" s="14">
        <f t="shared" si="36"/>
        <v>83106.716176753296</v>
      </c>
      <c r="D75" s="24">
        <v>1.3291599999999999</v>
      </c>
      <c r="E75" s="18">
        <f t="shared" si="50"/>
        <v>1.4620759999999999</v>
      </c>
      <c r="F75" s="30">
        <f t="shared" si="51"/>
        <v>133659.16867692705</v>
      </c>
      <c r="G75" s="12">
        <f t="shared" si="52"/>
        <v>9356.1418073848945</v>
      </c>
      <c r="H75" s="13">
        <f t="shared" si="53"/>
        <v>41512.171532121996</v>
      </c>
      <c r="I75" s="13">
        <f t="shared" si="54"/>
        <v>30197.905710133611</v>
      </c>
      <c r="J75" s="13">
        <f t="shared" si="55"/>
        <v>1051.8589925457311</v>
      </c>
      <c r="K75" s="13">
        <f t="shared" si="56"/>
        <v>15777.884888185965</v>
      </c>
    </row>
    <row r="76" spans="1:13" x14ac:dyDescent="0.25">
      <c r="A76" s="11">
        <v>42064</v>
      </c>
      <c r="B76" s="14">
        <f>+[1]Data!H27</f>
        <v>60.918290480685343</v>
      </c>
      <c r="C76" s="14">
        <f>B76/1.1*1000</f>
        <v>55380.264073350307</v>
      </c>
      <c r="D76" s="24">
        <v>1.3291599999999999</v>
      </c>
      <c r="E76" s="18">
        <f t="shared" si="50"/>
        <v>1.4620759999999999</v>
      </c>
      <c r="F76" s="30">
        <f t="shared" si="51"/>
        <v>89067.170472838494</v>
      </c>
      <c r="G76" s="12">
        <f t="shared" si="52"/>
        <v>6234.701933098695</v>
      </c>
      <c r="H76" s="13">
        <f t="shared" si="53"/>
        <v>27662.686332325538</v>
      </c>
      <c r="I76" s="13">
        <f t="shared" si="54"/>
        <v>20123.138894484789</v>
      </c>
      <c r="J76" s="13">
        <f t="shared" si="55"/>
        <v>700.93286625858946</v>
      </c>
      <c r="K76" s="13">
        <f t="shared" si="56"/>
        <v>10513.992993878843</v>
      </c>
    </row>
    <row r="77" spans="1:13" x14ac:dyDescent="0.25">
      <c r="A77" s="11">
        <v>42095</v>
      </c>
      <c r="B77" s="14">
        <f>+[1]Data!H28</f>
        <v>91.472376926890064</v>
      </c>
      <c r="C77" s="14">
        <f t="shared" si="36"/>
        <v>83156.706297172772</v>
      </c>
      <c r="D77" s="24">
        <v>1.3291599999999999</v>
      </c>
      <c r="E77" s="18">
        <f t="shared" si="50"/>
        <v>1.4620759999999999</v>
      </c>
      <c r="F77" s="30">
        <f t="shared" si="51"/>
        <v>133739.56696775972</v>
      </c>
      <c r="G77" s="12">
        <f t="shared" si="52"/>
        <v>9361.7696877431808</v>
      </c>
      <c r="H77" s="13">
        <f t="shared" si="53"/>
        <v>41537.141817909142</v>
      </c>
      <c r="I77" s="13">
        <f t="shared" si="54"/>
        <v>30216.070270259595</v>
      </c>
      <c r="J77" s="13">
        <f t="shared" si="55"/>
        <v>1052.4917038369558</v>
      </c>
      <c r="K77" s="13">
        <f t="shared" si="56"/>
        <v>15787.375557554336</v>
      </c>
    </row>
    <row r="78" spans="1:13" x14ac:dyDescent="0.25">
      <c r="A78" s="11">
        <v>42125</v>
      </c>
      <c r="B78" s="14">
        <f>+[1]Data!H29</f>
        <v>93.438969187543734</v>
      </c>
      <c r="C78" s="14">
        <f t="shared" si="36"/>
        <v>84944.517443221572</v>
      </c>
      <c r="D78" s="24">
        <v>1.3291599999999999</v>
      </c>
      <c r="E78" s="18">
        <f t="shared" si="50"/>
        <v>1.4620759999999999</v>
      </c>
      <c r="F78" s="30">
        <f t="shared" si="51"/>
        <v>136614.87431384719</v>
      </c>
      <c r="G78" s="12">
        <f t="shared" si="52"/>
        <v>9563.0412019693049</v>
      </c>
      <c r="H78" s="13">
        <f t="shared" si="53"/>
        <v>42430.161376087482</v>
      </c>
      <c r="I78" s="13">
        <f t="shared" si="54"/>
        <v>30865.694691721324</v>
      </c>
      <c r="J78" s="13">
        <f t="shared" si="55"/>
        <v>1075.1195408813819</v>
      </c>
      <c r="K78" s="13">
        <f t="shared" si="56"/>
        <v>16126.793113220727</v>
      </c>
    </row>
    <row r="79" spans="1:13" x14ac:dyDescent="0.25">
      <c r="A79" s="11">
        <v>42156</v>
      </c>
      <c r="B79" s="14">
        <f>+[1]Data!H30</f>
        <v>109.19062152454001</v>
      </c>
      <c r="C79" s="14">
        <f t="shared" si="36"/>
        <v>99264.20138594546</v>
      </c>
      <c r="D79" s="24">
        <v>1.3291599999999999</v>
      </c>
      <c r="E79" s="18">
        <f>D79*1.1</f>
        <v>1.4620759999999999</v>
      </c>
      <c r="F79" s="30">
        <f t="shared" si="51"/>
        <v>159644.98715611335</v>
      </c>
      <c r="G79" s="12">
        <f t="shared" si="52"/>
        <v>11175.149100927936</v>
      </c>
      <c r="H79" s="13">
        <f t="shared" si="53"/>
        <v>49582.906707185102</v>
      </c>
      <c r="I79" s="13">
        <f t="shared" si="54"/>
        <v>36068.938008201301</v>
      </c>
      <c r="J79" s="13">
        <f t="shared" si="55"/>
        <v>1256.3598667959805</v>
      </c>
      <c r="K79" s="13">
        <f t="shared" si="56"/>
        <v>18845.398001939706</v>
      </c>
    </row>
    <row r="80" spans="1:13" x14ac:dyDescent="0.25">
      <c r="A80" s="11">
        <v>42186</v>
      </c>
      <c r="B80" s="14">
        <f>+[1]Data!H31</f>
        <v>194.57370104875443</v>
      </c>
      <c r="C80" s="14">
        <f>B80/1.1*1000</f>
        <v>176885.1827715949</v>
      </c>
      <c r="D80" s="24">
        <v>1.3250999999999999</v>
      </c>
      <c r="E80" s="18">
        <f t="shared" si="50"/>
        <v>1.4576100000000001</v>
      </c>
      <c r="F80" s="30">
        <f t="shared" si="51"/>
        <v>283612.57238567498</v>
      </c>
      <c r="G80" s="12">
        <f t="shared" si="52"/>
        <v>19852.880066997252</v>
      </c>
      <c r="H80" s="13">
        <f t="shared" si="53"/>
        <v>88354.929499177582</v>
      </c>
      <c r="I80" s="13">
        <f t="shared" si="54"/>
        <v>64273.53066743505</v>
      </c>
      <c r="J80" s="13">
        <f t="shared" si="55"/>
        <v>2222.6246430413016</v>
      </c>
      <c r="K80" s="13">
        <f t="shared" si="56"/>
        <v>33339.369645619525</v>
      </c>
    </row>
    <row r="81" spans="1:11" x14ac:dyDescent="0.25">
      <c r="A81" s="11">
        <v>42217</v>
      </c>
      <c r="B81" s="14">
        <f>+[1]Data!H32</f>
        <v>271.9487760705681</v>
      </c>
      <c r="C81" s="14">
        <f t="shared" si="36"/>
        <v>247226.16006415279</v>
      </c>
      <c r="D81" s="24">
        <v>1.3250999999999999</v>
      </c>
      <c r="E81" s="18">
        <f t="shared" si="50"/>
        <v>1.4576100000000001</v>
      </c>
      <c r="F81" s="30">
        <f t="shared" si="51"/>
        <v>396395.25548822084</v>
      </c>
      <c r="G81" s="12">
        <f t="shared" si="52"/>
        <v>27747.667884175462</v>
      </c>
      <c r="H81" s="13">
        <f t="shared" si="53"/>
        <v>123490.55811546683</v>
      </c>
      <c r="I81" s="13">
        <f t="shared" si="54"/>
        <v>89832.839199390757</v>
      </c>
      <c r="J81" s="13">
        <f t="shared" si="55"/>
        <v>3106.483805783756</v>
      </c>
      <c r="K81" s="13">
        <f t="shared" si="56"/>
        <v>46597.257086756341</v>
      </c>
    </row>
    <row r="82" spans="1:11" x14ac:dyDescent="0.25">
      <c r="A82" s="11">
        <v>42248</v>
      </c>
      <c r="B82" s="14">
        <f>+[1]Data!H33</f>
        <v>159.35601914404356</v>
      </c>
      <c r="C82" s="14">
        <f>B82/1.1*1000</f>
        <v>144869.10831276685</v>
      </c>
      <c r="D82" s="25">
        <v>1.3250999999999999</v>
      </c>
      <c r="E82" s="18">
        <f t="shared" si="50"/>
        <v>1.4576100000000001</v>
      </c>
      <c r="F82" s="30">
        <f t="shared" si="51"/>
        <v>232278.92706454935</v>
      </c>
      <c r="G82" s="12">
        <f t="shared" si="52"/>
        <v>16259.524894518456</v>
      </c>
      <c r="H82" s="13">
        <f t="shared" si="53"/>
        <v>72362.759000064223</v>
      </c>
      <c r="I82" s="13">
        <f t="shared" si="54"/>
        <v>52640.073803851912</v>
      </c>
      <c r="J82" s="13">
        <f t="shared" si="55"/>
        <v>1820.3313873222953</v>
      </c>
      <c r="K82" s="13">
        <f t="shared" si="56"/>
        <v>27304.970809834431</v>
      </c>
    </row>
    <row r="83" spans="1:11" x14ac:dyDescent="0.25">
      <c r="A83" s="11">
        <v>42278</v>
      </c>
      <c r="B83" s="14">
        <f>+[1]Data!H34</f>
        <v>132.26295730818606</v>
      </c>
      <c r="C83" s="14">
        <f t="shared" si="36"/>
        <v>120239.05209835095</v>
      </c>
      <c r="D83" s="26">
        <v>1.3250999999999999</v>
      </c>
      <c r="E83" s="18">
        <f t="shared" si="50"/>
        <v>1.4576100000000001</v>
      </c>
      <c r="F83" s="30">
        <f t="shared" si="51"/>
        <v>192787.80920198507</v>
      </c>
      <c r="G83" s="12">
        <f t="shared" si="52"/>
        <v>13495.146644138957</v>
      </c>
      <c r="H83" s="13">
        <f t="shared" si="53"/>
        <v>60059.937213145393</v>
      </c>
      <c r="I83" s="13">
        <f t="shared" si="54"/>
        <v>43690.4226876131</v>
      </c>
      <c r="J83" s="13">
        <f t="shared" si="55"/>
        <v>1510.8460531417522</v>
      </c>
      <c r="K83" s="13">
        <f t="shared" si="56"/>
        <v>22662.690797126281</v>
      </c>
    </row>
    <row r="84" spans="1:11" x14ac:dyDescent="0.25">
      <c r="A84" s="11">
        <v>42309</v>
      </c>
      <c r="B84" s="14">
        <f>+[1]Data!H35</f>
        <v>168.47357038655909</v>
      </c>
      <c r="C84" s="14">
        <f t="shared" si="36"/>
        <v>153157.79126050824</v>
      </c>
      <c r="D84" s="26">
        <v>1.3250999999999999</v>
      </c>
      <c r="E84" s="18">
        <f t="shared" si="50"/>
        <v>1.4576100000000001</v>
      </c>
      <c r="F84" s="30">
        <f t="shared" si="51"/>
        <v>245568.76093115241</v>
      </c>
      <c r="G84" s="12">
        <f t="shared" si="52"/>
        <v>17189.81326518067</v>
      </c>
      <c r="H84" s="13">
        <f t="shared" si="53"/>
        <v>76502.992715594708</v>
      </c>
      <c r="I84" s="13">
        <f t="shared" si="54"/>
        <v>55651.874505792068</v>
      </c>
      <c r="J84" s="13">
        <f t="shared" si="55"/>
        <v>1924.4816088916991</v>
      </c>
      <c r="K84" s="13">
        <f t="shared" si="56"/>
        <v>28867.224133375483</v>
      </c>
    </row>
    <row r="85" spans="1:11" ht="15.75" thickBot="1" x14ac:dyDescent="0.3">
      <c r="A85" s="11">
        <v>42339</v>
      </c>
      <c r="B85" s="14">
        <f>+[1]Data!H36</f>
        <v>78.592866164750646</v>
      </c>
      <c r="C85" s="14">
        <f t="shared" si="36"/>
        <v>71448.060149773315</v>
      </c>
      <c r="D85" s="27">
        <v>1.3250999999999999</v>
      </c>
      <c r="E85" s="18">
        <f t="shared" si="50"/>
        <v>1.4576100000000001</v>
      </c>
      <c r="F85" s="30">
        <f>B85*E85*1000</f>
        <v>114557.74765040219</v>
      </c>
      <c r="G85" s="12">
        <f t="shared" si="52"/>
        <v>8019.0423355281537</v>
      </c>
      <c r="H85" s="13">
        <f t="shared" si="53"/>
        <v>35688.621389716303</v>
      </c>
      <c r="I85" s="13">
        <f t="shared" si="54"/>
        <v>25961.581480202083</v>
      </c>
      <c r="J85" s="13">
        <f t="shared" si="55"/>
        <v>897.77004889911291</v>
      </c>
      <c r="K85" s="13">
        <f t="shared" si="56"/>
        <v>13466.550733486692</v>
      </c>
    </row>
    <row r="86" spans="1:11" ht="15.75" thickBot="1" x14ac:dyDescent="0.3">
      <c r="A86" s="10" t="s">
        <v>3</v>
      </c>
      <c r="B86" s="15">
        <f>SUM(B74:B85)</f>
        <v>1548.4307439916843</v>
      </c>
      <c r="C86" s="15">
        <f t="shared" si="36"/>
        <v>1407664.3127197127</v>
      </c>
      <c r="D86" s="43">
        <f>AVERAGE(D79:D85)</f>
        <v>1.32568</v>
      </c>
      <c r="E86" s="43">
        <f>AVERAGE(E74:E85)</f>
        <v>1.4598430000000002</v>
      </c>
      <c r="F86" s="16">
        <f>SUM(F74:F85)</f>
        <v>2259434.1700150971</v>
      </c>
      <c r="G86" s="16">
        <f>SUM(G74:G85)</f>
        <v>158160.39190105684</v>
      </c>
      <c r="H86" s="7">
        <f t="shared" ref="H86:I86" si="57">SUM(H74:H85)</f>
        <v>703134.53710511187</v>
      </c>
      <c r="I86" s="7">
        <f t="shared" si="57"/>
        <v>511493.12766277307</v>
      </c>
      <c r="J86" s="7">
        <f>SUM(J74:J85)</f>
        <v>17732.922266923113</v>
      </c>
      <c r="K86" s="102">
        <f>SUM(K74:K85)</f>
        <v>265993.83400384663</v>
      </c>
    </row>
    <row r="87" spans="1:11" outlineLevel="1" x14ac:dyDescent="0.25">
      <c r="A87" s="11">
        <v>42370</v>
      </c>
      <c r="B87" s="14">
        <f>SUM([3]Data!H38,[3]Data!I38)</f>
        <v>187.90147962083091</v>
      </c>
      <c r="C87" s="14">
        <f t="shared" ref="C87:C99" si="58">B87/1.1*1000</f>
        <v>170819.52692802809</v>
      </c>
      <c r="D87" s="100">
        <f>'[4]2016'!K5</f>
        <v>1.3368800000000001</v>
      </c>
      <c r="E87" s="18">
        <f t="shared" si="50"/>
        <v>1.4705680000000001</v>
      </c>
      <c r="F87" s="12">
        <f t="shared" ref="F87:F98" si="59">C87*D87</f>
        <v>228365.2091595422</v>
      </c>
      <c r="G87" s="12">
        <f t="shared" ref="G87:G98" si="60">F87*$L$1</f>
        <v>15985.564641167955</v>
      </c>
      <c r="H87" s="13">
        <f>B87*$L$48*1000</f>
        <v>86381.005840757207</v>
      </c>
      <c r="I87" s="13">
        <f>+B87*$M$48*1000</f>
        <v>53768.529810521293</v>
      </c>
      <c r="J87" s="13">
        <f t="shared" ref="J87:J98" si="61">IF((F87-G87-H87-I87)&lt;0,0,(F87-G87-H87-I87)*$N$1)</f>
        <v>1444.6021773419145</v>
      </c>
      <c r="K87" s="13">
        <f t="shared" ref="K87:K98" si="62">IF((F87-G87-H87-I87)&lt;0,0,(F87-G87-H87-I87)*$M$1)</f>
        <v>21669.032660128716</v>
      </c>
    </row>
    <row r="88" spans="1:11" outlineLevel="1" x14ac:dyDescent="0.25">
      <c r="A88" s="11">
        <v>42401</v>
      </c>
      <c r="B88" s="14">
        <f>SUM([3]Data!H39,[3]Data!I39)</f>
        <v>151.44970842457735</v>
      </c>
      <c r="C88" s="14">
        <f t="shared" si="58"/>
        <v>137681.55311325213</v>
      </c>
      <c r="D88" s="100">
        <f>'[4]2016'!K6</f>
        <v>1.3368800000000001</v>
      </c>
      <c r="E88" s="18">
        <f t="shared" si="50"/>
        <v>1.4705680000000001</v>
      </c>
      <c r="F88" s="12">
        <f t="shared" si="59"/>
        <v>184063.71472604451</v>
      </c>
      <c r="G88" s="12">
        <f t="shared" si="60"/>
        <v>12884.460030823117</v>
      </c>
      <c r="H88" s="13">
        <f t="shared" ref="H88:H98" si="63">B88*$L$48*1000</f>
        <v>69623.603679989697</v>
      </c>
      <c r="I88" s="13">
        <f t="shared" ref="I88:I98" si="64">+B88*$M$48*1000</f>
        <v>43337.754330907788</v>
      </c>
      <c r="J88" s="13">
        <f t="shared" si="61"/>
        <v>1164.3579336864777</v>
      </c>
      <c r="K88" s="13">
        <f t="shared" si="62"/>
        <v>17465.369005297165</v>
      </c>
    </row>
    <row r="89" spans="1:11" outlineLevel="1" x14ac:dyDescent="0.25">
      <c r="A89" s="11">
        <v>42430</v>
      </c>
      <c r="B89" s="14">
        <f>SUM([3]Data!H40,[3]Data!I40)</f>
        <v>160.35320130883986</v>
      </c>
      <c r="C89" s="14">
        <f t="shared" si="58"/>
        <v>145775.63755349076</v>
      </c>
      <c r="D89" s="100">
        <f>'[4]2016'!K7</f>
        <v>1.3368800000000001</v>
      </c>
      <c r="E89" s="18">
        <f t="shared" si="50"/>
        <v>1.4705680000000001</v>
      </c>
      <c r="F89" s="12">
        <f t="shared" si="59"/>
        <v>194884.53433251072</v>
      </c>
      <c r="G89" s="12">
        <f>F89*$L$1</f>
        <v>13641.917403275753</v>
      </c>
      <c r="H89" s="13">
        <f t="shared" si="63"/>
        <v>73716.667089551891</v>
      </c>
      <c r="I89" s="13">
        <f t="shared" si="64"/>
        <v>45885.513526478055</v>
      </c>
      <c r="J89" s="13">
        <f t="shared" si="61"/>
        <v>1232.8087262641004</v>
      </c>
      <c r="K89" s="13">
        <f t="shared" si="62"/>
        <v>18492.130893961505</v>
      </c>
    </row>
    <row r="90" spans="1:11" outlineLevel="1" x14ac:dyDescent="0.25">
      <c r="A90" s="11">
        <v>42461</v>
      </c>
      <c r="B90" s="14">
        <f>SUM([3]Data!H41,[3]Data!I41)</f>
        <v>163.52000557061695</v>
      </c>
      <c r="C90" s="14">
        <f t="shared" si="58"/>
        <v>148654.55051874268</v>
      </c>
      <c r="D90" s="100">
        <f>'[4]2016'!K8</f>
        <v>1.3368800000000001</v>
      </c>
      <c r="E90" s="18">
        <f t="shared" si="50"/>
        <v>1.4705680000000001</v>
      </c>
      <c r="F90" s="12">
        <f>C90*D90</f>
        <v>198733.29549749673</v>
      </c>
      <c r="G90" s="12">
        <f t="shared" si="60"/>
        <v>13911.330684824772</v>
      </c>
      <c r="H90" s="13">
        <f t="shared" si="63"/>
        <v>75172.492440076574</v>
      </c>
      <c r="I90" s="13">
        <f t="shared" si="64"/>
        <v>46791.703353705845</v>
      </c>
      <c r="J90" s="13">
        <f t="shared" si="61"/>
        <v>1257.1553803777911</v>
      </c>
      <c r="K90" s="13">
        <f t="shared" si="62"/>
        <v>18857.330705666864</v>
      </c>
    </row>
    <row r="91" spans="1:11" outlineLevel="1" x14ac:dyDescent="0.25">
      <c r="A91" s="11">
        <v>42491</v>
      </c>
      <c r="B91" s="14">
        <f>SUM([3]Data!H42,[3]Data!I42)</f>
        <v>123.98006884436262</v>
      </c>
      <c r="C91" s="14">
        <f t="shared" si="58"/>
        <v>112709.15349487509</v>
      </c>
      <c r="D91" s="100">
        <f>'[4]2016'!K9</f>
        <v>1.3368800000000001</v>
      </c>
      <c r="E91" s="18">
        <f t="shared" si="50"/>
        <v>1.4705680000000001</v>
      </c>
      <c r="F91" s="12">
        <f t="shared" si="59"/>
        <v>150678.61312422864</v>
      </c>
      <c r="G91" s="12">
        <f t="shared" si="60"/>
        <v>10547.502918696006</v>
      </c>
      <c r="H91" s="13">
        <f t="shared" si="63"/>
        <v>56995.416281943435</v>
      </c>
      <c r="I91" s="13">
        <f t="shared" si="64"/>
        <v>35477.240738180808</v>
      </c>
      <c r="J91" s="13">
        <f t="shared" si="61"/>
        <v>953.16906370816764</v>
      </c>
      <c r="K91" s="13">
        <f t="shared" si="62"/>
        <v>14297.535955622514</v>
      </c>
    </row>
    <row r="92" spans="1:11" outlineLevel="1" x14ac:dyDescent="0.25">
      <c r="A92" s="11">
        <v>42522</v>
      </c>
      <c r="B92" s="14">
        <f>SUM([3]Data!H43,[3]Data!I43)</f>
        <v>27.36714645372971</v>
      </c>
      <c r="C92" s="14">
        <f t="shared" si="58"/>
        <v>24879.22404884519</v>
      </c>
      <c r="D92" s="100">
        <f>'[4]2016'!K10</f>
        <v>1.3368800000000001</v>
      </c>
      <c r="E92" s="18">
        <f t="shared" si="50"/>
        <v>1.4705680000000001</v>
      </c>
      <c r="F92" s="12">
        <f t="shared" si="59"/>
        <v>33260.537046420162</v>
      </c>
      <c r="G92" s="12">
        <f t="shared" si="60"/>
        <v>2328.2375932494115</v>
      </c>
      <c r="H92" s="13">
        <f t="shared" si="63"/>
        <v>12581.069837421381</v>
      </c>
      <c r="I92" s="13">
        <f t="shared" si="64"/>
        <v>7831.1849001700857</v>
      </c>
      <c r="J92" s="13">
        <f t="shared" si="61"/>
        <v>210.40089431158566</v>
      </c>
      <c r="K92" s="13">
        <f t="shared" si="62"/>
        <v>3156.0134146737846</v>
      </c>
    </row>
    <row r="93" spans="1:11" outlineLevel="1" x14ac:dyDescent="0.25">
      <c r="A93" s="11">
        <v>42552</v>
      </c>
      <c r="B93" s="14">
        <f>SUM([3]Data!H44,[3]Data!I44)</f>
        <v>164.37781205285128</v>
      </c>
      <c r="C93" s="14">
        <f t="shared" si="58"/>
        <v>149434.37459350115</v>
      </c>
      <c r="D93" s="100">
        <f>'[4]2016'!K11</f>
        <v>1.3361799999999999</v>
      </c>
      <c r="E93" s="18">
        <f t="shared" si="50"/>
        <v>1.4697979999999999</v>
      </c>
      <c r="F93" s="12">
        <f t="shared" si="59"/>
        <v>199671.22264434435</v>
      </c>
      <c r="G93" s="12">
        <f t="shared" si="60"/>
        <v>13976.985585104107</v>
      </c>
      <c r="H93" s="13">
        <f t="shared" si="63"/>
        <v>75566.838386163043</v>
      </c>
      <c r="I93" s="13">
        <f t="shared" si="64"/>
        <v>47037.167058966435</v>
      </c>
      <c r="J93" s="13">
        <f t="shared" si="61"/>
        <v>1261.8046322822152</v>
      </c>
      <c r="K93" s="13">
        <f t="shared" si="62"/>
        <v>18927.069484233223</v>
      </c>
    </row>
    <row r="94" spans="1:11" outlineLevel="1" x14ac:dyDescent="0.25">
      <c r="A94" s="11">
        <v>42583</v>
      </c>
      <c r="B94" s="14">
        <f>SUM([3]Data!H45,[3]Data!I45)</f>
        <v>77.235676453769273</v>
      </c>
      <c r="C94" s="14">
        <f t="shared" si="58"/>
        <v>70214.251321608433</v>
      </c>
      <c r="D94" s="100">
        <f>'[4]2016'!K12</f>
        <v>1.3361799999999999</v>
      </c>
      <c r="E94" s="18">
        <f t="shared" si="50"/>
        <v>1.4697979999999999</v>
      </c>
      <c r="F94" s="12">
        <f t="shared" si="59"/>
        <v>93818.878330906751</v>
      </c>
      <c r="G94" s="12">
        <f t="shared" si="60"/>
        <v>6567.3214831634732</v>
      </c>
      <c r="H94" s="13">
        <f t="shared" si="63"/>
        <v>35506.348498855819</v>
      </c>
      <c r="I94" s="13">
        <f t="shared" si="64"/>
        <v>22101.203142308212</v>
      </c>
      <c r="J94" s="13">
        <f t="shared" si="61"/>
        <v>592.88010413158509</v>
      </c>
      <c r="K94" s="13">
        <f t="shared" si="62"/>
        <v>8893.2015619737758</v>
      </c>
    </row>
    <row r="95" spans="1:11" outlineLevel="1" x14ac:dyDescent="0.25">
      <c r="A95" s="11">
        <v>42614</v>
      </c>
      <c r="B95" s="14">
        <f>SUM([3]Data!H46,[3]Data!I46)</f>
        <v>4.0724706727092466</v>
      </c>
      <c r="C95" s="14">
        <f t="shared" si="58"/>
        <v>3702.2460660993147</v>
      </c>
      <c r="D95" s="100">
        <f>'[4]2016'!K13</f>
        <v>1.3361799999999999</v>
      </c>
      <c r="E95" s="18">
        <f t="shared" si="50"/>
        <v>1.4697979999999999</v>
      </c>
      <c r="F95" s="12">
        <f t="shared" si="59"/>
        <v>4946.8671486005824</v>
      </c>
      <c r="G95" s="12">
        <f t="shared" si="60"/>
        <v>346.28070040204079</v>
      </c>
      <c r="H95" s="13">
        <f t="shared" si="63"/>
        <v>1872.1731924382932</v>
      </c>
      <c r="I95" s="13">
        <f t="shared" si="64"/>
        <v>1165.3487838941187</v>
      </c>
      <c r="J95" s="13">
        <f t="shared" si="61"/>
        <v>31.261289437322603</v>
      </c>
      <c r="K95" s="13">
        <f t="shared" si="62"/>
        <v>468.91934155983904</v>
      </c>
    </row>
    <row r="96" spans="1:11" outlineLevel="1" x14ac:dyDescent="0.25">
      <c r="A96" s="11">
        <v>42644</v>
      </c>
      <c r="B96" s="14">
        <f>SUM([3]Data!H47,[3]Data!I47)</f>
        <v>149.04631036965094</v>
      </c>
      <c r="C96" s="14">
        <f t="shared" si="58"/>
        <v>135496.64579059175</v>
      </c>
      <c r="D96" s="100">
        <f>'[4]2016'!K14</f>
        <v>1.3361799999999999</v>
      </c>
      <c r="E96" s="18">
        <f t="shared" si="50"/>
        <v>1.4697979999999999</v>
      </c>
      <c r="F96" s="12">
        <f t="shared" si="59"/>
        <v>181047.90817247287</v>
      </c>
      <c r="G96" s="12">
        <f>F96*$L$1</f>
        <v>12673.353572073103</v>
      </c>
      <c r="H96" s="13">
        <f t="shared" si="63"/>
        <v>68518.727114679001</v>
      </c>
      <c r="I96" s="13">
        <f t="shared" si="64"/>
        <v>42650.015308183589</v>
      </c>
      <c r="J96" s="13">
        <f t="shared" si="61"/>
        <v>1144.1162435507438</v>
      </c>
      <c r="K96" s="13">
        <f t="shared" si="62"/>
        <v>17161.743653261154</v>
      </c>
    </row>
    <row r="97" spans="1:11" outlineLevel="1" x14ac:dyDescent="0.25">
      <c r="A97" s="11">
        <v>42675</v>
      </c>
      <c r="B97" s="14">
        <f>SUM([3]Data!H48,[3]Data!I48)</f>
        <v>246.42642630301333</v>
      </c>
      <c r="C97" s="14">
        <f t="shared" si="58"/>
        <v>224024.02391183027</v>
      </c>
      <c r="D97" s="100">
        <f>'[4]2016'!K15</f>
        <v>1.3361799999999999</v>
      </c>
      <c r="E97" s="18">
        <f t="shared" si="50"/>
        <v>1.4697979999999999</v>
      </c>
      <c r="F97" s="12">
        <f t="shared" si="59"/>
        <v>299336.42027050938</v>
      </c>
      <c r="G97" s="12">
        <f t="shared" si="60"/>
        <v>20953.549418935658</v>
      </c>
      <c r="H97" s="13">
        <f t="shared" si="63"/>
        <v>113285.76343705213</v>
      </c>
      <c r="I97" s="13">
        <f t="shared" si="64"/>
        <v>70515.605707369308</v>
      </c>
      <c r="J97" s="13">
        <f t="shared" si="61"/>
        <v>1891.6300341430451</v>
      </c>
      <c r="K97" s="13">
        <f t="shared" si="62"/>
        <v>28374.450512145679</v>
      </c>
    </row>
    <row r="98" spans="1:11" ht="15.75" outlineLevel="1" thickBot="1" x14ac:dyDescent="0.3">
      <c r="A98" s="11">
        <v>42705</v>
      </c>
      <c r="B98" s="14">
        <f>SUM([3]Data!H49,[3]Data!I49)</f>
        <v>185.1645732255447</v>
      </c>
      <c r="C98" s="14">
        <f t="shared" si="58"/>
        <v>168331.43020504061</v>
      </c>
      <c r="D98" s="100">
        <f>'[4]2016'!K16</f>
        <v>1.3361799999999999</v>
      </c>
      <c r="E98" s="18">
        <f t="shared" si="50"/>
        <v>1.4697979999999999</v>
      </c>
      <c r="F98" s="12">
        <f t="shared" si="59"/>
        <v>224921.09041137114</v>
      </c>
      <c r="G98" s="12">
        <f t="shared" si="60"/>
        <v>15744.476328795981</v>
      </c>
      <c r="H98" s="13">
        <f t="shared" si="63"/>
        <v>85122.810706829085</v>
      </c>
      <c r="I98" s="13">
        <f t="shared" si="64"/>
        <v>52985.356450734515</v>
      </c>
      <c r="J98" s="13">
        <f t="shared" si="61"/>
        <v>1421.3689385002313</v>
      </c>
      <c r="K98" s="13">
        <f t="shared" si="62"/>
        <v>21320.534077503467</v>
      </c>
    </row>
    <row r="99" spans="1:11" ht="15.75" outlineLevel="1" thickBot="1" x14ac:dyDescent="0.3">
      <c r="A99" s="10" t="s">
        <v>69</v>
      </c>
      <c r="B99" s="15">
        <f>SUM(B87:B98)</f>
        <v>1640.8948793004961</v>
      </c>
      <c r="C99" s="15">
        <f t="shared" si="58"/>
        <v>1491722.6175459055</v>
      </c>
      <c r="D99" s="43">
        <f>AVERAGE(D92:D98)</f>
        <v>1.3362800000000001</v>
      </c>
      <c r="E99" s="43">
        <f>AVERAGE(E87:E98)</f>
        <v>1.4701830000000005</v>
      </c>
      <c r="F99" s="16">
        <f>SUM(F87:F98)</f>
        <v>1993728.2908644481</v>
      </c>
      <c r="G99" s="16">
        <f>SUM(G87:G98)</f>
        <v>139560.98036051137</v>
      </c>
      <c r="H99" s="7">
        <f t="shared" ref="H99:I99" si="65">SUM(H87:H98)</f>
        <v>754342.9165057576</v>
      </c>
      <c r="I99" s="7">
        <f t="shared" si="65"/>
        <v>469546.62311142008</v>
      </c>
      <c r="J99" s="7">
        <f>SUM(J87:J98)</f>
        <v>12605.555417735179</v>
      </c>
      <c r="K99" s="7">
        <f>SUM(K87:K98)</f>
        <v>189083.33126602767</v>
      </c>
    </row>
    <row r="100" spans="1:11" ht="15.75" thickBot="1" x14ac:dyDescent="0.3">
      <c r="A100" s="10" t="s">
        <v>79</v>
      </c>
      <c r="B100" s="15">
        <f>B60+B73+B86+B99</f>
        <v>7388.2510836899128</v>
      </c>
      <c r="C100" s="15">
        <f>B100/1.1*1000</f>
        <v>6716591.8942635562</v>
      </c>
      <c r="D100" s="16"/>
      <c r="E100" s="15"/>
      <c r="F100" s="15">
        <f>F60+F73+F86+F99</f>
        <v>10250853.077885322</v>
      </c>
      <c r="G100" s="15">
        <f>G60+G73+G86+G99</f>
        <v>717559.71545197256</v>
      </c>
      <c r="H100" s="15">
        <f t="shared" ref="H100:K100" si="66">H60+H73+H86+H99</f>
        <v>3334295.0051953136</v>
      </c>
      <c r="I100" s="15">
        <f t="shared" si="66"/>
        <v>3363898.1058953274</v>
      </c>
      <c r="J100" s="15">
        <f t="shared" si="66"/>
        <v>56702.005026854175</v>
      </c>
      <c r="K100" s="15">
        <f t="shared" si="66"/>
        <v>850530.07540281245</v>
      </c>
    </row>
    <row r="103" spans="1:11" ht="39" hidden="1" outlineLevel="1" thickBot="1" x14ac:dyDescent="0.3">
      <c r="A103" s="1" t="s">
        <v>0</v>
      </c>
      <c r="B103" s="2" t="s">
        <v>71</v>
      </c>
      <c r="C103" s="2" t="s">
        <v>72</v>
      </c>
      <c r="D103" s="28" t="s">
        <v>73</v>
      </c>
      <c r="E103" s="29" t="s">
        <v>29</v>
      </c>
      <c r="F103" s="2" t="s">
        <v>74</v>
      </c>
      <c r="G103" s="2" t="s">
        <v>37</v>
      </c>
      <c r="H103" s="2" t="s">
        <v>38</v>
      </c>
      <c r="I103" s="2" t="s">
        <v>58</v>
      </c>
      <c r="J103" s="2" t="s">
        <v>75</v>
      </c>
    </row>
    <row r="104" spans="1:11" hidden="1" outlineLevel="1" x14ac:dyDescent="0.25">
      <c r="A104" s="11">
        <v>42370</v>
      </c>
      <c r="B104" s="14"/>
      <c r="C104" s="14">
        <f t="shared" ref="C104:C116" si="67">B104/1.1*1000</f>
        <v>0</v>
      </c>
      <c r="D104" s="90">
        <v>1.5</v>
      </c>
      <c r="E104" s="12">
        <f t="shared" ref="E104:E115" si="68">C104*D104</f>
        <v>0</v>
      </c>
      <c r="F104" s="12">
        <f t="shared" ref="F104:F115" si="69">E104*$L$1</f>
        <v>0</v>
      </c>
      <c r="G104" s="13">
        <f t="shared" ref="G104:G115" si="70">B104*$L$35*1000</f>
        <v>0</v>
      </c>
      <c r="H104" s="13">
        <f t="shared" ref="H104:H115" si="71">+B104*$M$35*1000</f>
        <v>0</v>
      </c>
      <c r="I104" s="13">
        <f t="shared" ref="I104:I115" si="72">IF((E104-F104-G104-H104)&lt;0,0,(E104-F104-G104-H104)*$N$1)</f>
        <v>0</v>
      </c>
      <c r="J104" s="13">
        <f t="shared" ref="J104:J115" si="73">IF((E104-F104-G104-H104)&lt;0,0,(E104-F104-G104-H104)*$M$1)</f>
        <v>0</v>
      </c>
    </row>
    <row r="105" spans="1:11" hidden="1" outlineLevel="1" x14ac:dyDescent="0.25">
      <c r="A105" s="11">
        <v>42401</v>
      </c>
      <c r="B105" s="14"/>
      <c r="C105" s="14">
        <f t="shared" si="67"/>
        <v>0</v>
      </c>
      <c r="D105" s="91">
        <v>1.5</v>
      </c>
      <c r="E105" s="12">
        <f t="shared" si="68"/>
        <v>0</v>
      </c>
      <c r="F105" s="12">
        <f t="shared" si="69"/>
        <v>0</v>
      </c>
      <c r="G105" s="13">
        <f t="shared" si="70"/>
        <v>0</v>
      </c>
      <c r="H105" s="13">
        <f t="shared" si="71"/>
        <v>0</v>
      </c>
      <c r="I105" s="13">
        <f t="shared" si="72"/>
        <v>0</v>
      </c>
      <c r="J105" s="13">
        <f t="shared" si="73"/>
        <v>0</v>
      </c>
    </row>
    <row r="106" spans="1:11" hidden="1" outlineLevel="1" x14ac:dyDescent="0.25">
      <c r="A106" s="11">
        <v>42430</v>
      </c>
      <c r="B106" s="14"/>
      <c r="C106" s="14">
        <f t="shared" si="67"/>
        <v>0</v>
      </c>
      <c r="D106" s="91">
        <v>1.5</v>
      </c>
      <c r="E106" s="12">
        <f t="shared" si="68"/>
        <v>0</v>
      </c>
      <c r="F106" s="12">
        <f t="shared" si="69"/>
        <v>0</v>
      </c>
      <c r="G106" s="13">
        <f t="shared" si="70"/>
        <v>0</v>
      </c>
      <c r="H106" s="13">
        <f t="shared" si="71"/>
        <v>0</v>
      </c>
      <c r="I106" s="13">
        <f t="shared" si="72"/>
        <v>0</v>
      </c>
      <c r="J106" s="13">
        <f t="shared" si="73"/>
        <v>0</v>
      </c>
    </row>
    <row r="107" spans="1:11" hidden="1" outlineLevel="1" x14ac:dyDescent="0.25">
      <c r="A107" s="11">
        <v>42461</v>
      </c>
      <c r="B107" s="14"/>
      <c r="C107" s="14">
        <f t="shared" si="67"/>
        <v>0</v>
      </c>
      <c r="D107" s="91">
        <v>1.5</v>
      </c>
      <c r="E107" s="12">
        <f t="shared" si="68"/>
        <v>0</v>
      </c>
      <c r="F107" s="12">
        <f t="shared" si="69"/>
        <v>0</v>
      </c>
      <c r="G107" s="13">
        <f t="shared" si="70"/>
        <v>0</v>
      </c>
      <c r="H107" s="13">
        <f t="shared" si="71"/>
        <v>0</v>
      </c>
      <c r="I107" s="13">
        <f t="shared" si="72"/>
        <v>0</v>
      </c>
      <c r="J107" s="13">
        <f t="shared" si="73"/>
        <v>0</v>
      </c>
    </row>
    <row r="108" spans="1:11" hidden="1" outlineLevel="1" x14ac:dyDescent="0.25">
      <c r="A108" s="11">
        <v>42491</v>
      </c>
      <c r="B108" s="14"/>
      <c r="C108" s="14">
        <f t="shared" si="67"/>
        <v>0</v>
      </c>
      <c r="D108" s="91">
        <v>1.5</v>
      </c>
      <c r="E108" s="12">
        <f t="shared" si="68"/>
        <v>0</v>
      </c>
      <c r="F108" s="12">
        <f t="shared" si="69"/>
        <v>0</v>
      </c>
      <c r="G108" s="13">
        <f t="shared" si="70"/>
        <v>0</v>
      </c>
      <c r="H108" s="13">
        <f t="shared" si="71"/>
        <v>0</v>
      </c>
      <c r="I108" s="13">
        <f t="shared" si="72"/>
        <v>0</v>
      </c>
      <c r="J108" s="13">
        <f t="shared" si="73"/>
        <v>0</v>
      </c>
    </row>
    <row r="109" spans="1:11" hidden="1" outlineLevel="1" x14ac:dyDescent="0.25">
      <c r="A109" s="11">
        <v>42522</v>
      </c>
      <c r="B109" s="14"/>
      <c r="C109" s="14">
        <f t="shared" si="67"/>
        <v>0</v>
      </c>
      <c r="D109" s="91">
        <v>1.5</v>
      </c>
      <c r="E109" s="12">
        <f t="shared" si="68"/>
        <v>0</v>
      </c>
      <c r="F109" s="12">
        <f t="shared" si="69"/>
        <v>0</v>
      </c>
      <c r="G109" s="13">
        <f t="shared" si="70"/>
        <v>0</v>
      </c>
      <c r="H109" s="13">
        <f t="shared" si="71"/>
        <v>0</v>
      </c>
      <c r="I109" s="13">
        <f t="shared" si="72"/>
        <v>0</v>
      </c>
      <c r="J109" s="13">
        <f t="shared" si="73"/>
        <v>0</v>
      </c>
    </row>
    <row r="110" spans="1:11" hidden="1" outlineLevel="1" x14ac:dyDescent="0.25">
      <c r="A110" s="11">
        <v>42552</v>
      </c>
      <c r="B110" s="14"/>
      <c r="C110" s="14">
        <f t="shared" si="67"/>
        <v>0</v>
      </c>
      <c r="D110" s="91">
        <v>1.5</v>
      </c>
      <c r="E110" s="12">
        <f t="shared" si="68"/>
        <v>0</v>
      </c>
      <c r="F110" s="12">
        <f t="shared" si="69"/>
        <v>0</v>
      </c>
      <c r="G110" s="13">
        <f t="shared" si="70"/>
        <v>0</v>
      </c>
      <c r="H110" s="13">
        <f t="shared" si="71"/>
        <v>0</v>
      </c>
      <c r="I110" s="13">
        <f t="shared" si="72"/>
        <v>0</v>
      </c>
      <c r="J110" s="13">
        <f t="shared" si="73"/>
        <v>0</v>
      </c>
    </row>
    <row r="111" spans="1:11" hidden="1" outlineLevel="1" x14ac:dyDescent="0.25">
      <c r="A111" s="11">
        <v>42583</v>
      </c>
      <c r="B111" s="14"/>
      <c r="C111" s="14">
        <f t="shared" si="67"/>
        <v>0</v>
      </c>
      <c r="D111" s="91">
        <v>1.5</v>
      </c>
      <c r="E111" s="12">
        <f t="shared" si="68"/>
        <v>0</v>
      </c>
      <c r="F111" s="12">
        <f t="shared" si="69"/>
        <v>0</v>
      </c>
      <c r="G111" s="13">
        <f t="shared" si="70"/>
        <v>0</v>
      </c>
      <c r="H111" s="13">
        <f t="shared" si="71"/>
        <v>0</v>
      </c>
      <c r="I111" s="13">
        <f t="shared" si="72"/>
        <v>0</v>
      </c>
      <c r="J111" s="13">
        <f t="shared" si="73"/>
        <v>0</v>
      </c>
    </row>
    <row r="112" spans="1:11" hidden="1" outlineLevel="1" x14ac:dyDescent="0.25">
      <c r="A112" s="11">
        <v>42614</v>
      </c>
      <c r="B112" s="14"/>
      <c r="C112" s="14">
        <f t="shared" si="67"/>
        <v>0</v>
      </c>
      <c r="D112" s="92">
        <v>1.5</v>
      </c>
      <c r="E112" s="12">
        <f t="shared" si="68"/>
        <v>0</v>
      </c>
      <c r="F112" s="12">
        <f t="shared" si="69"/>
        <v>0</v>
      </c>
      <c r="G112" s="13">
        <f t="shared" si="70"/>
        <v>0</v>
      </c>
      <c r="H112" s="13">
        <f t="shared" si="71"/>
        <v>0</v>
      </c>
      <c r="I112" s="13">
        <f t="shared" si="72"/>
        <v>0</v>
      </c>
      <c r="J112" s="13">
        <f t="shared" si="73"/>
        <v>0</v>
      </c>
    </row>
    <row r="113" spans="1:23" hidden="1" outlineLevel="1" x14ac:dyDescent="0.25">
      <c r="A113" s="11">
        <v>42644</v>
      </c>
      <c r="B113" s="14"/>
      <c r="C113" s="14">
        <f t="shared" si="67"/>
        <v>0</v>
      </c>
      <c r="D113" s="93">
        <v>1.5</v>
      </c>
      <c r="E113" s="12">
        <f t="shared" si="68"/>
        <v>0</v>
      </c>
      <c r="F113" s="12">
        <f t="shared" si="69"/>
        <v>0</v>
      </c>
      <c r="G113" s="13">
        <f t="shared" si="70"/>
        <v>0</v>
      </c>
      <c r="H113" s="13">
        <f t="shared" si="71"/>
        <v>0</v>
      </c>
      <c r="I113" s="13">
        <f t="shared" si="72"/>
        <v>0</v>
      </c>
      <c r="J113" s="13">
        <f t="shared" si="73"/>
        <v>0</v>
      </c>
    </row>
    <row r="114" spans="1:23" hidden="1" outlineLevel="1" x14ac:dyDescent="0.25">
      <c r="A114" s="11">
        <v>42675</v>
      </c>
      <c r="B114" s="14"/>
      <c r="C114" s="14">
        <f t="shared" si="67"/>
        <v>0</v>
      </c>
      <c r="D114" s="93">
        <v>1.5</v>
      </c>
      <c r="E114" s="12">
        <f t="shared" si="68"/>
        <v>0</v>
      </c>
      <c r="F114" s="12">
        <f t="shared" si="69"/>
        <v>0</v>
      </c>
      <c r="G114" s="13">
        <f t="shared" si="70"/>
        <v>0</v>
      </c>
      <c r="H114" s="13">
        <f t="shared" si="71"/>
        <v>0</v>
      </c>
      <c r="I114" s="13">
        <f t="shared" si="72"/>
        <v>0</v>
      </c>
      <c r="J114" s="13">
        <f t="shared" si="73"/>
        <v>0</v>
      </c>
    </row>
    <row r="115" spans="1:23" ht="15.75" hidden="1" outlineLevel="1" thickBot="1" x14ac:dyDescent="0.3">
      <c r="A115" s="11">
        <v>42705</v>
      </c>
      <c r="B115" s="14"/>
      <c r="C115" s="14">
        <f t="shared" si="67"/>
        <v>0</v>
      </c>
      <c r="D115" s="94">
        <v>1.5</v>
      </c>
      <c r="E115" s="12">
        <f t="shared" si="68"/>
        <v>0</v>
      </c>
      <c r="F115" s="12">
        <f t="shared" si="69"/>
        <v>0</v>
      </c>
      <c r="G115" s="13">
        <f t="shared" si="70"/>
        <v>0</v>
      </c>
      <c r="H115" s="13">
        <f t="shared" si="71"/>
        <v>0</v>
      </c>
      <c r="I115" s="13">
        <f t="shared" si="72"/>
        <v>0</v>
      </c>
      <c r="J115" s="13">
        <f t="shared" si="73"/>
        <v>0</v>
      </c>
    </row>
    <row r="116" spans="1:23" ht="15.75" hidden="1" outlineLevel="1" thickBot="1" x14ac:dyDescent="0.3">
      <c r="A116" s="10" t="s">
        <v>69</v>
      </c>
      <c r="B116" s="15">
        <f>SUM(B104:B115)</f>
        <v>0</v>
      </c>
      <c r="C116" s="15">
        <f t="shared" si="67"/>
        <v>0</v>
      </c>
      <c r="D116" s="43">
        <f>AVERAGE(D109:D115)</f>
        <v>1.5</v>
      </c>
      <c r="E116" s="16">
        <f>SUM(E104:E115)</f>
        <v>0</v>
      </c>
      <c r="F116" s="16">
        <f>SUM(F104:F115)</f>
        <v>0</v>
      </c>
      <c r="G116" s="7">
        <f t="shared" ref="G116:H116" si="74">SUM(G104:G115)</f>
        <v>0</v>
      </c>
      <c r="H116" s="7">
        <f t="shared" si="74"/>
        <v>0</v>
      </c>
      <c r="I116" s="7">
        <f>SUM(I104:I115)</f>
        <v>0</v>
      </c>
      <c r="J116" s="7">
        <f>SUM(J104:J115)</f>
        <v>0</v>
      </c>
    </row>
    <row r="117" spans="1:23" hidden="1" outlineLevel="1" x14ac:dyDescent="0.25">
      <c r="E117" s="40"/>
      <c r="F117" s="31"/>
    </row>
    <row r="118" spans="1:23" ht="16.5" collapsed="1" thickBot="1" x14ac:dyDescent="0.3">
      <c r="A118" s="88" t="s">
        <v>76</v>
      </c>
      <c r="B118" s="95"/>
      <c r="C118" s="95"/>
      <c r="D118" s="95"/>
      <c r="E118" s="96"/>
      <c r="F118" s="97"/>
      <c r="G118" s="95"/>
      <c r="H118" s="95"/>
      <c r="I118" s="95"/>
      <c r="J118" s="95"/>
    </row>
    <row r="119" spans="1:23" ht="26.25" thickBot="1" x14ac:dyDescent="0.3">
      <c r="A119" s="1" t="s">
        <v>40</v>
      </c>
      <c r="B119" s="2" t="s">
        <v>41</v>
      </c>
      <c r="C119" s="28" t="s">
        <v>42</v>
      </c>
      <c r="D119" s="29" t="s">
        <v>63</v>
      </c>
      <c r="E119" s="2" t="s">
        <v>62</v>
      </c>
      <c r="F119" s="2" t="s">
        <v>37</v>
      </c>
      <c r="G119" s="2" t="s">
        <v>38</v>
      </c>
      <c r="H119" s="2" t="s">
        <v>33</v>
      </c>
      <c r="I119" s="2" t="s">
        <v>43</v>
      </c>
      <c r="J119" s="2" t="s">
        <v>77</v>
      </c>
    </row>
    <row r="120" spans="1:23" x14ac:dyDescent="0.25">
      <c r="A120" s="44">
        <v>2013</v>
      </c>
      <c r="B120" s="47">
        <f>+B9+B60</f>
        <v>2462.6431607368163</v>
      </c>
      <c r="C120" s="49">
        <f>+D120/B120/1000</f>
        <v>1.2573894852767258</v>
      </c>
      <c r="D120" s="98">
        <f>+F60+F9</f>
        <v>3096501.6162991147</v>
      </c>
      <c r="E120" s="46">
        <f>+G60+G9</f>
        <v>216755.11314093808</v>
      </c>
      <c r="F120" s="46">
        <f>+H60+H9</f>
        <v>1083562.9907241992</v>
      </c>
      <c r="G120" s="46">
        <f>+I60+I9</f>
        <v>1285376.5977465815</v>
      </c>
      <c r="H120" s="46">
        <f>IF((D120-E120-F120-G120)&lt;0,0,(D120-E120-F120-G120)*$N$1)</f>
        <v>10216.138293747921</v>
      </c>
      <c r="I120" s="46">
        <f>IF((D120-E120-F120-G120)&lt;0,0,(D120-E120-F120-G120)*$M$1)</f>
        <v>153242.0744062188</v>
      </c>
      <c r="J120" s="46">
        <f>+D120-E120-H120-F120-G120-I120</f>
        <v>347348.70198742941</v>
      </c>
      <c r="Q120" s="38"/>
    </row>
    <row r="121" spans="1:23" x14ac:dyDescent="0.25">
      <c r="A121" s="44">
        <f>+A120+1</f>
        <v>2014</v>
      </c>
      <c r="B121" s="47">
        <f>+B73+B22</f>
        <v>2585.4709139952229</v>
      </c>
      <c r="C121" s="49">
        <f>+D121/B121/1000</f>
        <v>1.254234908401314</v>
      </c>
      <c r="D121" s="98">
        <f>+F73+F22</f>
        <v>3242787.8749890598</v>
      </c>
      <c r="E121" s="46">
        <f>+G73+G22</f>
        <v>226995.15124923416</v>
      </c>
      <c r="F121" s="46">
        <f>+H73+H22</f>
        <v>1173196.933639602</v>
      </c>
      <c r="G121" s="46">
        <f>+I73+I22</f>
        <v>1581842.8146005573</v>
      </c>
      <c r="H121" s="46">
        <f>IF((D121-E121-F121-G121)&lt;0,0,(D121-E121-F121-G121)*$N$1)</f>
        <v>5215.0595099933262</v>
      </c>
      <c r="I121" s="46">
        <f>IF((D121-E121-F121-G121)&lt;0,0,(D121-E121-F121-G121)*$M$1)</f>
        <v>78225.892649899892</v>
      </c>
      <c r="J121" s="46">
        <f>+D121-E121-H121-F121-G121-I121</f>
        <v>177312.02333977289</v>
      </c>
      <c r="K121" s="38"/>
      <c r="Q121" s="38"/>
    </row>
    <row r="122" spans="1:23" x14ac:dyDescent="0.25">
      <c r="A122" s="44">
        <f t="shared" ref="A122" si="75">+A121+1</f>
        <v>2015</v>
      </c>
      <c r="B122" s="47">
        <f>+B86+B35</f>
        <v>1972.5232407537378</v>
      </c>
      <c r="C122" s="49">
        <f t="shared" ref="C122" si="76">+D122/B122/1000</f>
        <v>1.2179527974006268</v>
      </c>
      <c r="D122" s="98">
        <f>+F86+F35</f>
        <v>2402440.199013765</v>
      </c>
      <c r="E122" s="46">
        <f>+G86+G35</f>
        <v>168170.81393096357</v>
      </c>
      <c r="F122" s="46">
        <f>+H86+H35</f>
        <v>895712.78612116165</v>
      </c>
      <c r="G122" s="46">
        <f>+I86+I35</f>
        <v>651583.60211818223</v>
      </c>
      <c r="H122" s="46">
        <f>IF((D122-E122-F122-G122)&lt;0,0,(D122-E122-F122-G122)*$N$1)</f>
        <v>13739.459936869149</v>
      </c>
      <c r="I122" s="46">
        <f>IF((D122-E122-F122-G122+J121)&lt;0,0,(D122-E122-F122-G122+J121)*$M$1)</f>
        <v>259285.50605496907</v>
      </c>
      <c r="J122" s="46">
        <f>+D122-E122-H122-F122-G122-I122</f>
        <v>413948.03085161909</v>
      </c>
      <c r="K122" s="38"/>
      <c r="Q122" s="38"/>
    </row>
    <row r="123" spans="1:23" ht="15.75" thickBot="1" x14ac:dyDescent="0.3">
      <c r="A123" s="44">
        <f>A122+1</f>
        <v>2016</v>
      </c>
      <c r="B123" s="47">
        <f>+B99+B48</f>
        <v>1873.1676704343563</v>
      </c>
      <c r="C123" s="49">
        <f>+D123/B123/1000</f>
        <v>1.1047114175451473</v>
      </c>
      <c r="D123" s="98">
        <f>+F99+F48</f>
        <v>2069309.7125052791</v>
      </c>
      <c r="E123" s="46">
        <f>+G99+G48</f>
        <v>144851.67987536953</v>
      </c>
      <c r="F123" s="46">
        <f>+H99+H48</f>
        <v>861122.05080565938</v>
      </c>
      <c r="G123" s="46">
        <f>+I99+I48</f>
        <v>536012.12683952064</v>
      </c>
      <c r="H123" s="46">
        <f>IF((D123-E123-F123-G123)&lt;0,0,(D123-E123-F123-G123)*$N$1)</f>
        <v>10546.477099694586</v>
      </c>
      <c r="I123" s="46">
        <f>IF((D123-E123-F123-G123+J122)&lt;0,0,(D123-E123-F123-G123+J122)*$M$1)</f>
        <v>282381.5657509045</v>
      </c>
      <c r="J123" s="47">
        <f>+J99+J48</f>
        <v>12605.555417735179</v>
      </c>
      <c r="K123" s="38"/>
      <c r="Q123" s="38"/>
    </row>
    <row r="124" spans="1:23" ht="15.75" thickBot="1" x14ac:dyDescent="0.3">
      <c r="A124" s="45" t="s">
        <v>44</v>
      </c>
      <c r="B124" s="48">
        <f>SUM(B120:B123)</f>
        <v>8893.8049859201328</v>
      </c>
      <c r="C124" s="101">
        <f>AVERAGE(C120:C123)</f>
        <v>1.2085721521559534</v>
      </c>
      <c r="D124" s="48">
        <f t="shared" ref="D124:J124" si="77">SUM(D120:D123)</f>
        <v>10811039.402807219</v>
      </c>
      <c r="E124" s="48">
        <f t="shared" si="77"/>
        <v>756772.75819650537</v>
      </c>
      <c r="F124" s="48">
        <f t="shared" si="77"/>
        <v>4013594.7612906224</v>
      </c>
      <c r="G124" s="103">
        <f t="shared" si="77"/>
        <v>4054815.1413048413</v>
      </c>
      <c r="H124" s="48">
        <f t="shared" si="77"/>
        <v>39717.134840304985</v>
      </c>
      <c r="I124" s="48">
        <f t="shared" si="77"/>
        <v>773135.0388619923</v>
      </c>
      <c r="J124" s="48">
        <f t="shared" si="77"/>
        <v>951214.31159655657</v>
      </c>
      <c r="K124" s="104">
        <f>D124-F124-G124</f>
        <v>2742629.5002117548</v>
      </c>
      <c r="Q124" s="38"/>
    </row>
    <row r="125" spans="1:2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38"/>
    </row>
    <row r="126" spans="1:23" ht="15.75" x14ac:dyDescent="0.25">
      <c r="A126" s="88"/>
      <c r="B126" s="95"/>
      <c r="C126" s="95"/>
      <c r="D126" s="95"/>
      <c r="E126" s="96"/>
      <c r="F126" s="97"/>
      <c r="G126" s="95"/>
      <c r="H126" s="95"/>
      <c r="I126" s="95"/>
      <c r="J126" s="95"/>
      <c r="P126" s="151"/>
      <c r="Q126" s="152"/>
      <c r="R126" s="153"/>
      <c r="S126" s="152"/>
      <c r="T126" s="150"/>
      <c r="U126" s="151"/>
      <c r="V126" s="158"/>
      <c r="W126" s="158"/>
    </row>
    <row r="127" spans="1:23" ht="15.75" x14ac:dyDescent="0.25">
      <c r="A127" s="95"/>
      <c r="B127" s="95"/>
      <c r="C127" s="95"/>
      <c r="D127" s="95"/>
      <c r="E127" s="95"/>
      <c r="F127" s="95"/>
      <c r="G127" s="33"/>
      <c r="H127" s="95"/>
      <c r="I127" s="95"/>
      <c r="J127" s="95"/>
      <c r="P127" s="154"/>
      <c r="Q127" s="155"/>
      <c r="R127" s="156"/>
      <c r="S127" s="155"/>
      <c r="T127" s="150"/>
      <c r="U127" s="159"/>
      <c r="V127" s="155"/>
      <c r="W127" s="156"/>
    </row>
    <row r="128" spans="1:23" x14ac:dyDescent="0.25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P128" s="154"/>
      <c r="Q128" s="155"/>
      <c r="R128" s="156"/>
      <c r="S128" s="155"/>
      <c r="T128" s="150"/>
      <c r="U128" s="159"/>
      <c r="V128" s="155"/>
      <c r="W128" s="156"/>
    </row>
    <row r="129" spans="11:23" x14ac:dyDescent="0.25">
      <c r="K129" s="38"/>
      <c r="P129" s="154"/>
      <c r="Q129" s="155"/>
      <c r="R129" s="156"/>
      <c r="S129" s="155"/>
      <c r="T129" s="150"/>
      <c r="U129" s="159"/>
      <c r="V129" s="155"/>
      <c r="W129" s="156"/>
    </row>
    <row r="130" spans="11:23" x14ac:dyDescent="0.25">
      <c r="K130" s="38"/>
      <c r="P130" s="157"/>
      <c r="Q130" s="155"/>
      <c r="R130" s="156"/>
      <c r="S130" s="155"/>
      <c r="T130" s="150"/>
      <c r="U130" s="160"/>
      <c r="V130" s="155"/>
      <c r="W130" s="155"/>
    </row>
    <row r="131" spans="11:23" outlineLevel="1" x14ac:dyDescent="0.25">
      <c r="P131" s="157"/>
      <c r="Q131" s="155"/>
      <c r="R131" s="155"/>
      <c r="S131" s="155"/>
      <c r="T131" s="150"/>
      <c r="U131" s="160"/>
      <c r="V131" s="155"/>
      <c r="W131" s="156"/>
    </row>
    <row r="132" spans="11:23" x14ac:dyDescent="0.25">
      <c r="P132" s="108"/>
      <c r="Q132" s="108"/>
      <c r="R132" s="108"/>
      <c r="S132" s="108"/>
      <c r="T132" s="108"/>
      <c r="U132" s="108"/>
      <c r="V132" s="108"/>
      <c r="W132" s="108"/>
    </row>
    <row r="133" spans="11:23" x14ac:dyDescent="0.25">
      <c r="P133" s="108"/>
      <c r="Q133" s="108"/>
      <c r="R133" s="108"/>
      <c r="S133" s="108"/>
      <c r="T133" s="108"/>
      <c r="U133" s="108"/>
      <c r="V133" s="108"/>
      <c r="W133" s="108"/>
    </row>
    <row r="134" spans="11:23" ht="44.25" customHeight="1" x14ac:dyDescent="0.25">
      <c r="P134" s="162"/>
      <c r="Q134" s="162"/>
      <c r="R134" s="150"/>
      <c r="S134" s="150"/>
      <c r="T134" s="150"/>
      <c r="U134" s="150"/>
      <c r="V134" s="150"/>
      <c r="W134" s="108"/>
    </row>
    <row r="135" spans="11:23" x14ac:dyDescent="0.25">
      <c r="P135" s="160"/>
      <c r="Q135" s="163"/>
      <c r="R135" s="150"/>
      <c r="S135" s="150"/>
      <c r="T135" s="150"/>
      <c r="U135" s="150"/>
      <c r="V135" s="150"/>
      <c r="W135" s="108"/>
    </row>
    <row r="136" spans="11:23" x14ac:dyDescent="0.25">
      <c r="P136" s="160"/>
      <c r="Q136" s="163"/>
      <c r="R136" s="150"/>
      <c r="S136" s="150"/>
      <c r="T136" s="150"/>
      <c r="U136" s="150"/>
      <c r="V136" s="150"/>
      <c r="W136" s="108"/>
    </row>
    <row r="137" spans="11:23" x14ac:dyDescent="0.25">
      <c r="P137" s="160"/>
      <c r="Q137" s="163"/>
      <c r="R137" s="150"/>
      <c r="S137" s="150"/>
      <c r="T137" s="150"/>
      <c r="U137" s="150"/>
      <c r="V137" s="150"/>
      <c r="W137" s="108"/>
    </row>
    <row r="138" spans="11:23" x14ac:dyDescent="0.25">
      <c r="P138" s="160"/>
      <c r="Q138" s="163"/>
      <c r="R138" s="150"/>
      <c r="S138" s="150"/>
      <c r="T138" s="150"/>
      <c r="U138" s="150"/>
      <c r="V138" s="150"/>
      <c r="W138" s="108"/>
    </row>
    <row r="139" spans="11:23" ht="15.75" hidden="1" outlineLevel="1" thickTop="1" x14ac:dyDescent="0.25">
      <c r="P139" s="150"/>
      <c r="Q139" s="150"/>
      <c r="R139" s="150"/>
      <c r="S139" s="150"/>
      <c r="T139" s="150"/>
      <c r="U139" s="150"/>
      <c r="V139" s="150"/>
      <c r="W139" s="108"/>
    </row>
    <row r="140" spans="11:23" collapsed="1" x14ac:dyDescent="0.25">
      <c r="P140" s="150"/>
      <c r="Q140" s="150"/>
      <c r="R140" s="150"/>
      <c r="S140" s="150"/>
      <c r="T140" s="150"/>
      <c r="U140" s="150"/>
      <c r="V140" s="150"/>
      <c r="W140" s="108"/>
    </row>
    <row r="141" spans="11:23" x14ac:dyDescent="0.25">
      <c r="P141" s="150"/>
      <c r="Q141" s="150"/>
      <c r="R141" s="150"/>
      <c r="S141" s="150"/>
      <c r="T141" s="150"/>
      <c r="U141" s="150"/>
      <c r="V141" s="150"/>
      <c r="W141" s="108"/>
    </row>
    <row r="142" spans="11:23" ht="15.75" hidden="1" outlineLevel="1" thickBot="1" x14ac:dyDescent="0.3">
      <c r="P142" s="150"/>
      <c r="Q142" s="150"/>
      <c r="R142" s="150"/>
      <c r="S142" s="150"/>
      <c r="T142" s="150"/>
      <c r="U142" s="150"/>
      <c r="V142" s="150"/>
      <c r="W142" s="108"/>
    </row>
    <row r="143" spans="11:23" ht="15.75" hidden="1" outlineLevel="1" thickBot="1" x14ac:dyDescent="0.3">
      <c r="P143" s="150"/>
      <c r="Q143" s="150"/>
      <c r="R143" s="150"/>
      <c r="S143" s="150"/>
      <c r="T143" s="150"/>
      <c r="U143" s="150"/>
      <c r="V143" s="150"/>
      <c r="W143" s="108"/>
    </row>
    <row r="144" spans="11:23" ht="15.75" hidden="1" outlineLevel="1" thickBot="1" x14ac:dyDescent="0.3">
      <c r="P144" s="150"/>
      <c r="Q144" s="150"/>
      <c r="R144" s="150"/>
      <c r="S144" s="150"/>
      <c r="T144" s="150"/>
      <c r="U144" s="150"/>
      <c r="V144" s="150"/>
      <c r="W144" s="108"/>
    </row>
    <row r="145" spans="16:23" ht="15.75" hidden="1" outlineLevel="1" thickBot="1" x14ac:dyDescent="0.3">
      <c r="P145" s="150"/>
      <c r="Q145" s="150"/>
      <c r="R145" s="150"/>
      <c r="S145" s="150"/>
      <c r="T145" s="150"/>
      <c r="U145" s="150"/>
      <c r="V145" s="150"/>
      <c r="W145" s="108"/>
    </row>
    <row r="146" spans="16:23" ht="15.75" hidden="1" outlineLevel="1" thickBot="1" x14ac:dyDescent="0.3">
      <c r="P146" s="150"/>
      <c r="Q146" s="150"/>
      <c r="R146" s="150"/>
      <c r="S146" s="150"/>
      <c r="T146" s="150"/>
      <c r="U146" s="150"/>
      <c r="V146" s="150"/>
      <c r="W146" s="108"/>
    </row>
    <row r="147" spans="16:23" ht="15.75" hidden="1" outlineLevel="1" thickBot="1" x14ac:dyDescent="0.3">
      <c r="P147" s="150"/>
      <c r="Q147" s="150"/>
      <c r="R147" s="150"/>
      <c r="S147" s="150"/>
      <c r="T147" s="150"/>
      <c r="U147" s="150"/>
      <c r="V147" s="150"/>
      <c r="W147" s="108"/>
    </row>
    <row r="148" spans="16:23" ht="15.75" hidden="1" outlineLevel="1" thickBot="1" x14ac:dyDescent="0.3">
      <c r="P148" s="150"/>
      <c r="Q148" s="150"/>
      <c r="R148" s="150"/>
      <c r="S148" s="150"/>
      <c r="T148" s="150"/>
      <c r="U148" s="150"/>
      <c r="V148" s="150"/>
      <c r="W148" s="108"/>
    </row>
    <row r="149" spans="16:23" collapsed="1" x14ac:dyDescent="0.25">
      <c r="P149" s="151"/>
      <c r="Q149" s="158"/>
      <c r="R149" s="175"/>
      <c r="S149" s="175"/>
      <c r="T149" s="175"/>
      <c r="U149" s="150"/>
      <c r="V149" s="150"/>
      <c r="W149" s="108"/>
    </row>
    <row r="150" spans="16:23" x14ac:dyDescent="0.25">
      <c r="P150" s="160"/>
      <c r="Q150" s="174"/>
      <c r="R150" s="174"/>
      <c r="S150" s="174"/>
      <c r="T150" s="174"/>
      <c r="U150" s="150"/>
      <c r="V150" s="150"/>
      <c r="W150" s="108"/>
    </row>
    <row r="151" spans="16:23" x14ac:dyDescent="0.25">
      <c r="P151" s="160"/>
      <c r="Q151" s="174"/>
      <c r="R151" s="174"/>
      <c r="S151" s="174"/>
      <c r="T151" s="174"/>
      <c r="U151" s="150"/>
      <c r="V151" s="150"/>
      <c r="W151" s="108"/>
    </row>
    <row r="152" spans="16:23" ht="15.75" thickBot="1" x14ac:dyDescent="0.3">
      <c r="P152" s="160"/>
      <c r="Q152" s="174"/>
      <c r="R152" s="174"/>
      <c r="S152" s="174"/>
      <c r="T152" s="176"/>
      <c r="U152" s="150"/>
      <c r="V152" s="150"/>
      <c r="W152" s="108"/>
    </row>
    <row r="153" spans="16:23" ht="16.5" thickTop="1" thickBot="1" x14ac:dyDescent="0.3">
      <c r="P153" s="165"/>
      <c r="Q153" s="166"/>
      <c r="R153" s="167"/>
      <c r="S153" s="167"/>
      <c r="T153" s="164"/>
      <c r="U153" s="150"/>
      <c r="V153" s="150"/>
      <c r="W153" s="108"/>
    </row>
    <row r="154" spans="16:23" x14ac:dyDescent="0.25">
      <c r="P154" s="150"/>
      <c r="Q154" s="150"/>
      <c r="R154" s="150"/>
      <c r="S154" s="150"/>
      <c r="T154" s="150"/>
      <c r="U154" s="150"/>
      <c r="V154" s="150"/>
      <c r="W154" s="108"/>
    </row>
    <row r="155" spans="16:23" x14ac:dyDescent="0.25">
      <c r="P155" s="150"/>
      <c r="Q155" s="150"/>
      <c r="R155" s="150"/>
      <c r="S155" s="150"/>
      <c r="T155" s="150"/>
      <c r="U155" s="150"/>
      <c r="V155" s="150"/>
      <c r="W155" s="108"/>
    </row>
    <row r="156" spans="16:23" ht="15.75" x14ac:dyDescent="0.25">
      <c r="P156" s="172"/>
      <c r="Q156" s="173"/>
      <c r="R156" s="168"/>
      <c r="S156" s="168"/>
      <c r="T156" s="168"/>
      <c r="U156" s="168"/>
      <c r="V156" s="168"/>
      <c r="W156" s="108"/>
    </row>
    <row r="157" spans="16:23" x14ac:dyDescent="0.25">
      <c r="P157" s="150"/>
      <c r="Q157" s="169"/>
      <c r="R157" s="174"/>
      <c r="S157" s="169"/>
      <c r="T157" s="169"/>
      <c r="U157" s="169"/>
      <c r="V157" s="169"/>
      <c r="W157" s="108"/>
    </row>
    <row r="158" spans="16:23" x14ac:dyDescent="0.25">
      <c r="P158" s="150"/>
      <c r="Q158" s="169"/>
      <c r="R158" s="174"/>
      <c r="S158" s="169"/>
      <c r="T158" s="169"/>
      <c r="U158" s="169"/>
      <c r="V158" s="169"/>
      <c r="W158" s="108"/>
    </row>
    <row r="159" spans="16:23" x14ac:dyDescent="0.25">
      <c r="P159" s="150"/>
      <c r="Q159" s="169"/>
      <c r="R159" s="174"/>
      <c r="S159" s="169"/>
      <c r="T159" s="169"/>
      <c r="U159" s="169"/>
      <c r="V159" s="169"/>
      <c r="W159" s="108"/>
    </row>
    <row r="160" spans="16:23" x14ac:dyDescent="0.25">
      <c r="P160" s="150"/>
      <c r="Q160" s="169"/>
      <c r="R160" s="174"/>
      <c r="S160" s="169"/>
      <c r="T160" s="169"/>
      <c r="U160" s="169"/>
      <c r="V160" s="169"/>
      <c r="W160" s="108"/>
    </row>
    <row r="161" spans="16:24" x14ac:dyDescent="0.25">
      <c r="P161" s="150"/>
      <c r="Q161" s="169"/>
      <c r="R161" s="150"/>
      <c r="S161" s="169"/>
      <c r="T161" s="169"/>
      <c r="U161" s="169"/>
      <c r="V161" s="170"/>
      <c r="W161" s="108"/>
    </row>
    <row r="162" spans="16:24" x14ac:dyDescent="0.25">
      <c r="P162" s="153"/>
      <c r="Q162" s="177"/>
      <c r="R162" s="161"/>
      <c r="S162" s="161"/>
      <c r="T162" s="161"/>
      <c r="U162" s="161"/>
      <c r="V162" s="171"/>
      <c r="W162" s="108"/>
    </row>
    <row r="163" spans="16:24" x14ac:dyDescent="0.25">
      <c r="P163" s="153"/>
      <c r="Q163" s="177"/>
      <c r="R163" s="161"/>
      <c r="S163" s="161"/>
      <c r="T163" s="161"/>
      <c r="U163" s="161"/>
      <c r="V163" s="171"/>
      <c r="W163" s="108"/>
      <c r="X163" s="137">
        <f>V163*30%</f>
        <v>0</v>
      </c>
    </row>
  </sheetData>
  <mergeCells count="2">
    <mergeCell ref="P134:Q134"/>
    <mergeCell ref="R162:U16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tabSelected="1" topLeftCell="A81" zoomScale="115" zoomScaleNormal="115" workbookViewId="0">
      <selection activeCell="P96" sqref="P96"/>
    </sheetView>
  </sheetViews>
  <sheetFormatPr defaultRowHeight="15" outlineLevelRow="1" x14ac:dyDescent="0.25"/>
  <cols>
    <col min="1" max="2" width="12.7109375" customWidth="1"/>
    <col min="3" max="3" width="16.7109375" customWidth="1"/>
    <col min="4" max="4" width="15" customWidth="1"/>
    <col min="5" max="5" width="12.7109375" customWidth="1"/>
    <col min="6" max="6" width="16.85546875" customWidth="1"/>
    <col min="7" max="11" width="12.7109375" customWidth="1"/>
    <col min="12" max="12" width="9" customWidth="1"/>
    <col min="13" max="13" width="13.5703125" customWidth="1"/>
    <col min="14" max="15" width="5" customWidth="1"/>
    <col min="17" max="17" width="14.28515625" customWidth="1"/>
    <col min="18" max="18" width="11.5703125" customWidth="1"/>
    <col min="19" max="20" width="12.5703125" customWidth="1"/>
    <col min="21" max="21" width="12.42578125" customWidth="1"/>
    <col min="22" max="22" width="19.28515625" customWidth="1"/>
    <col min="23" max="23" width="12.140625" customWidth="1"/>
    <col min="24" max="24" width="16" customWidth="1"/>
    <col min="25" max="25" width="17.5703125" customWidth="1"/>
    <col min="26" max="27" width="12.28515625" bestFit="1" customWidth="1"/>
  </cols>
  <sheetData>
    <row r="1" spans="1:17" ht="39" thickBot="1" x14ac:dyDescent="0.3">
      <c r="A1" s="1" t="s">
        <v>0</v>
      </c>
      <c r="B1" s="2" t="s">
        <v>25</v>
      </c>
      <c r="C1" s="2" t="s">
        <v>24</v>
      </c>
      <c r="D1" s="2" t="s">
        <v>34</v>
      </c>
      <c r="E1" s="2" t="s">
        <v>26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58</v>
      </c>
      <c r="K1" s="2" t="s">
        <v>39</v>
      </c>
      <c r="L1" s="39">
        <v>7.0000000000000007E-2</v>
      </c>
      <c r="M1" s="39">
        <f>0.3</f>
        <v>0.3</v>
      </c>
      <c r="N1" s="39">
        <f>0.02</f>
        <v>0.02</v>
      </c>
    </row>
    <row r="2" spans="1:17" x14ac:dyDescent="0.25">
      <c r="A2" s="4">
        <v>41426</v>
      </c>
      <c r="B2" s="3">
        <f>+[1]Data!G4</f>
        <v>63.609243909709285</v>
      </c>
      <c r="C2" s="17">
        <v>62.388399999999997</v>
      </c>
      <c r="D2" s="3">
        <f>B2*C2*1000</f>
        <v>3968478.9527365062</v>
      </c>
      <c r="E2" s="3">
        <v>155.25</v>
      </c>
      <c r="F2" s="3">
        <f>D2/E2</f>
        <v>25561.861209252856</v>
      </c>
      <c r="G2" s="3">
        <f t="shared" ref="G2:G8" si="0">F2*$L$1</f>
        <v>1789.3302846477002</v>
      </c>
      <c r="H2" s="14">
        <f t="shared" ref="H2:H8" si="1">B2*$L$9*1000</f>
        <v>27988.06732027209</v>
      </c>
      <c r="I2" s="14">
        <f t="shared" ref="I2:I8" si="2">+B2*$M$9*1000</f>
        <v>33200.844858672761</v>
      </c>
      <c r="J2" s="14">
        <f>IF((F2-G2-H2-I2)&lt;0,0,(F2-G2-H2-I2)*$N$1)</f>
        <v>0</v>
      </c>
      <c r="K2" s="14">
        <f>IF((F2-G2-H2-I2)&lt;0,0,(F2-G2-H2-I2)*$M$1)</f>
        <v>0</v>
      </c>
      <c r="Q2" s="89"/>
    </row>
    <row r="3" spans="1:17" x14ac:dyDescent="0.25">
      <c r="A3" s="4">
        <v>41456</v>
      </c>
      <c r="B3" s="3">
        <f>+[1]Data!G5</f>
        <v>31.550141652735597</v>
      </c>
      <c r="C3" s="17">
        <v>62.388399999999997</v>
      </c>
      <c r="D3" s="3">
        <f t="shared" ref="D3:D8" si="3">(B3*C3)*1000</f>
        <v>1968362.8574875295</v>
      </c>
      <c r="E3" s="3">
        <v>155.26</v>
      </c>
      <c r="F3" s="3">
        <f t="shared" ref="F3:F8" si="4">D3/E3</f>
        <v>12677.849140071683</v>
      </c>
      <c r="G3" s="3">
        <f t="shared" si="0"/>
        <v>887.44943980501785</v>
      </c>
      <c r="H3" s="14">
        <f t="shared" si="1"/>
        <v>13882.062327203665</v>
      </c>
      <c r="I3" s="14">
        <f t="shared" si="2"/>
        <v>16467.596435645344</v>
      </c>
      <c r="J3" s="14">
        <f t="shared" ref="J3:J8" si="5">IF((F3-G3-H3-I3)&lt;0,0,(F3-G3-H3-I3)*$N$1)</f>
        <v>0</v>
      </c>
      <c r="K3" s="14">
        <f t="shared" ref="K3:K8" si="6">IF((F3-G3-H3-I3)&lt;0,0,(F3-G3-H3-I3)*$M$1)</f>
        <v>0</v>
      </c>
      <c r="Q3" s="40"/>
    </row>
    <row r="4" spans="1:17" x14ac:dyDescent="0.25">
      <c r="A4" s="4">
        <v>41487</v>
      </c>
      <c r="B4" s="3">
        <f>+[1]Data!G6</f>
        <v>68.150031068072593</v>
      </c>
      <c r="C4" s="17">
        <v>62.388399999999997</v>
      </c>
      <c r="D4" s="3">
        <f t="shared" si="3"/>
        <v>4251771.3982873401</v>
      </c>
      <c r="E4" s="3">
        <v>155.26</v>
      </c>
      <c r="F4" s="3">
        <f t="shared" si="4"/>
        <v>27384.847341796602</v>
      </c>
      <c r="G4" s="3">
        <f t="shared" si="0"/>
        <v>1916.9393139257622</v>
      </c>
      <c r="H4" s="14">
        <f>B4*$L$9*1000</f>
        <v>29986.013669951943</v>
      </c>
      <c r="I4" s="14">
        <f t="shared" si="2"/>
        <v>35570.908715980491</v>
      </c>
      <c r="J4" s="14">
        <f t="shared" si="5"/>
        <v>0</v>
      </c>
      <c r="K4" s="14">
        <f t="shared" si="6"/>
        <v>0</v>
      </c>
      <c r="Q4" s="40"/>
    </row>
    <row r="5" spans="1:17" x14ac:dyDescent="0.25">
      <c r="A5" s="4">
        <v>41518</v>
      </c>
      <c r="B5" s="3">
        <f>+[1]Data!G7</f>
        <v>58.278777636361355</v>
      </c>
      <c r="C5" s="17">
        <v>62.388399999999997</v>
      </c>
      <c r="D5" s="3">
        <f t="shared" si="3"/>
        <v>3635919.6906883665</v>
      </c>
      <c r="E5" s="3">
        <v>155.26</v>
      </c>
      <c r="F5" s="3">
        <f t="shared" si="4"/>
        <v>23418.264142009317</v>
      </c>
      <c r="G5" s="3">
        <f t="shared" si="0"/>
        <v>1639.2784899406524</v>
      </c>
      <c r="H5" s="14">
        <f t="shared" si="1"/>
        <v>25642.662159998999</v>
      </c>
      <c r="I5" s="14">
        <f t="shared" si="2"/>
        <v>30418.607987298808</v>
      </c>
      <c r="J5" s="14">
        <f t="shared" si="5"/>
        <v>0</v>
      </c>
      <c r="K5" s="14">
        <f t="shared" si="6"/>
        <v>0</v>
      </c>
      <c r="Q5" s="40"/>
    </row>
    <row r="6" spans="1:17" x14ac:dyDescent="0.25">
      <c r="A6" s="4">
        <v>41548</v>
      </c>
      <c r="B6" s="3">
        <f>+[1]Data!G8</f>
        <v>57.720667886300056</v>
      </c>
      <c r="C6" s="17">
        <v>62.388399999999997</v>
      </c>
      <c r="D6" s="3">
        <f t="shared" si="3"/>
        <v>3601100.1163576422</v>
      </c>
      <c r="E6" s="3">
        <v>155.25</v>
      </c>
      <c r="F6" s="3">
        <f t="shared" si="4"/>
        <v>23195.491892802849</v>
      </c>
      <c r="G6" s="3">
        <f t="shared" si="0"/>
        <v>1623.6844324961996</v>
      </c>
      <c r="H6" s="14">
        <f t="shared" si="1"/>
        <v>25397.093869972028</v>
      </c>
      <c r="I6" s="14">
        <f t="shared" si="2"/>
        <v>30127.302603254313</v>
      </c>
      <c r="J6" s="14">
        <f t="shared" si="5"/>
        <v>0</v>
      </c>
      <c r="K6" s="14">
        <f t="shared" si="6"/>
        <v>0</v>
      </c>
      <c r="Q6" s="40"/>
    </row>
    <row r="7" spans="1:17" x14ac:dyDescent="0.25">
      <c r="A7" s="4">
        <v>41579</v>
      </c>
      <c r="B7" s="3">
        <f>+[1]Data!G9</f>
        <v>67.549182621798735</v>
      </c>
      <c r="C7" s="17">
        <v>62.388399999999997</v>
      </c>
      <c r="D7" s="3">
        <f t="shared" si="3"/>
        <v>4214285.4250818286</v>
      </c>
      <c r="E7" s="3">
        <v>155.55000000000001</v>
      </c>
      <c r="F7" s="3">
        <f t="shared" si="4"/>
        <v>27092.802475614455</v>
      </c>
      <c r="G7" s="3">
        <f t="shared" si="0"/>
        <v>1896.4961732930121</v>
      </c>
      <c r="H7" s="14">
        <f t="shared" si="1"/>
        <v>29721.640353591447</v>
      </c>
      <c r="I7" s="14">
        <f t="shared" si="2"/>
        <v>35257.295869447851</v>
      </c>
      <c r="J7" s="14">
        <f t="shared" si="5"/>
        <v>0</v>
      </c>
      <c r="K7" s="14">
        <f t="shared" si="6"/>
        <v>0</v>
      </c>
      <c r="Q7" s="40"/>
    </row>
    <row r="8" spans="1:17" ht="15.75" thickBot="1" x14ac:dyDescent="0.3">
      <c r="A8" s="4">
        <v>41609</v>
      </c>
      <c r="B8" s="3">
        <f>+[1]Data!G10</f>
        <v>44.702217782176199</v>
      </c>
      <c r="C8" s="17">
        <v>62.388399999999997</v>
      </c>
      <c r="D8" s="3">
        <f t="shared" si="3"/>
        <v>2788899.8438815214</v>
      </c>
      <c r="E8" s="3">
        <v>155.22</v>
      </c>
      <c r="F8" s="3">
        <f t="shared" si="4"/>
        <v>17967.400102316205</v>
      </c>
      <c r="G8" s="3">
        <f t="shared" si="0"/>
        <v>1257.7180071621344</v>
      </c>
      <c r="H8" s="14">
        <f t="shared" si="1"/>
        <v>19668.975824157533</v>
      </c>
      <c r="I8" s="14">
        <f t="shared" si="2"/>
        <v>23332.322571406865</v>
      </c>
      <c r="J8" s="14">
        <f t="shared" si="5"/>
        <v>0</v>
      </c>
      <c r="K8" s="14">
        <f t="shared" si="6"/>
        <v>0</v>
      </c>
      <c r="Q8" s="40"/>
    </row>
    <row r="9" spans="1:17" ht="15.75" thickBot="1" x14ac:dyDescent="0.3">
      <c r="A9" s="5" t="s">
        <v>1</v>
      </c>
      <c r="B9" s="6">
        <f>SUM(B2:B8)</f>
        <v>391.56026255715386</v>
      </c>
      <c r="C9" s="42">
        <f>+D9/B9/1000</f>
        <v>62.38839999999999</v>
      </c>
      <c r="D9" s="6">
        <f>SUM(D2:D8)</f>
        <v>24428818.284520734</v>
      </c>
      <c r="E9" s="41">
        <f>AVERAGE(E2:E8)</f>
        <v>155.29285714285714</v>
      </c>
      <c r="F9" s="6">
        <f>SUM(F2:F8)</f>
        <v>157298.51630386396</v>
      </c>
      <c r="G9" s="6">
        <f>SUM(G2:G8)</f>
        <v>11010.896141270479</v>
      </c>
      <c r="H9" s="15">
        <f t="shared" ref="H9:I9" si="7">SUM(H2:H8)</f>
        <v>172286.5155251477</v>
      </c>
      <c r="I9" s="15">
        <f t="shared" si="7"/>
        <v>204374.87904170644</v>
      </c>
      <c r="J9" s="15">
        <f>SUM(J2:J8)</f>
        <v>0</v>
      </c>
      <c r="K9" s="15">
        <f>SUM(K2:K8)</f>
        <v>0</v>
      </c>
      <c r="L9" s="39">
        <f>+[2]Calcs!$L$6</f>
        <v>0.44000000000000006</v>
      </c>
      <c r="M9" s="39">
        <f>+[2]Calcs!$K$6</f>
        <v>0.52195000000000003</v>
      </c>
      <c r="N9" s="39"/>
    </row>
    <row r="10" spans="1:17" x14ac:dyDescent="0.25">
      <c r="A10" s="8">
        <v>41640</v>
      </c>
      <c r="B10" s="3">
        <f>[1]Data!G12</f>
        <v>67.553999782244702</v>
      </c>
      <c r="C10" s="17">
        <v>62.575209999999998</v>
      </c>
      <c r="D10" s="3">
        <f t="shared" ref="D10:D21" si="8">(B10*C10)*1000</f>
        <v>4227205.7227139166</v>
      </c>
      <c r="E10" s="3">
        <v>155.22</v>
      </c>
      <c r="F10" s="3">
        <f>D10/E10</f>
        <v>27233.6407854266</v>
      </c>
      <c r="G10" s="3">
        <f t="shared" ref="G10:G21" si="9">F10*$L$1</f>
        <v>1906.3548549798622</v>
      </c>
      <c r="H10" s="14">
        <f t="shared" ref="H10:H21" si="10">B10*$L$22*1000</f>
        <v>30653.659637250232</v>
      </c>
      <c r="I10" s="14">
        <f t="shared" ref="I10:I21" si="11">+B10*$M$22*1000</f>
        <v>41330.888146772959</v>
      </c>
      <c r="J10" s="14">
        <f t="shared" ref="J10:J21" si="12">IF((F10-G10-H10-I10)&lt;0,0,(F10-G10-H10-I10)*$N$1)</f>
        <v>0</v>
      </c>
      <c r="K10" s="14">
        <f t="shared" ref="K10:K21" si="13">IF((F10-G10-H10-I10)&lt;0,0,(F10-G10-H10-I10)*$M$1)</f>
        <v>0</v>
      </c>
    </row>
    <row r="11" spans="1:17" x14ac:dyDescent="0.25">
      <c r="A11" s="8">
        <v>41671</v>
      </c>
      <c r="B11" s="3">
        <f>[1]Data!G13</f>
        <v>55.564932836415394</v>
      </c>
      <c r="C11" s="17">
        <v>62.575200000000002</v>
      </c>
      <c r="D11" s="3">
        <f t="shared" si="8"/>
        <v>3476986.7852252605</v>
      </c>
      <c r="E11" s="3">
        <v>155.25</v>
      </c>
      <c r="F11" s="3">
        <f t="shared" ref="F11:F21" si="14">D11/E11</f>
        <v>22396.050146378489</v>
      </c>
      <c r="G11" s="3">
        <f t="shared" si="9"/>
        <v>1567.7235102464945</v>
      </c>
      <c r="H11" s="14">
        <f t="shared" si="10"/>
        <v>25213.437315695683</v>
      </c>
      <c r="I11" s="14">
        <f t="shared" si="11"/>
        <v>33995.737207975668</v>
      </c>
      <c r="J11" s="14">
        <f t="shared" si="12"/>
        <v>0</v>
      </c>
      <c r="K11" s="14">
        <f t="shared" si="13"/>
        <v>0</v>
      </c>
    </row>
    <row r="12" spans="1:17" x14ac:dyDescent="0.25">
      <c r="A12" s="8">
        <v>41699</v>
      </c>
      <c r="B12" s="3">
        <f>[1]Data!G14</f>
        <v>75.310160568770669</v>
      </c>
      <c r="C12" s="17">
        <v>62.575200000000002</v>
      </c>
      <c r="D12" s="3">
        <f t="shared" si="8"/>
        <v>4712548.3596229386</v>
      </c>
      <c r="E12" s="3">
        <v>155.25</v>
      </c>
      <c r="F12" s="3">
        <f t="shared" si="14"/>
        <v>30354.578805944853</v>
      </c>
      <c r="G12" s="3">
        <f t="shared" si="9"/>
        <v>2124.82051641614</v>
      </c>
      <c r="H12" s="14">
        <f t="shared" si="10"/>
        <v>34173.136109529281</v>
      </c>
      <c r="I12" s="14">
        <f t="shared" si="11"/>
        <v>46076.262439185273</v>
      </c>
      <c r="J12" s="14">
        <f t="shared" si="12"/>
        <v>0</v>
      </c>
      <c r="K12" s="14">
        <f t="shared" si="13"/>
        <v>0</v>
      </c>
    </row>
    <row r="13" spans="1:17" x14ac:dyDescent="0.25">
      <c r="A13" s="8">
        <v>41730</v>
      </c>
      <c r="B13" s="3">
        <f>[1]Data!G15</f>
        <v>42.626575502063552</v>
      </c>
      <c r="C13" s="17">
        <v>62.575200000000002</v>
      </c>
      <c r="D13" s="3">
        <f t="shared" si="8"/>
        <v>2667366.4873567275</v>
      </c>
      <c r="E13" s="3">
        <v>155.24</v>
      </c>
      <c r="F13" s="3">
        <f t="shared" si="14"/>
        <v>17182.211333140476</v>
      </c>
      <c r="G13" s="3">
        <f t="shared" si="9"/>
        <v>1202.7547933198334</v>
      </c>
      <c r="H13" s="14">
        <f t="shared" si="10"/>
        <v>19342.459975038164</v>
      </c>
      <c r="I13" s="14">
        <f t="shared" si="11"/>
        <v>26079.791423672526</v>
      </c>
      <c r="J13" s="14">
        <f t="shared" si="12"/>
        <v>0</v>
      </c>
      <c r="K13" s="14">
        <f t="shared" si="13"/>
        <v>0</v>
      </c>
    </row>
    <row r="14" spans="1:17" x14ac:dyDescent="0.25">
      <c r="A14" s="8">
        <v>41760</v>
      </c>
      <c r="B14" s="3">
        <f>[1]Data!G16</f>
        <v>8.5563629641167083</v>
      </c>
      <c r="C14" s="17">
        <v>62.575200000000002</v>
      </c>
      <c r="D14" s="3">
        <f t="shared" si="8"/>
        <v>535416.12375219585</v>
      </c>
      <c r="E14" s="3">
        <v>155.22999999999999</v>
      </c>
      <c r="F14" s="3">
        <f t="shared" si="14"/>
        <v>3449.1794353681371</v>
      </c>
      <c r="G14" s="3">
        <f t="shared" si="9"/>
        <v>241.44256047576962</v>
      </c>
      <c r="H14" s="14">
        <f t="shared" si="10"/>
        <v>3882.5804375797074</v>
      </c>
      <c r="I14" s="14">
        <f t="shared" si="11"/>
        <v>5234.9539887058854</v>
      </c>
      <c r="J14" s="14">
        <f t="shared" si="12"/>
        <v>0</v>
      </c>
      <c r="K14" s="14">
        <f t="shared" si="13"/>
        <v>0</v>
      </c>
    </row>
    <row r="15" spans="1:17" x14ac:dyDescent="0.25">
      <c r="A15" s="8">
        <v>41791</v>
      </c>
      <c r="B15" s="3">
        <f>[1]Data!G17</f>
        <v>37.548481453050975</v>
      </c>
      <c r="C15" s="17">
        <v>62.575200000000002</v>
      </c>
      <c r="D15" s="3">
        <f t="shared" si="8"/>
        <v>2349603.7366209552</v>
      </c>
      <c r="E15" s="3">
        <v>155.22999999999999</v>
      </c>
      <c r="F15" s="3">
        <f t="shared" si="14"/>
        <v>15136.27350783325</v>
      </c>
      <c r="G15" s="3">
        <f t="shared" si="9"/>
        <v>1059.5391455483275</v>
      </c>
      <c r="H15" s="14">
        <f t="shared" si="10"/>
        <v>17038.197206199267</v>
      </c>
      <c r="I15" s="14">
        <f t="shared" si="11"/>
        <v>22972.91192260565</v>
      </c>
      <c r="J15" s="14">
        <f t="shared" si="12"/>
        <v>0</v>
      </c>
      <c r="K15" s="14">
        <f t="shared" si="13"/>
        <v>0</v>
      </c>
    </row>
    <row r="16" spans="1:17" x14ac:dyDescent="0.25">
      <c r="A16" s="8">
        <v>41821</v>
      </c>
      <c r="B16" s="3">
        <f>[1]Data!G18</f>
        <v>57.304907716801857</v>
      </c>
      <c r="C16" s="17">
        <v>62.575200000000002</v>
      </c>
      <c r="D16" s="3">
        <f t="shared" si="8"/>
        <v>3585866.0613604197</v>
      </c>
      <c r="E16" s="3">
        <v>155.22999999999999</v>
      </c>
      <c r="F16" s="3">
        <f t="shared" si="14"/>
        <v>23100.341824134637</v>
      </c>
      <c r="G16" s="3">
        <f t="shared" si="9"/>
        <v>1617.0239276894247</v>
      </c>
      <c r="H16" s="14">
        <f t="shared" si="10"/>
        <v>26002.977504768991</v>
      </c>
      <c r="I16" s="14">
        <f t="shared" si="11"/>
        <v>35060.288639293714</v>
      </c>
      <c r="J16" s="14">
        <f t="shared" si="12"/>
        <v>0</v>
      </c>
      <c r="K16" s="14">
        <f t="shared" si="13"/>
        <v>0</v>
      </c>
    </row>
    <row r="17" spans="1:14" x14ac:dyDescent="0.25">
      <c r="A17" s="9">
        <v>41852</v>
      </c>
      <c r="B17" s="3">
        <f>[1]Data!G19</f>
        <v>16.74523280810298</v>
      </c>
      <c r="C17" s="17">
        <v>62.575200000000002</v>
      </c>
      <c r="D17" s="3">
        <f t="shared" si="8"/>
        <v>1047836.2920136056</v>
      </c>
      <c r="E17" s="3">
        <v>155.22999999999999</v>
      </c>
      <c r="F17" s="3">
        <f t="shared" si="14"/>
        <v>6750.2176899671822</v>
      </c>
      <c r="G17" s="3">
        <f t="shared" si="9"/>
        <v>472.51523829770281</v>
      </c>
      <c r="H17" s="14">
        <f t="shared" si="10"/>
        <v>7598.4052565458405</v>
      </c>
      <c r="I17" s="14">
        <f t="shared" si="11"/>
        <v>10245.068336653565</v>
      </c>
      <c r="J17" s="14">
        <f t="shared" si="12"/>
        <v>0</v>
      </c>
      <c r="K17" s="14">
        <f t="shared" si="13"/>
        <v>0</v>
      </c>
    </row>
    <row r="18" spans="1:14" x14ac:dyDescent="0.25">
      <c r="A18" s="9">
        <v>41883</v>
      </c>
      <c r="B18" s="3">
        <f>[1]Data!G20</f>
        <v>59.650429719757469</v>
      </c>
      <c r="C18" s="17">
        <v>62.575200000000002</v>
      </c>
      <c r="D18" s="3">
        <f t="shared" si="8"/>
        <v>3732637.5697997678</v>
      </c>
      <c r="E18" s="3">
        <v>155.25</v>
      </c>
      <c r="F18" s="3">
        <f t="shared" si="14"/>
        <v>24042.754072784333</v>
      </c>
      <c r="G18" s="3">
        <f t="shared" si="9"/>
        <v>1682.9927850949034</v>
      </c>
      <c r="H18" s="14">
        <f t="shared" si="10"/>
        <v>27067.293953566154</v>
      </c>
      <c r="I18" s="14">
        <f t="shared" si="11"/>
        <v>36495.325911142019</v>
      </c>
      <c r="J18" s="14">
        <f t="shared" si="12"/>
        <v>0</v>
      </c>
      <c r="K18" s="14">
        <f t="shared" si="13"/>
        <v>0</v>
      </c>
    </row>
    <row r="19" spans="1:14" x14ac:dyDescent="0.25">
      <c r="A19" s="9">
        <v>41913</v>
      </c>
      <c r="B19" s="3">
        <f>[1]Data!G21</f>
        <v>12.61120639120599</v>
      </c>
      <c r="C19" s="17">
        <v>62.575200000000002</v>
      </c>
      <c r="D19" s="3">
        <f t="shared" si="8"/>
        <v>789148.76217099314</v>
      </c>
      <c r="E19" s="3">
        <v>155.26</v>
      </c>
      <c r="F19" s="3">
        <f t="shared" si="14"/>
        <v>5082.7564225878732</v>
      </c>
      <c r="G19" s="3">
        <f t="shared" si="9"/>
        <v>355.79294958115116</v>
      </c>
      <c r="H19" s="14">
        <f t="shared" si="10"/>
        <v>5722.5276012856966</v>
      </c>
      <c r="I19" s="14">
        <f t="shared" si="11"/>
        <v>7715.7882942676488</v>
      </c>
      <c r="J19" s="14">
        <f t="shared" si="12"/>
        <v>0</v>
      </c>
      <c r="K19" s="14">
        <f t="shared" si="13"/>
        <v>0</v>
      </c>
    </row>
    <row r="20" spans="1:14" x14ac:dyDescent="0.25">
      <c r="A20" s="9">
        <v>41944</v>
      </c>
      <c r="B20" s="3">
        <f>[1]Data!G22</f>
        <v>11.401404066846643</v>
      </c>
      <c r="C20" s="17">
        <v>62.575200000000002</v>
      </c>
      <c r="D20" s="3">
        <f t="shared" si="8"/>
        <v>713445.1397637421</v>
      </c>
      <c r="E20" s="3">
        <v>157.91</v>
      </c>
      <c r="F20" s="3">
        <f t="shared" si="14"/>
        <v>4518.0491404201257</v>
      </c>
      <c r="G20" s="3">
        <f t="shared" si="9"/>
        <v>316.26343982940881</v>
      </c>
      <c r="H20" s="14">
        <f t="shared" si="10"/>
        <v>5173.5613106322044</v>
      </c>
      <c r="I20" s="14">
        <f t="shared" si="11"/>
        <v>6975.607036178114</v>
      </c>
      <c r="J20" s="14">
        <f t="shared" si="12"/>
        <v>0</v>
      </c>
      <c r="K20" s="14">
        <f t="shared" si="13"/>
        <v>0</v>
      </c>
    </row>
    <row r="21" spans="1:14" ht="15.75" thickBot="1" x14ac:dyDescent="0.3">
      <c r="A21" s="9">
        <v>41974</v>
      </c>
      <c r="B21" s="3">
        <f>[1]Data!G23</f>
        <v>12.754657967777495</v>
      </c>
      <c r="C21" s="17">
        <v>62.575200000000002</v>
      </c>
      <c r="D21" s="3">
        <f t="shared" si="8"/>
        <v>798125.2732652704</v>
      </c>
      <c r="E21" s="3">
        <v>157.91</v>
      </c>
      <c r="F21" s="3">
        <f t="shared" si="14"/>
        <v>5054.3048145479734</v>
      </c>
      <c r="G21" s="3">
        <f t="shared" si="9"/>
        <v>353.8013370183582</v>
      </c>
      <c r="H21" s="14">
        <f t="shared" si="10"/>
        <v>5787.620946118338</v>
      </c>
      <c r="I21" s="14">
        <f t="shared" si="11"/>
        <v>7803.5548378456278</v>
      </c>
      <c r="J21" s="14">
        <f t="shared" si="12"/>
        <v>0</v>
      </c>
      <c r="K21" s="14">
        <f t="shared" si="13"/>
        <v>0</v>
      </c>
    </row>
    <row r="22" spans="1:14" ht="15.75" thickBot="1" x14ac:dyDescent="0.3">
      <c r="A22" s="10" t="s">
        <v>2</v>
      </c>
      <c r="B22" s="7">
        <f>SUM(B10:B21)</f>
        <v>457.62835177715442</v>
      </c>
      <c r="C22" s="42">
        <f>+D22/B22/1000</f>
        <v>62.575201476176012</v>
      </c>
      <c r="D22" s="7">
        <f>SUM(D10:D21)</f>
        <v>28636186.313665789</v>
      </c>
      <c r="E22" s="41">
        <f>AVERAGE(E15:E21)</f>
        <v>156.00285714285715</v>
      </c>
      <c r="F22" s="7">
        <f>SUM(F10:F21)</f>
        <v>184300.35797853392</v>
      </c>
      <c r="G22" s="7">
        <f>SUM(G10:G21)</f>
        <v>12901.025058497378</v>
      </c>
      <c r="H22" s="15">
        <f t="shared" ref="H22:I22" si="15">SUM(H10:H21)</f>
        <v>207655.85725420955</v>
      </c>
      <c r="I22" s="15">
        <f t="shared" si="15"/>
        <v>279986.17818429862</v>
      </c>
      <c r="J22" s="15">
        <f>SUM(J10:J21)</f>
        <v>0</v>
      </c>
      <c r="K22" s="15">
        <f>SUM(K10:K21)</f>
        <v>0</v>
      </c>
      <c r="L22" s="39">
        <f>+[2]Calcs!$L$7</f>
        <v>0.4537652801619449</v>
      </c>
      <c r="M22" s="39">
        <f>+[2]Calcs!$K$7</f>
        <v>0.61182000000000003</v>
      </c>
      <c r="N22" s="39"/>
    </row>
    <row r="23" spans="1:14" x14ac:dyDescent="0.25">
      <c r="A23" s="11">
        <v>42005</v>
      </c>
      <c r="B23" s="3">
        <f>[1]Data!G25</f>
        <v>26.508050586328583</v>
      </c>
      <c r="C23" s="17">
        <v>64.901439999999994</v>
      </c>
      <c r="D23" s="3">
        <f t="shared" ref="D23:D34" si="16">(B23*C23)*1000</f>
        <v>1720410.6546455692</v>
      </c>
      <c r="E23" s="3">
        <v>167.5</v>
      </c>
      <c r="F23" s="3">
        <f>D23/E23</f>
        <v>10271.108385943697</v>
      </c>
      <c r="G23" s="3">
        <f t="shared" ref="G23:G34" si="17">F23*$L$1</f>
        <v>718.97758701605881</v>
      </c>
      <c r="H23" s="14">
        <f t="shared" ref="H23:H34" si="18">B23*$L$35*1000</f>
        <v>12037.171149500977</v>
      </c>
      <c r="I23" s="14">
        <f t="shared" ref="I23:I34" si="19">+B23*$M$35*1000</f>
        <v>8756.4043501819215</v>
      </c>
      <c r="J23" s="14">
        <f t="shared" ref="J23:J34" si="20">IF((F23-G23-H23-I23)&lt;0,0,(F23-G23-H23-I23)*$N$1)</f>
        <v>0</v>
      </c>
      <c r="K23" s="14">
        <f t="shared" ref="K23:K34" si="21">IF((F23-G23-H23-I23)&lt;0,0,(F23-G23-H23-I23)*$M$1)</f>
        <v>0</v>
      </c>
    </row>
    <row r="24" spans="1:14" x14ac:dyDescent="0.25">
      <c r="A24" s="11">
        <v>42036</v>
      </c>
      <c r="B24" s="3">
        <f>[1]Data!G26</f>
        <v>25.037883281276631</v>
      </c>
      <c r="C24" s="17">
        <v>64.901439999999994</v>
      </c>
      <c r="D24" s="3">
        <f t="shared" si="16"/>
        <v>1624994.6795067783</v>
      </c>
      <c r="E24" s="3">
        <v>167.5</v>
      </c>
      <c r="F24" s="3">
        <f t="shared" ref="F24:F34" si="22">D24/E24</f>
        <v>9701.4607731747947</v>
      </c>
      <c r="G24" s="3">
        <f t="shared" si="17"/>
        <v>679.10225412223565</v>
      </c>
      <c r="H24" s="14">
        <f t="shared" si="18"/>
        <v>11369.575642555707</v>
      </c>
      <c r="I24" s="14">
        <f t="shared" si="19"/>
        <v>8270.7639843041106</v>
      </c>
      <c r="J24" s="14">
        <f t="shared" si="20"/>
        <v>0</v>
      </c>
      <c r="K24" s="14">
        <f t="shared" si="21"/>
        <v>0</v>
      </c>
    </row>
    <row r="25" spans="1:14" x14ac:dyDescent="0.25">
      <c r="A25" s="11">
        <v>42064</v>
      </c>
      <c r="B25" s="3">
        <f>[1]Data!G27</f>
        <v>16.684627329104902</v>
      </c>
      <c r="C25" s="17">
        <v>64.901439999999994</v>
      </c>
      <c r="D25" s="3">
        <f t="shared" si="16"/>
        <v>1082856.3395222621</v>
      </c>
      <c r="E25" s="3">
        <v>197.5</v>
      </c>
      <c r="F25" s="3">
        <f t="shared" si="22"/>
        <v>5482.8169089734793</v>
      </c>
      <c r="G25" s="3">
        <f t="shared" si="17"/>
        <v>383.79718362814356</v>
      </c>
      <c r="H25" s="14">
        <f t="shared" si="18"/>
        <v>7576.4045368789693</v>
      </c>
      <c r="I25" s="14">
        <f t="shared" si="19"/>
        <v>5511.4329456232226</v>
      </c>
      <c r="J25" s="14">
        <f t="shared" si="20"/>
        <v>0</v>
      </c>
      <c r="K25" s="14">
        <f t="shared" si="21"/>
        <v>0</v>
      </c>
    </row>
    <row r="26" spans="1:14" x14ac:dyDescent="0.25">
      <c r="A26" s="11">
        <v>42095</v>
      </c>
      <c r="B26" s="3">
        <f>[1]Data!G28</f>
        <v>25.052943999084537</v>
      </c>
      <c r="C26" s="17">
        <v>64.901439999999994</v>
      </c>
      <c r="D26" s="3">
        <f t="shared" si="16"/>
        <v>1625972.1417799448</v>
      </c>
      <c r="E26" s="3">
        <v>196.5</v>
      </c>
      <c r="F26" s="3">
        <f t="shared" si="22"/>
        <v>8274.6673881931038</v>
      </c>
      <c r="G26" s="3">
        <f t="shared" si="17"/>
        <v>579.22671717351727</v>
      </c>
      <c r="H26" s="14">
        <f t="shared" si="18"/>
        <v>11376.41463802607</v>
      </c>
      <c r="I26" s="14">
        <f t="shared" si="19"/>
        <v>8275.738991217595</v>
      </c>
      <c r="J26" s="14">
        <f t="shared" si="20"/>
        <v>0</v>
      </c>
      <c r="K26" s="14">
        <f t="shared" si="21"/>
        <v>0</v>
      </c>
    </row>
    <row r="27" spans="1:14" x14ac:dyDescent="0.25">
      <c r="A27" s="11">
        <v>42125</v>
      </c>
      <c r="B27" s="3">
        <f>[1]Data!G29</f>
        <v>25.591564809327263</v>
      </c>
      <c r="C27" s="17">
        <v>64.901439999999994</v>
      </c>
      <c r="D27" s="3">
        <f t="shared" si="16"/>
        <v>1660929.4079786646</v>
      </c>
      <c r="E27" s="3">
        <v>196.5</v>
      </c>
      <c r="F27" s="3">
        <f t="shared" si="22"/>
        <v>8452.5669617234835</v>
      </c>
      <c r="G27" s="3">
        <f t="shared" si="17"/>
        <v>591.67968732064389</v>
      </c>
      <c r="H27" s="14">
        <f t="shared" si="18"/>
        <v>11620.999612558991</v>
      </c>
      <c r="I27" s="14">
        <f t="shared" si="19"/>
        <v>8453.661603465076</v>
      </c>
      <c r="J27" s="14">
        <f t="shared" si="20"/>
        <v>0</v>
      </c>
      <c r="K27" s="14">
        <f t="shared" si="21"/>
        <v>0</v>
      </c>
    </row>
    <row r="28" spans="1:14" x14ac:dyDescent="0.25">
      <c r="A28" s="11">
        <v>42156</v>
      </c>
      <c r="B28" s="3">
        <f>[1]Data!G30</f>
        <v>29.905711627740256</v>
      </c>
      <c r="C28" s="17">
        <v>64.901439999999994</v>
      </c>
      <c r="D28" s="3">
        <f t="shared" si="16"/>
        <v>1940923.7488650866</v>
      </c>
      <c r="E28" s="3">
        <v>196.4</v>
      </c>
      <c r="F28" s="3">
        <f t="shared" si="22"/>
        <v>9882.5038129586883</v>
      </c>
      <c r="G28" s="3">
        <f t="shared" si="17"/>
        <v>691.77526690710829</v>
      </c>
      <c r="H28" s="14">
        <f t="shared" si="18"/>
        <v>13580.031773305473</v>
      </c>
      <c r="I28" s="14">
        <f t="shared" si="19"/>
        <v>9878.7537219914393</v>
      </c>
      <c r="J28" s="14">
        <f t="shared" si="20"/>
        <v>0</v>
      </c>
      <c r="K28" s="14">
        <f t="shared" si="21"/>
        <v>0</v>
      </c>
    </row>
    <row r="29" spans="1:14" x14ac:dyDescent="0.25">
      <c r="A29" s="11">
        <v>42186</v>
      </c>
      <c r="B29" s="3">
        <f>[1]Data!G31</f>
        <v>53.29088627449962</v>
      </c>
      <c r="C29" s="17">
        <v>64.901439999999994</v>
      </c>
      <c r="D29" s="3">
        <f t="shared" si="16"/>
        <v>3458655.2580912602</v>
      </c>
      <c r="E29" s="3">
        <v>196.4</v>
      </c>
      <c r="F29" s="3">
        <f t="shared" si="22"/>
        <v>17610.260988244707</v>
      </c>
      <c r="G29" s="3">
        <f t="shared" si="17"/>
        <v>1232.7182691771295</v>
      </c>
      <c r="H29" s="14">
        <f t="shared" si="18"/>
        <v>24199.12081824609</v>
      </c>
      <c r="I29" s="14">
        <f t="shared" si="19"/>
        <v>17603.578463055459</v>
      </c>
      <c r="J29" s="14">
        <f t="shared" si="20"/>
        <v>0</v>
      </c>
      <c r="K29" s="14">
        <f t="shared" si="21"/>
        <v>0</v>
      </c>
    </row>
    <row r="30" spans="1:14" x14ac:dyDescent="0.25">
      <c r="A30" s="11">
        <v>42217</v>
      </c>
      <c r="B30" s="3">
        <f>[1]Data!G32</f>
        <v>74.482785802767054</v>
      </c>
      <c r="C30" s="17">
        <v>64.901439999999994</v>
      </c>
      <c r="D30" s="3">
        <f t="shared" si="16"/>
        <v>4834040.0538111376</v>
      </c>
      <c r="E30" s="3">
        <v>196.5</v>
      </c>
      <c r="F30" s="3">
        <f t="shared" si="22"/>
        <v>24600.712742041411</v>
      </c>
      <c r="G30" s="3">
        <f t="shared" si="17"/>
        <v>1722.049891942899</v>
      </c>
      <c r="H30" s="14">
        <f t="shared" si="18"/>
        <v>33822.254770478175</v>
      </c>
      <c r="I30" s="14">
        <f t="shared" si="19"/>
        <v>24603.89863422804</v>
      </c>
      <c r="J30" s="14">
        <f t="shared" si="20"/>
        <v>0</v>
      </c>
      <c r="K30" s="14">
        <f t="shared" si="21"/>
        <v>0</v>
      </c>
    </row>
    <row r="31" spans="1:14" x14ac:dyDescent="0.25">
      <c r="A31" s="11">
        <v>42248</v>
      </c>
      <c r="B31" s="3">
        <f>[1]Data!G33</f>
        <v>43.645279128623386</v>
      </c>
      <c r="C31" s="17">
        <v>64.901439999999994</v>
      </c>
      <c r="D31" s="3">
        <f t="shared" si="16"/>
        <v>2832641.4646496028</v>
      </c>
      <c r="E31" s="3">
        <v>196.5</v>
      </c>
      <c r="F31" s="3">
        <f t="shared" si="22"/>
        <v>14415.478191601032</v>
      </c>
      <c r="G31" s="3">
        <f t="shared" si="17"/>
        <v>1009.0834734120724</v>
      </c>
      <c r="H31" s="14">
        <f t="shared" si="18"/>
        <v>19819.099598743702</v>
      </c>
      <c r="I31" s="14">
        <f t="shared" si="19"/>
        <v>14417.345054558164</v>
      </c>
      <c r="J31" s="14">
        <f t="shared" si="20"/>
        <v>0</v>
      </c>
      <c r="K31" s="14">
        <f t="shared" si="21"/>
        <v>0</v>
      </c>
    </row>
    <row r="32" spans="1:14" x14ac:dyDescent="0.25">
      <c r="A32" s="11">
        <v>42278</v>
      </c>
      <c r="B32" s="3">
        <f>[1]Data!G34</f>
        <v>36.224886396509561</v>
      </c>
      <c r="C32" s="17">
        <v>64.901439999999994</v>
      </c>
      <c r="D32" s="3">
        <f t="shared" si="16"/>
        <v>2351047.2909698812</v>
      </c>
      <c r="E32" s="3">
        <v>196.5</v>
      </c>
      <c r="F32" s="3">
        <f t="shared" si="22"/>
        <v>11964.61725684418</v>
      </c>
      <c r="G32" s="3">
        <f t="shared" si="17"/>
        <v>837.52320797909272</v>
      </c>
      <c r="H32" s="14">
        <f t="shared" si="18"/>
        <v>16449.536943727722</v>
      </c>
      <c r="I32" s="14">
        <f t="shared" si="19"/>
        <v>11966.166723359003</v>
      </c>
      <c r="J32" s="14">
        <f t="shared" si="20"/>
        <v>0</v>
      </c>
      <c r="K32" s="14">
        <f t="shared" si="21"/>
        <v>0</v>
      </c>
    </row>
    <row r="33" spans="1:14" x14ac:dyDescent="0.25">
      <c r="A33" s="11">
        <v>42309</v>
      </c>
      <c r="B33" s="3">
        <f>[1]Data!G35</f>
        <v>46.142442844726368</v>
      </c>
      <c r="C33" s="17">
        <v>64.901439999999994</v>
      </c>
      <c r="D33" s="3">
        <f t="shared" si="16"/>
        <v>2994710.9857404376</v>
      </c>
      <c r="E33" s="3">
        <v>196.5</v>
      </c>
      <c r="F33" s="3">
        <f t="shared" si="22"/>
        <v>15240.259469416986</v>
      </c>
      <c r="G33" s="3">
        <f t="shared" si="17"/>
        <v>1066.818162859189</v>
      </c>
      <c r="H33" s="14">
        <f t="shared" si="18"/>
        <v>20953.04896032211</v>
      </c>
      <c r="I33" s="14">
        <f t="shared" si="19"/>
        <v>15242.233144898462</v>
      </c>
      <c r="J33" s="14">
        <f t="shared" si="20"/>
        <v>0</v>
      </c>
      <c r="K33" s="14">
        <f t="shared" si="21"/>
        <v>0</v>
      </c>
    </row>
    <row r="34" spans="1:14" ht="15.75" thickBot="1" x14ac:dyDescent="0.3">
      <c r="A34" s="11">
        <v>42339</v>
      </c>
      <c r="B34" s="3">
        <f>[1]Data!G36</f>
        <v>21.525434682065459</v>
      </c>
      <c r="C34" s="17">
        <v>64.901439999999994</v>
      </c>
      <c r="D34" s="3">
        <f t="shared" si="16"/>
        <v>1397031.7074919904</v>
      </c>
      <c r="E34" s="3">
        <v>196.5</v>
      </c>
      <c r="F34" s="3">
        <f t="shared" si="22"/>
        <v>7109.5761195521145</v>
      </c>
      <c r="G34" s="3">
        <f t="shared" si="17"/>
        <v>497.67032836864809</v>
      </c>
      <c r="H34" s="14">
        <f t="shared" si="18"/>
        <v>9774.5905717057376</v>
      </c>
      <c r="I34" s="14">
        <f t="shared" si="19"/>
        <v>7110.496838526683</v>
      </c>
      <c r="J34" s="14">
        <f t="shared" si="20"/>
        <v>0</v>
      </c>
      <c r="K34" s="14">
        <f t="shared" si="21"/>
        <v>0</v>
      </c>
    </row>
    <row r="35" spans="1:14" ht="15.75" thickBot="1" x14ac:dyDescent="0.3">
      <c r="A35" s="10" t="s">
        <v>3</v>
      </c>
      <c r="B35" s="7">
        <f>SUM(B23:B34)</f>
        <v>424.09249676205354</v>
      </c>
      <c r="C35" s="42">
        <f>+D35/B35/1000</f>
        <v>64.901440000000008</v>
      </c>
      <c r="D35" s="7">
        <f>SUM(D23:D34)</f>
        <v>27524213.733052615</v>
      </c>
      <c r="E35" s="41">
        <f>AVERAGE(E28:E34)</f>
        <v>196.47142857142856</v>
      </c>
      <c r="F35" s="7">
        <f>SUM(F23:F34)</f>
        <v>143006.02899866767</v>
      </c>
      <c r="G35" s="7">
        <f>SUM(G23:G34)</f>
        <v>10010.422029906738</v>
      </c>
      <c r="H35" s="15">
        <f t="shared" ref="H35:I35" si="23">SUM(H23:H34)</f>
        <v>192578.24901604973</v>
      </c>
      <c r="I35" s="15">
        <f t="shared" si="23"/>
        <v>140090.47445540916</v>
      </c>
      <c r="J35" s="15">
        <f>SUM(J23:J34)</f>
        <v>0</v>
      </c>
      <c r="K35" s="15">
        <f>SUM(K23:K34)</f>
        <v>0</v>
      </c>
      <c r="L35" s="39">
        <f>+[2]Calcs!$L$8</f>
        <v>0.45409492147676445</v>
      </c>
      <c r="M35" s="39">
        <f>+[2]Calcs!$K$8</f>
        <v>0.33033000000000001</v>
      </c>
      <c r="N35" s="39"/>
    </row>
    <row r="36" spans="1:14" outlineLevel="1" x14ac:dyDescent="0.25">
      <c r="A36" s="11">
        <v>42370</v>
      </c>
      <c r="B36" s="3">
        <f>[3]Data!G38</f>
        <v>26.597926339021729</v>
      </c>
      <c r="C36" s="17">
        <f>'[4]2016'!F5</f>
        <v>77.396119999999996</v>
      </c>
      <c r="D36" s="3">
        <f>(B36*C36)*1000</f>
        <v>2058576.2986860864</v>
      </c>
      <c r="E36" s="3">
        <v>196.5</v>
      </c>
      <c r="F36" s="3">
        <f>D36/E36</f>
        <v>10476.215260488989</v>
      </c>
      <c r="G36" s="3">
        <f t="shared" ref="G36:G47" si="24">F36*$L$1</f>
        <v>733.33506823422931</v>
      </c>
      <c r="H36" s="14">
        <f>B36*$L$48*1000</f>
        <v>12227.448315358326</v>
      </c>
      <c r="I36" s="14">
        <f>+B36*$M$48*1000</f>
        <v>7611.0704297998191</v>
      </c>
      <c r="J36" s="14">
        <f t="shared" ref="J36:J47" si="25">IF((F36-G36-H36-I36)&lt;0,0,(F36-G36-H36-I36)*$N$1)</f>
        <v>0</v>
      </c>
      <c r="K36" s="14">
        <f t="shared" ref="K36:K47" si="26">IF((F36-G36-H36-I36)&lt;0,0,(F36-G36-H36-I36)*$M$1)</f>
        <v>0</v>
      </c>
    </row>
    <row r="37" spans="1:14" outlineLevel="1" x14ac:dyDescent="0.25">
      <c r="A37" s="11">
        <v>42401</v>
      </c>
      <c r="B37" s="3">
        <f>[3]Data!G39</f>
        <v>21.438086580647937</v>
      </c>
      <c r="C37" s="17">
        <f>'[4]2016'!F6</f>
        <v>77.396119999999996</v>
      </c>
      <c r="D37" s="3">
        <f t="shared" ref="D37:D47" si="27">(B37*C37)*1000</f>
        <v>1659224.7215662173</v>
      </c>
      <c r="E37" s="3">
        <v>196.5</v>
      </c>
      <c r="F37" s="3">
        <f t="shared" ref="F37:F47" si="28">D37/E37</f>
        <v>8443.8917128051762</v>
      </c>
      <c r="G37" s="3">
        <f t="shared" si="24"/>
        <v>591.07241989636236</v>
      </c>
      <c r="H37" s="14">
        <f t="shared" ref="H37:H47" si="29">B37*$L$48*1000</f>
        <v>9855.3959547017403</v>
      </c>
      <c r="I37" s="14">
        <f t="shared" ref="I37:I47" si="30">+B37*$M$48*1000</f>
        <v>6134.5679646490471</v>
      </c>
      <c r="J37" s="14">
        <f t="shared" si="25"/>
        <v>0</v>
      </c>
      <c r="K37" s="14">
        <f t="shared" si="26"/>
        <v>0</v>
      </c>
    </row>
    <row r="38" spans="1:14" outlineLevel="1" x14ac:dyDescent="0.25">
      <c r="A38" s="11">
        <v>42430</v>
      </c>
      <c r="B38" s="3">
        <f>[3]Data!G40</f>
        <v>22.698398358785553</v>
      </c>
      <c r="C38" s="17">
        <f>'[4]2016'!F7</f>
        <v>77.396119999999996</v>
      </c>
      <c r="D38" s="3">
        <f t="shared" si="27"/>
        <v>1756767.9631843695</v>
      </c>
      <c r="E38" s="3">
        <v>196.5</v>
      </c>
      <c r="F38" s="3">
        <f>D38/E38</f>
        <v>8940.2949780375038</v>
      </c>
      <c r="G38" s="3">
        <f t="shared" si="24"/>
        <v>625.82064846262529</v>
      </c>
      <c r="H38" s="14">
        <f t="shared" si="29"/>
        <v>10434.77935970826</v>
      </c>
      <c r="I38" s="14">
        <f t="shared" si="30"/>
        <v>6495.209677264018</v>
      </c>
      <c r="J38" s="14">
        <f t="shared" si="25"/>
        <v>0</v>
      </c>
      <c r="K38" s="14">
        <f t="shared" si="26"/>
        <v>0</v>
      </c>
    </row>
    <row r="39" spans="1:14" outlineLevel="1" x14ac:dyDescent="0.25">
      <c r="A39" s="11">
        <v>42461</v>
      </c>
      <c r="B39" s="3">
        <f>[3]Data!G41</f>
        <v>23.146667455201484</v>
      </c>
      <c r="C39" s="17">
        <f>'[4]2016'!F8</f>
        <v>77.396119999999996</v>
      </c>
      <c r="D39" s="3">
        <f t="shared" si="27"/>
        <v>1791462.2519628685</v>
      </c>
      <c r="E39" s="3">
        <v>196.5</v>
      </c>
      <c r="F39" s="3">
        <f t="shared" si="28"/>
        <v>9116.8562440858441</v>
      </c>
      <c r="G39" s="3">
        <f t="shared" si="24"/>
        <v>638.17993708600909</v>
      </c>
      <c r="H39" s="14">
        <f t="shared" si="29"/>
        <v>10640.855094257415</v>
      </c>
      <c r="I39" s="14">
        <f t="shared" si="30"/>
        <v>6623.483123127312</v>
      </c>
      <c r="J39" s="14">
        <f t="shared" si="25"/>
        <v>0</v>
      </c>
      <c r="K39" s="14">
        <f t="shared" si="26"/>
        <v>0</v>
      </c>
    </row>
    <row r="40" spans="1:14" outlineLevel="1" x14ac:dyDescent="0.25">
      <c r="A40" s="11">
        <v>42491</v>
      </c>
      <c r="B40" s="3">
        <f>[3]Data!G42</f>
        <v>17.549690110389228</v>
      </c>
      <c r="C40" s="17">
        <f>'[4]2016'!F9</f>
        <v>77.396119999999996</v>
      </c>
      <c r="D40" s="3">
        <f>(B40*C40)*1000</f>
        <v>1358277.921746498</v>
      </c>
      <c r="E40" s="3">
        <v>196.5</v>
      </c>
      <c r="F40" s="3">
        <f t="shared" si="28"/>
        <v>6912.3558358600403</v>
      </c>
      <c r="G40" s="3">
        <f>F40*$L$1</f>
        <v>483.86490851020289</v>
      </c>
      <c r="H40" s="14">
        <f t="shared" si="29"/>
        <v>8067.8443138824041</v>
      </c>
      <c r="I40" s="14">
        <f t="shared" si="30"/>
        <v>5021.8925245826722</v>
      </c>
      <c r="J40" s="14">
        <f t="shared" si="25"/>
        <v>0</v>
      </c>
      <c r="K40" s="14">
        <f t="shared" si="26"/>
        <v>0</v>
      </c>
    </row>
    <row r="41" spans="1:14" outlineLevel="1" x14ac:dyDescent="0.25">
      <c r="A41" s="11">
        <v>42522</v>
      </c>
      <c r="B41" s="3">
        <f>[3]Data!G43</f>
        <v>3.8738883108019229</v>
      </c>
      <c r="C41" s="17">
        <f>'[4]2016'!F10</f>
        <v>77.396119999999996</v>
      </c>
      <c r="D41" s="3">
        <f t="shared" si="27"/>
        <v>299823.9245694229</v>
      </c>
      <c r="E41" s="3">
        <v>196.5</v>
      </c>
      <c r="F41" s="3">
        <f t="shared" si="28"/>
        <v>1525.8214990810327</v>
      </c>
      <c r="G41" s="3">
        <f t="shared" si="24"/>
        <v>106.8075049356723</v>
      </c>
      <c r="H41" s="14">
        <f>B41*$L$48*1000</f>
        <v>1780.8820317811089</v>
      </c>
      <c r="I41" s="14">
        <f t="shared" si="30"/>
        <v>1108.523889978414</v>
      </c>
      <c r="J41" s="14">
        <f t="shared" si="25"/>
        <v>0</v>
      </c>
      <c r="K41" s="14">
        <f t="shared" si="26"/>
        <v>0</v>
      </c>
    </row>
    <row r="42" spans="1:14" outlineLevel="1" x14ac:dyDescent="0.25">
      <c r="A42" s="11">
        <v>42552</v>
      </c>
      <c r="B42" s="3">
        <f>[3]Data!G44</f>
        <v>23.268092117070275</v>
      </c>
      <c r="C42" s="17">
        <f>'[4]2016'!F11</f>
        <v>77.396119999999996</v>
      </c>
      <c r="D42" s="3">
        <f t="shared" si="27"/>
        <v>1800860.0496638247</v>
      </c>
      <c r="E42" s="3">
        <v>280.5</v>
      </c>
      <c r="F42" s="3">
        <f t="shared" si="28"/>
        <v>6420.1784301740636</v>
      </c>
      <c r="G42" s="3">
        <f>F42*$L$1</f>
        <v>449.41249011218451</v>
      </c>
      <c r="H42" s="14">
        <f t="shared" si="29"/>
        <v>10696.675753292486</v>
      </c>
      <c r="I42" s="14">
        <f t="shared" si="30"/>
        <v>6658.229127068309</v>
      </c>
      <c r="J42" s="14">
        <f t="shared" si="25"/>
        <v>0</v>
      </c>
      <c r="K42" s="14">
        <f t="shared" si="26"/>
        <v>0</v>
      </c>
    </row>
    <row r="43" spans="1:14" outlineLevel="1" x14ac:dyDescent="0.25">
      <c r="A43" s="11">
        <v>42583</v>
      </c>
      <c r="B43" s="3">
        <f>[3]Data!G45</f>
        <v>10.93290397290798</v>
      </c>
      <c r="C43" s="17">
        <f>'[4]2016'!F12</f>
        <v>77.396119999999996</v>
      </c>
      <c r="D43" s="3">
        <f t="shared" si="27"/>
        <v>846164.34783566277</v>
      </c>
      <c r="E43" s="3">
        <v>309.5</v>
      </c>
      <c r="F43" s="3">
        <f t="shared" si="28"/>
        <v>2733.9720447032723</v>
      </c>
      <c r="G43" s="3">
        <f t="shared" si="24"/>
        <v>191.37804312922907</v>
      </c>
      <c r="H43" s="14">
        <f t="shared" si="29"/>
        <v>5026.0128012079022</v>
      </c>
      <c r="I43" s="14">
        <f t="shared" si="30"/>
        <v>3128.4808100984228</v>
      </c>
      <c r="J43" s="14">
        <f t="shared" si="25"/>
        <v>0</v>
      </c>
      <c r="K43" s="14">
        <f t="shared" si="26"/>
        <v>0</v>
      </c>
    </row>
    <row r="44" spans="1:14" outlineLevel="1" x14ac:dyDescent="0.25">
      <c r="A44" s="11">
        <v>42614</v>
      </c>
      <c r="B44" s="3">
        <f>[3]Data!G46</f>
        <v>0.5764684513880669</v>
      </c>
      <c r="C44" s="17">
        <f>'[4]2016'!F13</f>
        <v>77.396119999999996</v>
      </c>
      <c r="D44" s="3">
        <f t="shared" si="27"/>
        <v>44616.421439844991</v>
      </c>
      <c r="E44" s="3">
        <v>304.5</v>
      </c>
      <c r="F44" s="3">
        <f t="shared" si="28"/>
        <v>146.52355152658453</v>
      </c>
      <c r="G44" s="3">
        <f t="shared" si="24"/>
        <v>10.256648606860917</v>
      </c>
      <c r="H44" s="14">
        <f>B44*$L$48*1000</f>
        <v>265.01081719446159</v>
      </c>
      <c r="I44" s="14">
        <f t="shared" si="30"/>
        <v>164.95804703524055</v>
      </c>
      <c r="J44" s="14">
        <f t="shared" si="25"/>
        <v>0</v>
      </c>
      <c r="K44" s="14">
        <f t="shared" si="26"/>
        <v>0</v>
      </c>
    </row>
    <row r="45" spans="1:14" outlineLevel="1" x14ac:dyDescent="0.25">
      <c r="A45" s="11">
        <v>42644</v>
      </c>
      <c r="B45" s="3">
        <f>[3]Data!G47</f>
        <v>21.097879550041913</v>
      </c>
      <c r="C45" s="17">
        <f>'[4]2016'!F14</f>
        <v>77.396119999999996</v>
      </c>
      <c r="D45" s="3">
        <f t="shared" si="27"/>
        <v>1632894.0174005898</v>
      </c>
      <c r="E45" s="3">
        <v>304.5</v>
      </c>
      <c r="F45" s="3">
        <f t="shared" si="28"/>
        <v>5362.5419290659765</v>
      </c>
      <c r="G45" s="3">
        <f>F45*$L$1</f>
        <v>375.37793503461842</v>
      </c>
      <c r="H45" s="14">
        <f>B45*$L$48*1000</f>
        <v>9698.9979020778483</v>
      </c>
      <c r="I45" s="14">
        <f t="shared" si="30"/>
        <v>6037.216778783979</v>
      </c>
      <c r="J45" s="14">
        <f t="shared" si="25"/>
        <v>0</v>
      </c>
      <c r="K45" s="14">
        <f t="shared" si="26"/>
        <v>0</v>
      </c>
    </row>
    <row r="46" spans="1:14" outlineLevel="1" x14ac:dyDescent="0.25">
      <c r="A46" s="11">
        <v>42675</v>
      </c>
      <c r="B46" s="3">
        <f>[3]Data!G48</f>
        <v>34.882279522344355</v>
      </c>
      <c r="C46" s="17">
        <f>'[4]2016'!F15</f>
        <v>77.396119999999996</v>
      </c>
      <c r="D46" s="3">
        <f t="shared" si="27"/>
        <v>2699753.0917849061</v>
      </c>
      <c r="E46" s="3">
        <v>305</v>
      </c>
      <c r="F46" s="3">
        <f t="shared" si="28"/>
        <v>8851.6494812619876</v>
      </c>
      <c r="G46" s="3">
        <f t="shared" si="24"/>
        <v>619.61546368833922</v>
      </c>
      <c r="H46" s="14">
        <f t="shared" si="29"/>
        <v>16035.8843221398</v>
      </c>
      <c r="I46" s="14">
        <f t="shared" si="30"/>
        <v>9981.6610818650606</v>
      </c>
      <c r="J46" s="14">
        <f t="shared" si="25"/>
        <v>0</v>
      </c>
      <c r="K46" s="14">
        <f t="shared" si="26"/>
        <v>0</v>
      </c>
    </row>
    <row r="47" spans="1:14" ht="15.75" outlineLevel="1" thickBot="1" x14ac:dyDescent="0.3">
      <c r="A47" s="11">
        <v>42705</v>
      </c>
      <c r="B47" s="3">
        <f>[3]Data!G49</f>
        <v>26.210510365259751</v>
      </c>
      <c r="C47" s="17">
        <f>'[4]2016'!F16</f>
        <v>77.396119999999996</v>
      </c>
      <c r="D47" s="3">
        <f t="shared" si="27"/>
        <v>2028591.8054908873</v>
      </c>
      <c r="E47" s="3">
        <v>305</v>
      </c>
      <c r="F47" s="3">
        <f t="shared" si="28"/>
        <v>6651.1206737406137</v>
      </c>
      <c r="G47" s="3">
        <f t="shared" si="24"/>
        <v>465.57844716184303</v>
      </c>
      <c r="H47" s="14">
        <f t="shared" si="29"/>
        <v>12049.347634300007</v>
      </c>
      <c r="I47" s="14">
        <f t="shared" si="30"/>
        <v>7500.2102738482645</v>
      </c>
      <c r="J47" s="14">
        <f t="shared" si="25"/>
        <v>0</v>
      </c>
      <c r="K47" s="14">
        <f t="shared" si="26"/>
        <v>0</v>
      </c>
    </row>
    <row r="48" spans="1:14" ht="15.75" outlineLevel="1" thickBot="1" x14ac:dyDescent="0.3">
      <c r="A48" s="10" t="s">
        <v>69</v>
      </c>
      <c r="B48" s="7">
        <f>SUM(B36:B47)</f>
        <v>232.27279113386021</v>
      </c>
      <c r="C48" s="42">
        <f>+D48/B48/1000</f>
        <v>77.396119999999996</v>
      </c>
      <c r="D48" s="7">
        <f>SUM(D36:D47)</f>
        <v>17977012.81533118</v>
      </c>
      <c r="E48" s="41">
        <f>AVERAGE(E36:E47)</f>
        <v>249</v>
      </c>
      <c r="F48" s="7">
        <f t="shared" ref="F48:K48" si="31">SUM(F36:F47)</f>
        <v>75581.421640831089</v>
      </c>
      <c r="G48" s="7">
        <f t="shared" si="31"/>
        <v>5290.6995148581755</v>
      </c>
      <c r="H48" s="15">
        <f t="shared" si="31"/>
        <v>106779.13429990177</v>
      </c>
      <c r="I48" s="15">
        <f t="shared" si="31"/>
        <v>66465.50372810055</v>
      </c>
      <c r="J48" s="15">
        <f t="shared" si="31"/>
        <v>0</v>
      </c>
      <c r="K48" s="15">
        <f t="shared" si="31"/>
        <v>0</v>
      </c>
      <c r="L48" s="39">
        <f>[5]Calcs!$L$9</f>
        <v>0.45971434613003942</v>
      </c>
      <c r="M48" s="39">
        <f>[5]Calcs!$K$9</f>
        <v>0.286152774948987</v>
      </c>
      <c r="N48" s="39"/>
    </row>
    <row r="49" spans="1:16" ht="15.75" thickBot="1" x14ac:dyDescent="0.3">
      <c r="A49" s="10" t="s">
        <v>4</v>
      </c>
      <c r="B49" s="7">
        <f>B9+B22+B35+B48</f>
        <v>1505.5539022302221</v>
      </c>
      <c r="C49" s="7"/>
      <c r="D49" s="7">
        <f>D9+D22+D35+D48</f>
        <v>98566231.14657031</v>
      </c>
      <c r="E49" s="7"/>
      <c r="F49" s="7">
        <f>F9+F22+F35+F48</f>
        <v>560186.32492189668</v>
      </c>
      <c r="G49" s="7">
        <f>G9+G22+G35+G48</f>
        <v>39213.042744532773</v>
      </c>
      <c r="H49" s="7">
        <f>H9+H22+H35+H48</f>
        <v>679299.75609530881</v>
      </c>
      <c r="I49" s="7">
        <f>I9+I22+I35+I48</f>
        <v>690917.03540951479</v>
      </c>
      <c r="J49" s="7">
        <f t="shared" ref="J49:K49" si="32">J9+J22+J35</f>
        <v>0</v>
      </c>
      <c r="K49" s="7">
        <f t="shared" si="32"/>
        <v>0</v>
      </c>
    </row>
    <row r="50" spans="1:16" x14ac:dyDescent="0.25">
      <c r="F50" s="99"/>
    </row>
    <row r="51" spans="1:16" ht="15.75" thickBot="1" x14ac:dyDescent="0.3">
      <c r="P51">
        <f>C48/E48</f>
        <v>0.31082779116465864</v>
      </c>
    </row>
    <row r="52" spans="1:16" ht="39" thickBot="1" x14ac:dyDescent="0.3">
      <c r="A52" s="1" t="s">
        <v>0</v>
      </c>
      <c r="B52" s="2" t="s">
        <v>27</v>
      </c>
      <c r="C52" s="2" t="s">
        <v>28</v>
      </c>
      <c r="D52" s="28" t="s">
        <v>30</v>
      </c>
      <c r="E52" s="28" t="s">
        <v>78</v>
      </c>
      <c r="F52" s="29" t="s">
        <v>29</v>
      </c>
      <c r="G52" s="2" t="s">
        <v>31</v>
      </c>
      <c r="H52" s="2" t="s">
        <v>37</v>
      </c>
      <c r="I52" s="2" t="s">
        <v>38</v>
      </c>
      <c r="J52" s="2" t="s">
        <v>58</v>
      </c>
      <c r="K52" s="2" t="s">
        <v>32</v>
      </c>
    </row>
    <row r="53" spans="1:16" x14ac:dyDescent="0.25">
      <c r="A53" s="4">
        <v>41426</v>
      </c>
      <c r="B53" s="14">
        <f>+[1]Data!H4</f>
        <v>336.44889388720446</v>
      </c>
      <c r="C53" s="14">
        <f>B53/1.1*1000</f>
        <v>305862.63080654945</v>
      </c>
      <c r="D53" s="18">
        <v>1.2826599999999999</v>
      </c>
      <c r="E53" s="18">
        <f>D53*1.1</f>
        <v>1.4109260000000001</v>
      </c>
      <c r="F53" s="30">
        <f>B53*E53*1000</f>
        <v>474704.49205669784</v>
      </c>
      <c r="G53" s="12">
        <f t="shared" ref="G53:G59" si="33">F53*$L$1</f>
        <v>33229.314443968855</v>
      </c>
      <c r="H53" s="14">
        <f t="shared" ref="H53:H59" si="34">B53*$L$9*1000</f>
        <v>148037.51331036998</v>
      </c>
      <c r="I53" s="13">
        <f t="shared" ref="I53:I59" si="35">+B53*$M$9*1000</f>
        <v>175609.50016442637</v>
      </c>
      <c r="J53" s="13">
        <f>IF((F53-G53-H53-I53)&lt;0,0,(F53-G53-H53-I53)*$N$1)</f>
        <v>2356.5632827586523</v>
      </c>
      <c r="K53" s="13">
        <f>IF((F53-G53-H53-I53)&lt;0,0,(F53-G53-H53-I53)*$M$1)</f>
        <v>35348.449241379785</v>
      </c>
    </row>
    <row r="54" spans="1:16" x14ac:dyDescent="0.25">
      <c r="A54" s="4">
        <v>41456</v>
      </c>
      <c r="B54" s="14">
        <f>+[1]Data!H5</f>
        <v>166.8784222009474</v>
      </c>
      <c r="C54" s="14">
        <f t="shared" ref="C54:C99" si="36">B54/1.1*1000</f>
        <v>151707.65654631579</v>
      </c>
      <c r="D54" s="18">
        <v>1.2916000000000001</v>
      </c>
      <c r="E54" s="18">
        <f t="shared" ref="E54:E59" si="37">D54*1.1</f>
        <v>1.4207600000000002</v>
      </c>
      <c r="F54" s="30">
        <f t="shared" ref="F54:F59" si="38">B54*E54*1000</f>
        <v>237094.18712621805</v>
      </c>
      <c r="G54" s="12">
        <f t="shared" si="33"/>
        <v>16596.593098835267</v>
      </c>
      <c r="H54" s="13">
        <f t="shared" si="34"/>
        <v>73426.505768416857</v>
      </c>
      <c r="I54" s="13">
        <f t="shared" si="35"/>
        <v>87102.192467784509</v>
      </c>
      <c r="J54" s="13">
        <f t="shared" ref="J54:J59" si="39">IF((F54-G54-H54-I54)&lt;0,0,(F54-G54-H54-I54)*$N$1)</f>
        <v>1199.3779158236284</v>
      </c>
      <c r="K54" s="13">
        <f t="shared" ref="K54:K59" si="40">IF((F54-G54-H54-I54)&lt;0,0,(F54-G54-H54-I54)*$M$1)</f>
        <v>17990.668737354426</v>
      </c>
    </row>
    <row r="55" spans="1:16" x14ac:dyDescent="0.25">
      <c r="A55" s="4">
        <v>41487</v>
      </c>
      <c r="B55" s="14">
        <f>+[1]Data!H6</f>
        <v>360.46651652986822</v>
      </c>
      <c r="C55" s="14">
        <f t="shared" si="36"/>
        <v>327696.83320897107</v>
      </c>
      <c r="D55" s="19">
        <v>1.2916000000000001</v>
      </c>
      <c r="E55" s="18">
        <f t="shared" si="37"/>
        <v>1.4207600000000002</v>
      </c>
      <c r="F55" s="30">
        <f t="shared" si="38"/>
        <v>512136.40802497568</v>
      </c>
      <c r="G55" s="12">
        <f t="shared" si="33"/>
        <v>35849.548561748299</v>
      </c>
      <c r="H55" s="13">
        <f t="shared" si="34"/>
        <v>158605.26727314203</v>
      </c>
      <c r="I55" s="13">
        <f t="shared" si="35"/>
        <v>188145.49830276472</v>
      </c>
      <c r="J55" s="13">
        <f t="shared" si="39"/>
        <v>2590.7218777464122</v>
      </c>
      <c r="K55" s="13">
        <f t="shared" si="40"/>
        <v>38860.828166196181</v>
      </c>
    </row>
    <row r="56" spans="1:16" x14ac:dyDescent="0.25">
      <c r="A56" s="4">
        <v>41518</v>
      </c>
      <c r="B56" s="14">
        <f>+[1]Data!H7</f>
        <v>308.25441504515658</v>
      </c>
      <c r="C56" s="14">
        <f t="shared" si="36"/>
        <v>280231.28640468774</v>
      </c>
      <c r="D56" s="20">
        <v>1.2916000000000001</v>
      </c>
      <c r="E56" s="18">
        <f t="shared" si="37"/>
        <v>1.4207600000000002</v>
      </c>
      <c r="F56" s="30">
        <f t="shared" si="38"/>
        <v>437955.54271955672</v>
      </c>
      <c r="G56" s="12">
        <f t="shared" si="33"/>
        <v>30656.887990368974</v>
      </c>
      <c r="H56" s="13">
        <f t="shared" si="34"/>
        <v>135631.9426198689</v>
      </c>
      <c r="I56" s="13">
        <f t="shared" si="35"/>
        <v>160893.39193281948</v>
      </c>
      <c r="J56" s="13">
        <f t="shared" si="39"/>
        <v>2215.466403529987</v>
      </c>
      <c r="K56" s="13">
        <f t="shared" si="40"/>
        <v>33231.996052949798</v>
      </c>
    </row>
    <row r="57" spans="1:16" x14ac:dyDescent="0.25">
      <c r="A57" s="4">
        <v>41548</v>
      </c>
      <c r="B57" s="14">
        <f>+[1]Data!H8</f>
        <v>305.30240058099588</v>
      </c>
      <c r="C57" s="14">
        <f t="shared" si="36"/>
        <v>277547.63689181441</v>
      </c>
      <c r="D57" s="21">
        <v>1.2916000000000001</v>
      </c>
      <c r="E57" s="18">
        <f t="shared" si="37"/>
        <v>1.4207600000000002</v>
      </c>
      <c r="F57" s="30">
        <f t="shared" si="38"/>
        <v>433761.43864945578</v>
      </c>
      <c r="G57" s="12">
        <f t="shared" si="33"/>
        <v>30363.300705461908</v>
      </c>
      <c r="H57" s="13">
        <f>B57*$L$9*1000</f>
        <v>134333.05625563822</v>
      </c>
      <c r="I57" s="13">
        <f t="shared" si="35"/>
        <v>159352.58798325079</v>
      </c>
      <c r="J57" s="13">
        <f t="shared" si="39"/>
        <v>2194.2498741020972</v>
      </c>
      <c r="K57" s="13">
        <f t="shared" si="40"/>
        <v>32913.748111531459</v>
      </c>
    </row>
    <row r="58" spans="1:16" x14ac:dyDescent="0.25">
      <c r="A58" s="4">
        <v>41579</v>
      </c>
      <c r="B58" s="14">
        <f>+[1]Data!H9</f>
        <v>357.28844393039452</v>
      </c>
      <c r="C58" s="14">
        <f t="shared" si="36"/>
        <v>324807.67630035867</v>
      </c>
      <c r="D58" s="21">
        <v>1.2916000000000001</v>
      </c>
      <c r="E58" s="18">
        <f t="shared" si="37"/>
        <v>1.4207600000000002</v>
      </c>
      <c r="F58" s="30">
        <f t="shared" si="38"/>
        <v>507621.12959854736</v>
      </c>
      <c r="G58" s="12">
        <f t="shared" si="33"/>
        <v>35533.47907189832</v>
      </c>
      <c r="H58" s="13">
        <f t="shared" si="34"/>
        <v>157206.91532937359</v>
      </c>
      <c r="I58" s="13">
        <f t="shared" si="35"/>
        <v>186486.70330946942</v>
      </c>
      <c r="J58" s="13">
        <f t="shared" si="39"/>
        <v>2567.88063775612</v>
      </c>
      <c r="K58" s="13">
        <f t="shared" si="40"/>
        <v>38518.209566341793</v>
      </c>
    </row>
    <row r="59" spans="1:16" ht="15.75" thickBot="1" x14ac:dyDescent="0.3">
      <c r="A59" s="4">
        <v>41609</v>
      </c>
      <c r="B59" s="14">
        <f>+[1]Data!H10</f>
        <v>236.4438060050955</v>
      </c>
      <c r="C59" s="14">
        <f t="shared" si="36"/>
        <v>214948.91455008677</v>
      </c>
      <c r="D59" s="22">
        <v>1.2916000000000001</v>
      </c>
      <c r="E59" s="18">
        <f t="shared" si="37"/>
        <v>1.4207600000000002</v>
      </c>
      <c r="F59" s="30">
        <f t="shared" si="38"/>
        <v>335929.9018197995</v>
      </c>
      <c r="G59" s="12">
        <f t="shared" si="33"/>
        <v>23515.093127385968</v>
      </c>
      <c r="H59" s="13">
        <f t="shared" si="34"/>
        <v>104035.27464224203</v>
      </c>
      <c r="I59" s="13">
        <f t="shared" si="35"/>
        <v>123411.8445443596</v>
      </c>
      <c r="J59" s="13">
        <f t="shared" si="39"/>
        <v>1699.3537901162385</v>
      </c>
      <c r="K59" s="13">
        <f t="shared" si="40"/>
        <v>25490.306851743579</v>
      </c>
    </row>
    <row r="60" spans="1:16" ht="15.75" thickBot="1" x14ac:dyDescent="0.3">
      <c r="A60" s="5" t="s">
        <v>1</v>
      </c>
      <c r="B60" s="15">
        <f>SUM(B53:B59)</f>
        <v>2071.0828981796626</v>
      </c>
      <c r="C60" s="15">
        <f t="shared" si="36"/>
        <v>1882802.6347087841</v>
      </c>
      <c r="D60" s="43">
        <f>AVERAGE(D53:D59)</f>
        <v>1.2903228571428571</v>
      </c>
      <c r="E60" s="41">
        <f>AVERAGE(E53:E59)</f>
        <v>1.4193551428571429</v>
      </c>
      <c r="F60" s="15">
        <f>SUM(F53:F59)</f>
        <v>2939203.0999952508</v>
      </c>
      <c r="G60" s="16">
        <f>SUM(G53:G59)</f>
        <v>205744.21699966761</v>
      </c>
      <c r="H60" s="7">
        <f t="shared" ref="H60:I60" si="41">SUM(H53:H59)</f>
        <v>911276.47519905155</v>
      </c>
      <c r="I60" s="7">
        <f t="shared" si="41"/>
        <v>1081001.7187048751</v>
      </c>
      <c r="J60" s="7">
        <f>SUM(J53:J59)</f>
        <v>14823.613781833135</v>
      </c>
      <c r="K60" s="7">
        <f>SUM(K53:K59)</f>
        <v>222354.20672749702</v>
      </c>
    </row>
    <row r="61" spans="1:16" x14ac:dyDescent="0.25">
      <c r="A61" s="8">
        <v>41640</v>
      </c>
      <c r="B61" s="14">
        <f>+[1]Data!H12</f>
        <v>314.10701593665192</v>
      </c>
      <c r="C61" s="14">
        <f t="shared" si="36"/>
        <v>285551.83266968356</v>
      </c>
      <c r="D61" s="18">
        <v>1.30385</v>
      </c>
      <c r="E61" s="18">
        <f t="shared" ref="E61:E72" si="42">D61*1.1</f>
        <v>1.4342350000000001</v>
      </c>
      <c r="F61" s="30">
        <f t="shared" ref="F61:F72" si="43">B61*E61*1000</f>
        <v>450503.27600190399</v>
      </c>
      <c r="G61" s="12">
        <f t="shared" ref="G61:G72" si="44">F61*$L$1</f>
        <v>31535.229320133283</v>
      </c>
      <c r="H61" s="13">
        <f t="shared" ref="H61:H72" si="45">B61*$L$22*1000</f>
        <v>142530.85808732733</v>
      </c>
      <c r="I61" s="13">
        <f t="shared" ref="I61:I72" si="46">+B61*$M$22*1000</f>
        <v>192176.9544903624</v>
      </c>
      <c r="J61" s="13">
        <f t="shared" ref="J61:J72" si="47">IF((F61-G61-H61-I61)&lt;0,0,(F61-G61-H61-I61)*$N$1)</f>
        <v>1685.2046820816195</v>
      </c>
      <c r="K61" s="13">
        <f t="shared" ref="K61:K72" si="48">IF((F61-G61-H61-I61)&lt;0,0,(F61-G61-H61-I61)*$M$1)</f>
        <v>25278.07023122429</v>
      </c>
    </row>
    <row r="62" spans="1:16" x14ac:dyDescent="0.25">
      <c r="A62" s="8">
        <v>41671</v>
      </c>
      <c r="B62" s="14">
        <f>+[1]Data!H13</f>
        <v>258.3612413806207</v>
      </c>
      <c r="C62" s="14">
        <f t="shared" si="36"/>
        <v>234873.85580056426</v>
      </c>
      <c r="D62" s="18">
        <v>1.30385</v>
      </c>
      <c r="E62" s="18">
        <f t="shared" si="42"/>
        <v>1.4342350000000001</v>
      </c>
      <c r="F62" s="30">
        <f t="shared" si="43"/>
        <v>370550.73503153457</v>
      </c>
      <c r="G62" s="12">
        <f t="shared" si="44"/>
        <v>25938.551452207423</v>
      </c>
      <c r="H62" s="13">
        <f t="shared" si="45"/>
        <v>117235.36107806522</v>
      </c>
      <c r="I62" s="13">
        <f t="shared" si="46"/>
        <v>158070.57470149136</v>
      </c>
      <c r="J62" s="13">
        <f t="shared" si="47"/>
        <v>1386.1249559954106</v>
      </c>
      <c r="K62" s="13">
        <f t="shared" si="48"/>
        <v>20791.874339931157</v>
      </c>
    </row>
    <row r="63" spans="1:16" x14ac:dyDescent="0.25">
      <c r="A63" s="8">
        <v>41699</v>
      </c>
      <c r="B63" s="14">
        <f>+[1]Data!H14</f>
        <v>350.17097258812578</v>
      </c>
      <c r="C63" s="14">
        <f t="shared" si="36"/>
        <v>318337.24780738703</v>
      </c>
      <c r="D63" s="18">
        <v>1.30385</v>
      </c>
      <c r="E63" s="18">
        <f t="shared" si="42"/>
        <v>1.4342350000000001</v>
      </c>
      <c r="F63" s="30">
        <f t="shared" si="43"/>
        <v>502227.46486993058</v>
      </c>
      <c r="G63" s="12">
        <f t="shared" si="44"/>
        <v>35155.922540895146</v>
      </c>
      <c r="H63" s="13">
        <f t="shared" si="45"/>
        <v>158895.42948103161</v>
      </c>
      <c r="I63" s="13">
        <f t="shared" si="46"/>
        <v>214241.60444886712</v>
      </c>
      <c r="J63" s="13">
        <f t="shared" si="47"/>
        <v>1878.6901679827349</v>
      </c>
      <c r="K63" s="13">
        <f t="shared" si="48"/>
        <v>28180.352519741024</v>
      </c>
    </row>
    <row r="64" spans="1:16" x14ac:dyDescent="0.25">
      <c r="A64" s="8">
        <v>41730</v>
      </c>
      <c r="B64" s="14">
        <f>+[1]Data!H15</f>
        <v>198.20153467908648</v>
      </c>
      <c r="C64" s="14">
        <f t="shared" si="36"/>
        <v>180183.21334462406</v>
      </c>
      <c r="D64" s="18">
        <v>1.30385</v>
      </c>
      <c r="E64" s="18">
        <f t="shared" si="42"/>
        <v>1.4342350000000001</v>
      </c>
      <c r="F64" s="30">
        <f t="shared" si="43"/>
        <v>284267.57809045963</v>
      </c>
      <c r="G64" s="12">
        <f t="shared" si="44"/>
        <v>19898.730466332177</v>
      </c>
      <c r="H64" s="13">
        <f t="shared" si="45"/>
        <v>89936.974912183112</v>
      </c>
      <c r="I64" s="13">
        <f t="shared" si="46"/>
        <v>121263.66294735869</v>
      </c>
      <c r="J64" s="13">
        <f t="shared" si="47"/>
        <v>1063.3641952917128</v>
      </c>
      <c r="K64" s="13">
        <f t="shared" si="48"/>
        <v>15950.462929375692</v>
      </c>
    </row>
    <row r="65" spans="1:12" x14ac:dyDescent="0.25">
      <c r="A65" s="8">
        <v>41760</v>
      </c>
      <c r="B65" s="14">
        <f>+[1]Data!H16</f>
        <v>39.784670731457922</v>
      </c>
      <c r="C65" s="14">
        <f t="shared" si="36"/>
        <v>36167.882483143563</v>
      </c>
      <c r="D65" s="18">
        <v>1.30385</v>
      </c>
      <c r="E65" s="18">
        <f t="shared" si="42"/>
        <v>1.4342350000000001</v>
      </c>
      <c r="F65" s="30">
        <f t="shared" si="43"/>
        <v>57060.567226532556</v>
      </c>
      <c r="G65" s="12">
        <f t="shared" si="44"/>
        <v>3994.2397058572792</v>
      </c>
      <c r="H65" s="13">
        <f t="shared" si="45"/>
        <v>18052.902260610732</v>
      </c>
      <c r="I65" s="13">
        <f t="shared" si="46"/>
        <v>24341.057246920587</v>
      </c>
      <c r="J65" s="13">
        <f t="shared" si="47"/>
        <v>213.4473602628791</v>
      </c>
      <c r="K65" s="13">
        <f t="shared" si="48"/>
        <v>3201.7104039431861</v>
      </c>
    </row>
    <row r="66" spans="1:12" x14ac:dyDescent="0.25">
      <c r="A66" s="8">
        <v>41791</v>
      </c>
      <c r="B66" s="14">
        <f>+[1]Data!H17</f>
        <v>174.58983184102232</v>
      </c>
      <c r="C66" s="14">
        <f t="shared" si="36"/>
        <v>158718.02894638391</v>
      </c>
      <c r="D66" s="18">
        <v>1.30385</v>
      </c>
      <c r="E66" s="18">
        <f t="shared" si="42"/>
        <v>1.4342350000000001</v>
      </c>
      <c r="F66" s="30">
        <f t="shared" si="43"/>
        <v>250402.84747050868</v>
      </c>
      <c r="G66" s="12">
        <f t="shared" si="44"/>
        <v>17528.199322935609</v>
      </c>
      <c r="H66" s="13">
        <f t="shared" si="45"/>
        <v>79222.803958768345</v>
      </c>
      <c r="I66" s="13">
        <f t="shared" si="46"/>
        <v>106817.55091697429</v>
      </c>
      <c r="J66" s="13">
        <f t="shared" si="47"/>
        <v>936.68586543660899</v>
      </c>
      <c r="K66" s="13">
        <f t="shared" si="48"/>
        <v>14050.287981549134</v>
      </c>
    </row>
    <row r="67" spans="1:12" x14ac:dyDescent="0.25">
      <c r="A67" s="8">
        <v>41821</v>
      </c>
      <c r="B67" s="14">
        <f>+[1]Data!H18</f>
        <v>266.45163305608997</v>
      </c>
      <c r="C67" s="14">
        <f t="shared" si="36"/>
        <v>242228.75732371814</v>
      </c>
      <c r="D67" s="18">
        <v>1.31149</v>
      </c>
      <c r="E67" s="18">
        <f t="shared" si="42"/>
        <v>1.4426390000000002</v>
      </c>
      <c r="F67" s="30">
        <f t="shared" si="43"/>
        <v>384393.51746040466</v>
      </c>
      <c r="G67" s="12">
        <f t="shared" si="44"/>
        <v>26907.546222228328</v>
      </c>
      <c r="H67" s="13">
        <f t="shared" si="45"/>
        <v>120906.49992330441</v>
      </c>
      <c r="I67" s="13">
        <f t="shared" si="46"/>
        <v>163020.43813637699</v>
      </c>
      <c r="J67" s="13">
        <f t="shared" si="47"/>
        <v>1471.1806635698986</v>
      </c>
      <c r="K67" s="13">
        <f t="shared" si="48"/>
        <v>22067.709953548478</v>
      </c>
    </row>
    <row r="68" spans="1:12" x14ac:dyDescent="0.25">
      <c r="A68" s="9">
        <v>41852</v>
      </c>
      <c r="B68" s="14">
        <f>+[1]Data!H19</f>
        <v>77.860602265925152</v>
      </c>
      <c r="C68" s="14">
        <f t="shared" si="36"/>
        <v>70782.365696295587</v>
      </c>
      <c r="D68" s="18">
        <v>1.31149</v>
      </c>
      <c r="E68" s="18">
        <f t="shared" si="42"/>
        <v>1.4426390000000002</v>
      </c>
      <c r="F68" s="30">
        <f t="shared" si="43"/>
        <v>112324.741392312</v>
      </c>
      <c r="G68" s="12">
        <f t="shared" si="44"/>
        <v>7862.7318974618411</v>
      </c>
      <c r="H68" s="13">
        <f t="shared" si="45"/>
        <v>35330.438000775292</v>
      </c>
      <c r="I68" s="13">
        <f t="shared" si="46"/>
        <v>47636.673678338324</v>
      </c>
      <c r="J68" s="13">
        <f t="shared" si="47"/>
        <v>429.897956314731</v>
      </c>
      <c r="K68" s="13">
        <f t="shared" si="48"/>
        <v>6448.4693447209647</v>
      </c>
    </row>
    <row r="69" spans="1:12" x14ac:dyDescent="0.25">
      <c r="A69" s="9">
        <v>41883</v>
      </c>
      <c r="B69" s="14">
        <f>+[1]Data!H20</f>
        <v>277.3576477929966</v>
      </c>
      <c r="C69" s="14">
        <f t="shared" si="36"/>
        <v>252143.31617545144</v>
      </c>
      <c r="D69" s="19">
        <v>1.31149</v>
      </c>
      <c r="E69" s="18">
        <f t="shared" si="42"/>
        <v>1.4426390000000002</v>
      </c>
      <c r="F69" s="30">
        <f t="shared" si="43"/>
        <v>400126.95965444087</v>
      </c>
      <c r="G69" s="12">
        <f t="shared" si="44"/>
        <v>28008.887175810865</v>
      </c>
      <c r="H69" s="13">
        <f t="shared" si="45"/>
        <v>125855.27075584714</v>
      </c>
      <c r="I69" s="13">
        <f t="shared" si="46"/>
        <v>169692.95607271118</v>
      </c>
      <c r="J69" s="13">
        <f t="shared" si="47"/>
        <v>1531.3969130014332</v>
      </c>
      <c r="K69" s="13">
        <f t="shared" si="48"/>
        <v>22970.953695021497</v>
      </c>
    </row>
    <row r="70" spans="1:12" x14ac:dyDescent="0.25">
      <c r="A70" s="9">
        <v>41913</v>
      </c>
      <c r="B70" s="14">
        <f>+[1]Data!H21</f>
        <v>58.63854723142672</v>
      </c>
      <c r="C70" s="14">
        <f t="shared" si="36"/>
        <v>53307.77021038792</v>
      </c>
      <c r="D70" s="21">
        <v>1.31149</v>
      </c>
      <c r="E70" s="18">
        <f t="shared" si="42"/>
        <v>1.4426390000000002</v>
      </c>
      <c r="F70" s="30">
        <f t="shared" si="43"/>
        <v>84594.255139398228</v>
      </c>
      <c r="G70" s="12">
        <f t="shared" si="44"/>
        <v>5921.5978597578769</v>
      </c>
      <c r="H70" s="13">
        <f t="shared" si="45"/>
        <v>26608.136812757784</v>
      </c>
      <c r="I70" s="13">
        <f t="shared" si="46"/>
        <v>35876.235967131499</v>
      </c>
      <c r="J70" s="13">
        <f t="shared" si="47"/>
        <v>323.76568999502126</v>
      </c>
      <c r="K70" s="13">
        <f t="shared" si="48"/>
        <v>4856.4853499253186</v>
      </c>
    </row>
    <row r="71" spans="1:12" x14ac:dyDescent="0.25">
      <c r="A71" s="9">
        <v>41944</v>
      </c>
      <c r="B71" s="14">
        <f>+[1]Data!H22</f>
        <v>53.013308175224786</v>
      </c>
      <c r="C71" s="14">
        <f t="shared" si="36"/>
        <v>48193.91652293162</v>
      </c>
      <c r="D71" s="21">
        <v>1.31149</v>
      </c>
      <c r="E71" s="18">
        <f t="shared" si="42"/>
        <v>1.4426390000000002</v>
      </c>
      <c r="F71" s="30">
        <f t="shared" si="43"/>
        <v>76479.065892598126</v>
      </c>
      <c r="G71" s="12">
        <f t="shared" si="44"/>
        <v>5353.5346124818698</v>
      </c>
      <c r="H71" s="13">
        <f t="shared" si="45"/>
        <v>24055.598636442399</v>
      </c>
      <c r="I71" s="13">
        <f t="shared" si="46"/>
        <v>32434.602207766035</v>
      </c>
      <c r="J71" s="13">
        <f t="shared" si="47"/>
        <v>292.7066087181563</v>
      </c>
      <c r="K71" s="13">
        <f t="shared" si="48"/>
        <v>4390.5991307723443</v>
      </c>
    </row>
    <row r="72" spans="1:12" ht="15.75" thickBot="1" x14ac:dyDescent="0.3">
      <c r="A72" s="9">
        <v>41974</v>
      </c>
      <c r="B72" s="14">
        <f>+[1]Data!H23</f>
        <v>59.305556539439998</v>
      </c>
      <c r="C72" s="14">
        <f t="shared" si="36"/>
        <v>53914.14230858181</v>
      </c>
      <c r="D72" s="22">
        <v>1.31149</v>
      </c>
      <c r="E72" s="18">
        <f t="shared" si="42"/>
        <v>1.4426390000000002</v>
      </c>
      <c r="F72" s="30">
        <f t="shared" si="43"/>
        <v>85556.508780501186</v>
      </c>
      <c r="G72" s="12">
        <f t="shared" si="44"/>
        <v>5988.9556146350833</v>
      </c>
      <c r="H72" s="13">
        <f t="shared" si="45"/>
        <v>26910.802478279053</v>
      </c>
      <c r="I72" s="13">
        <f t="shared" si="46"/>
        <v>36284.325601960183</v>
      </c>
      <c r="J72" s="13">
        <f t="shared" si="47"/>
        <v>327.44850171253739</v>
      </c>
      <c r="K72" s="13">
        <f t="shared" si="48"/>
        <v>4911.7275256880612</v>
      </c>
    </row>
    <row r="73" spans="1:12" ht="15.75" thickBot="1" x14ac:dyDescent="0.3">
      <c r="A73" s="10" t="s">
        <v>2</v>
      </c>
      <c r="B73" s="15">
        <f>SUM(B61:B72)</f>
        <v>2127.8425622180685</v>
      </c>
      <c r="C73" s="15">
        <f t="shared" si="36"/>
        <v>1934402.329289153</v>
      </c>
      <c r="D73" s="43">
        <f>AVERAGE(D66:D72)</f>
        <v>1.3103985714285713</v>
      </c>
      <c r="E73" s="43">
        <f>AVERAGE(E61:E72)</f>
        <v>1.4384370000000002</v>
      </c>
      <c r="F73" s="15">
        <f>SUM(F61:F72)</f>
        <v>3058487.5170105258</v>
      </c>
      <c r="G73" s="16">
        <f>SUM(G61:G72)</f>
        <v>214094.12619073677</v>
      </c>
      <c r="H73" s="7">
        <f t="shared" ref="H73:I73" si="49">SUM(H61:H72)</f>
        <v>965541.07638539257</v>
      </c>
      <c r="I73" s="7">
        <f t="shared" si="49"/>
        <v>1301856.6364162588</v>
      </c>
      <c r="J73" s="7">
        <f>SUM(J61:J72)</f>
        <v>11539.913560362744</v>
      </c>
      <c r="K73" s="7">
        <f>SUM(K61:K72)</f>
        <v>173098.70340544116</v>
      </c>
      <c r="L73" s="86"/>
    </row>
    <row r="74" spans="1:12" x14ac:dyDescent="0.25">
      <c r="A74" s="11">
        <v>42005</v>
      </c>
      <c r="B74" s="14">
        <f>+[1]Data!H25</f>
        <v>96.785207954734602</v>
      </c>
      <c r="C74" s="14">
        <f t="shared" si="36"/>
        <v>87986.552686122363</v>
      </c>
      <c r="D74" s="23">
        <v>1.3291599999999999</v>
      </c>
      <c r="E74" s="18">
        <f t="shared" ref="E74:E98" si="50">D74*1.1</f>
        <v>1.4620759999999999</v>
      </c>
      <c r="F74" s="30">
        <f t="shared" ref="F74:F84" si="51">B74*E74*1000</f>
        <v>141507.32970562656</v>
      </c>
      <c r="G74" s="12">
        <f t="shared" ref="G74:G85" si="52">F74*$L$1</f>
        <v>9905.5130793938606</v>
      </c>
      <c r="H74" s="13">
        <f t="shared" ref="H74:H85" si="53">B74*$L$35*1000</f>
        <v>43949.671406317524</v>
      </c>
      <c r="I74" s="13">
        <f t="shared" ref="I74:I85" si="54">+B74*$M$35*1000</f>
        <v>31971.057743687481</v>
      </c>
      <c r="J74" s="13">
        <f t="shared" ref="J74:J85" si="55">IF((F74-G74-H74-I74)&lt;0,0,(F74-G74-H74-I74)*$N$1)</f>
        <v>1113.6217495245537</v>
      </c>
      <c r="K74" s="13">
        <f t="shared" ref="K74:K85" si="56">IF((F74-G74-H74-I74)&lt;0,0,(F74-G74-H74-I74)*$M$1)</f>
        <v>16704.326242868305</v>
      </c>
    </row>
    <row r="75" spans="1:12" x14ac:dyDescent="0.25">
      <c r="A75" s="11">
        <v>42036</v>
      </c>
      <c r="B75" s="14">
        <f>+[1]Data!H26</f>
        <v>91.417387794428635</v>
      </c>
      <c r="C75" s="14">
        <f t="shared" si="36"/>
        <v>83106.716176753296</v>
      </c>
      <c r="D75" s="24">
        <v>1.3291599999999999</v>
      </c>
      <c r="E75" s="18">
        <f t="shared" si="50"/>
        <v>1.4620759999999999</v>
      </c>
      <c r="F75" s="30">
        <f t="shared" si="51"/>
        <v>133659.16867692705</v>
      </c>
      <c r="G75" s="12">
        <f t="shared" si="52"/>
        <v>9356.1418073848945</v>
      </c>
      <c r="H75" s="13">
        <f t="shared" si="53"/>
        <v>41512.171532121996</v>
      </c>
      <c r="I75" s="13">
        <f t="shared" si="54"/>
        <v>30197.905710133611</v>
      </c>
      <c r="J75" s="13">
        <f t="shared" si="55"/>
        <v>1051.8589925457311</v>
      </c>
      <c r="K75" s="13">
        <f t="shared" si="56"/>
        <v>15777.884888185965</v>
      </c>
    </row>
    <row r="76" spans="1:12" x14ac:dyDescent="0.25">
      <c r="A76" s="11">
        <v>42064</v>
      </c>
      <c r="B76" s="14">
        <f>+[1]Data!H27</f>
        <v>60.918290480685343</v>
      </c>
      <c r="C76" s="14">
        <f>B76/1.1*1000</f>
        <v>55380.264073350307</v>
      </c>
      <c r="D76" s="24">
        <v>1.3291599999999999</v>
      </c>
      <c r="E76" s="18">
        <f t="shared" si="50"/>
        <v>1.4620759999999999</v>
      </c>
      <c r="F76" s="30">
        <f t="shared" si="51"/>
        <v>89067.170472838494</v>
      </c>
      <c r="G76" s="12">
        <f t="shared" si="52"/>
        <v>6234.701933098695</v>
      </c>
      <c r="H76" s="13">
        <f t="shared" si="53"/>
        <v>27662.686332325538</v>
      </c>
      <c r="I76" s="13">
        <f t="shared" si="54"/>
        <v>20123.138894484789</v>
      </c>
      <c r="J76" s="13">
        <f t="shared" si="55"/>
        <v>700.93286625858946</v>
      </c>
      <c r="K76" s="13">
        <f t="shared" si="56"/>
        <v>10513.992993878843</v>
      </c>
    </row>
    <row r="77" spans="1:12" x14ac:dyDescent="0.25">
      <c r="A77" s="11">
        <v>42095</v>
      </c>
      <c r="B77" s="14">
        <f>+[1]Data!H28</f>
        <v>91.472376926890064</v>
      </c>
      <c r="C77" s="14">
        <f t="shared" si="36"/>
        <v>83156.706297172772</v>
      </c>
      <c r="D77" s="24">
        <v>1.3291599999999999</v>
      </c>
      <c r="E77" s="18">
        <f t="shared" si="50"/>
        <v>1.4620759999999999</v>
      </c>
      <c r="F77" s="30">
        <f t="shared" si="51"/>
        <v>133739.56696775972</v>
      </c>
      <c r="G77" s="12">
        <f t="shared" si="52"/>
        <v>9361.7696877431808</v>
      </c>
      <c r="H77" s="13">
        <f t="shared" si="53"/>
        <v>41537.141817909142</v>
      </c>
      <c r="I77" s="13">
        <f t="shared" si="54"/>
        <v>30216.070270259595</v>
      </c>
      <c r="J77" s="13">
        <f t="shared" si="55"/>
        <v>1052.4917038369558</v>
      </c>
      <c r="K77" s="13">
        <f t="shared" si="56"/>
        <v>15787.375557554336</v>
      </c>
    </row>
    <row r="78" spans="1:12" x14ac:dyDescent="0.25">
      <c r="A78" s="11">
        <v>42125</v>
      </c>
      <c r="B78" s="14">
        <f>+[1]Data!H29</f>
        <v>93.438969187543734</v>
      </c>
      <c r="C78" s="14">
        <f t="shared" si="36"/>
        <v>84944.517443221572</v>
      </c>
      <c r="D78" s="24">
        <v>1.3291599999999999</v>
      </c>
      <c r="E78" s="18">
        <f t="shared" si="50"/>
        <v>1.4620759999999999</v>
      </c>
      <c r="F78" s="30">
        <f t="shared" si="51"/>
        <v>136614.87431384719</v>
      </c>
      <c r="G78" s="12">
        <f t="shared" si="52"/>
        <v>9563.0412019693049</v>
      </c>
      <c r="H78" s="13">
        <f t="shared" si="53"/>
        <v>42430.161376087482</v>
      </c>
      <c r="I78" s="13">
        <f t="shared" si="54"/>
        <v>30865.694691721324</v>
      </c>
      <c r="J78" s="13">
        <f t="shared" si="55"/>
        <v>1075.1195408813819</v>
      </c>
      <c r="K78" s="13">
        <f t="shared" si="56"/>
        <v>16126.793113220727</v>
      </c>
    </row>
    <row r="79" spans="1:12" x14ac:dyDescent="0.25">
      <c r="A79" s="11">
        <v>42156</v>
      </c>
      <c r="B79" s="14">
        <f>+[1]Data!H30</f>
        <v>109.19062152454001</v>
      </c>
      <c r="C79" s="14">
        <f t="shared" si="36"/>
        <v>99264.20138594546</v>
      </c>
      <c r="D79" s="24">
        <v>1.3291599999999999</v>
      </c>
      <c r="E79" s="18">
        <f>D79*1.1</f>
        <v>1.4620759999999999</v>
      </c>
      <c r="F79" s="30">
        <f t="shared" si="51"/>
        <v>159644.98715611335</v>
      </c>
      <c r="G79" s="12">
        <f t="shared" si="52"/>
        <v>11175.149100927936</v>
      </c>
      <c r="H79" s="13">
        <f t="shared" si="53"/>
        <v>49582.906707185102</v>
      </c>
      <c r="I79" s="13">
        <f t="shared" si="54"/>
        <v>36068.938008201301</v>
      </c>
      <c r="J79" s="13">
        <f t="shared" si="55"/>
        <v>1256.3598667959805</v>
      </c>
      <c r="K79" s="13">
        <f t="shared" si="56"/>
        <v>18845.398001939706</v>
      </c>
    </row>
    <row r="80" spans="1:12" x14ac:dyDescent="0.25">
      <c r="A80" s="11">
        <v>42186</v>
      </c>
      <c r="B80" s="14">
        <f>+[1]Data!H31</f>
        <v>194.57370104875443</v>
      </c>
      <c r="C80" s="14">
        <f>B80/1.1*1000</f>
        <v>176885.1827715949</v>
      </c>
      <c r="D80" s="24">
        <v>1.3250999999999999</v>
      </c>
      <c r="E80" s="18">
        <f t="shared" si="50"/>
        <v>1.4576100000000001</v>
      </c>
      <c r="F80" s="30">
        <f t="shared" si="51"/>
        <v>283612.57238567498</v>
      </c>
      <c r="G80" s="12">
        <f t="shared" si="52"/>
        <v>19852.880066997252</v>
      </c>
      <c r="H80" s="13">
        <f t="shared" si="53"/>
        <v>88354.929499177582</v>
      </c>
      <c r="I80" s="13">
        <f t="shared" si="54"/>
        <v>64273.53066743505</v>
      </c>
      <c r="J80" s="13">
        <f t="shared" si="55"/>
        <v>2222.6246430413016</v>
      </c>
      <c r="K80" s="13">
        <f t="shared" si="56"/>
        <v>33339.369645619525</v>
      </c>
    </row>
    <row r="81" spans="1:11" x14ac:dyDescent="0.25">
      <c r="A81" s="11">
        <v>42217</v>
      </c>
      <c r="B81" s="14">
        <f>+[1]Data!H32</f>
        <v>271.9487760705681</v>
      </c>
      <c r="C81" s="14">
        <f t="shared" si="36"/>
        <v>247226.16006415279</v>
      </c>
      <c r="D81" s="24">
        <v>1.3250999999999999</v>
      </c>
      <c r="E81" s="18">
        <f t="shared" si="50"/>
        <v>1.4576100000000001</v>
      </c>
      <c r="F81" s="30">
        <f t="shared" si="51"/>
        <v>396395.25548822084</v>
      </c>
      <c r="G81" s="12">
        <f t="shared" si="52"/>
        <v>27747.667884175462</v>
      </c>
      <c r="H81" s="13">
        <f t="shared" si="53"/>
        <v>123490.55811546683</v>
      </c>
      <c r="I81" s="13">
        <f t="shared" si="54"/>
        <v>89832.839199390757</v>
      </c>
      <c r="J81" s="13">
        <f t="shared" si="55"/>
        <v>3106.483805783756</v>
      </c>
      <c r="K81" s="13">
        <f t="shared" si="56"/>
        <v>46597.257086756341</v>
      </c>
    </row>
    <row r="82" spans="1:11" x14ac:dyDescent="0.25">
      <c r="A82" s="11">
        <v>42248</v>
      </c>
      <c r="B82" s="14">
        <f>+[1]Data!H33</f>
        <v>159.35601914404356</v>
      </c>
      <c r="C82" s="14">
        <f>B82/1.1*1000</f>
        <v>144869.10831276685</v>
      </c>
      <c r="D82" s="25">
        <v>1.3250999999999999</v>
      </c>
      <c r="E82" s="18">
        <f t="shared" si="50"/>
        <v>1.4576100000000001</v>
      </c>
      <c r="F82" s="30">
        <f t="shared" si="51"/>
        <v>232278.92706454935</v>
      </c>
      <c r="G82" s="12">
        <f t="shared" si="52"/>
        <v>16259.524894518456</v>
      </c>
      <c r="H82" s="13">
        <f t="shared" si="53"/>
        <v>72362.759000064223</v>
      </c>
      <c r="I82" s="13">
        <f t="shared" si="54"/>
        <v>52640.073803851912</v>
      </c>
      <c r="J82" s="13">
        <f t="shared" si="55"/>
        <v>1820.3313873222953</v>
      </c>
      <c r="K82" s="13">
        <f t="shared" si="56"/>
        <v>27304.970809834431</v>
      </c>
    </row>
    <row r="83" spans="1:11" x14ac:dyDescent="0.25">
      <c r="A83" s="11">
        <v>42278</v>
      </c>
      <c r="B83" s="14">
        <f>+[1]Data!H34</f>
        <v>132.26295730818606</v>
      </c>
      <c r="C83" s="14">
        <f t="shared" si="36"/>
        <v>120239.05209835095</v>
      </c>
      <c r="D83" s="26">
        <v>1.3250999999999999</v>
      </c>
      <c r="E83" s="18">
        <f t="shared" si="50"/>
        <v>1.4576100000000001</v>
      </c>
      <c r="F83" s="30">
        <f t="shared" si="51"/>
        <v>192787.80920198507</v>
      </c>
      <c r="G83" s="12">
        <f t="shared" si="52"/>
        <v>13495.146644138957</v>
      </c>
      <c r="H83" s="13">
        <f t="shared" si="53"/>
        <v>60059.937213145393</v>
      </c>
      <c r="I83" s="13">
        <f t="shared" si="54"/>
        <v>43690.4226876131</v>
      </c>
      <c r="J83" s="13">
        <f t="shared" si="55"/>
        <v>1510.8460531417522</v>
      </c>
      <c r="K83" s="13">
        <f t="shared" si="56"/>
        <v>22662.690797126281</v>
      </c>
    </row>
    <row r="84" spans="1:11" x14ac:dyDescent="0.25">
      <c r="A84" s="11">
        <v>42309</v>
      </c>
      <c r="B84" s="14">
        <f>+[1]Data!H35</f>
        <v>168.47357038655909</v>
      </c>
      <c r="C84" s="14">
        <f t="shared" si="36"/>
        <v>153157.79126050824</v>
      </c>
      <c r="D84" s="26">
        <v>1.3250999999999999</v>
      </c>
      <c r="E84" s="18">
        <f t="shared" si="50"/>
        <v>1.4576100000000001</v>
      </c>
      <c r="F84" s="30">
        <f t="shared" si="51"/>
        <v>245568.76093115241</v>
      </c>
      <c r="G84" s="12">
        <f t="shared" si="52"/>
        <v>17189.81326518067</v>
      </c>
      <c r="H84" s="13">
        <f t="shared" si="53"/>
        <v>76502.992715594708</v>
      </c>
      <c r="I84" s="13">
        <f t="shared" si="54"/>
        <v>55651.874505792068</v>
      </c>
      <c r="J84" s="13">
        <f t="shared" si="55"/>
        <v>1924.4816088916991</v>
      </c>
      <c r="K84" s="13">
        <f t="shared" si="56"/>
        <v>28867.224133375483</v>
      </c>
    </row>
    <row r="85" spans="1:11" ht="15.75" thickBot="1" x14ac:dyDescent="0.3">
      <c r="A85" s="11">
        <v>42339</v>
      </c>
      <c r="B85" s="14">
        <f>+[1]Data!H36</f>
        <v>78.592866164750646</v>
      </c>
      <c r="C85" s="14">
        <f t="shared" si="36"/>
        <v>71448.060149773315</v>
      </c>
      <c r="D85" s="27">
        <v>1.3250999999999999</v>
      </c>
      <c r="E85" s="18">
        <f t="shared" si="50"/>
        <v>1.4576100000000001</v>
      </c>
      <c r="F85" s="30">
        <f>B85*E85*1000</f>
        <v>114557.74765040219</v>
      </c>
      <c r="G85" s="12">
        <f t="shared" si="52"/>
        <v>8019.0423355281537</v>
      </c>
      <c r="H85" s="13">
        <f t="shared" si="53"/>
        <v>35688.621389716303</v>
      </c>
      <c r="I85" s="13">
        <f t="shared" si="54"/>
        <v>25961.581480202083</v>
      </c>
      <c r="J85" s="13">
        <f t="shared" si="55"/>
        <v>897.77004889911291</v>
      </c>
      <c r="K85" s="13">
        <f t="shared" si="56"/>
        <v>13466.550733486692</v>
      </c>
    </row>
    <row r="86" spans="1:11" ht="15.75" thickBot="1" x14ac:dyDescent="0.3">
      <c r="A86" s="10" t="s">
        <v>3</v>
      </c>
      <c r="B86" s="15">
        <f>SUM(B74:B85)</f>
        <v>1548.4307439916843</v>
      </c>
      <c r="C86" s="15">
        <f t="shared" si="36"/>
        <v>1407664.3127197127</v>
      </c>
      <c r="D86" s="43">
        <f>AVERAGE(D79:D85)</f>
        <v>1.32568</v>
      </c>
      <c r="E86" s="43">
        <f>AVERAGE(E74:E85)</f>
        <v>1.4598430000000002</v>
      </c>
      <c r="F86" s="16">
        <f>SUM(F74:F85)</f>
        <v>2259434.1700150971</v>
      </c>
      <c r="G86" s="16">
        <f>SUM(G74:G85)</f>
        <v>158160.39190105684</v>
      </c>
      <c r="H86" s="7">
        <f t="shared" ref="H86:I86" si="57">SUM(H74:H85)</f>
        <v>703134.53710511187</v>
      </c>
      <c r="I86" s="7">
        <f t="shared" si="57"/>
        <v>511493.12766277307</v>
      </c>
      <c r="J86" s="7">
        <f>SUM(J74:J85)</f>
        <v>17732.922266923113</v>
      </c>
      <c r="K86" s="102">
        <f>SUM(K74:K85)</f>
        <v>265993.83400384663</v>
      </c>
    </row>
    <row r="87" spans="1:11" outlineLevel="1" x14ac:dyDescent="0.25">
      <c r="A87" s="11">
        <v>42370</v>
      </c>
      <c r="B87" s="14">
        <f>SUM([3]Data!H38,[3]Data!I38)</f>
        <v>187.90147962083091</v>
      </c>
      <c r="C87" s="14">
        <f t="shared" si="36"/>
        <v>170819.52692802809</v>
      </c>
      <c r="D87" s="100">
        <f>'[4]2016'!K5</f>
        <v>1.3368800000000001</v>
      </c>
      <c r="E87" s="18">
        <f t="shared" si="50"/>
        <v>1.4705680000000001</v>
      </c>
      <c r="F87" s="138">
        <f t="shared" ref="F87:F98" si="58">B87*E87*1000</f>
        <v>276321.90308304608</v>
      </c>
      <c r="G87" s="12">
        <f t="shared" ref="G87:G98" si="59">F87*$L$1</f>
        <v>19342.533215813226</v>
      </c>
      <c r="H87" s="13">
        <f>B87*$L$48*1000</f>
        <v>86381.005840757207</v>
      </c>
      <c r="I87" s="13">
        <f>+B87*$M$48*1000</f>
        <v>53768.529810521293</v>
      </c>
      <c r="J87" s="13">
        <f t="shared" ref="J87:J98" si="60">IF((F87-G87-H87-I87)&lt;0,0,(F87-G87-H87-I87)*$N$1)</f>
        <v>2336.5966843190872</v>
      </c>
      <c r="K87" s="13">
        <f t="shared" ref="K87:K98" si="61">IF((F87-G87-H87-I87)&lt;0,0,(F87-G87-H87-I87)*$M$1)</f>
        <v>35048.950264786305</v>
      </c>
    </row>
    <row r="88" spans="1:11" outlineLevel="1" x14ac:dyDescent="0.25">
      <c r="A88" s="11">
        <v>42401</v>
      </c>
      <c r="B88" s="14">
        <f>SUM([3]Data!H39,[3]Data!I39)</f>
        <v>151.44970842457735</v>
      </c>
      <c r="C88" s="14">
        <f t="shared" si="36"/>
        <v>137681.55311325213</v>
      </c>
      <c r="D88" s="100">
        <f>'[4]2016'!K6</f>
        <v>1.3368800000000001</v>
      </c>
      <c r="E88" s="18">
        <f t="shared" si="50"/>
        <v>1.4705680000000001</v>
      </c>
      <c r="F88" s="138">
        <f t="shared" si="58"/>
        <v>222717.0948185139</v>
      </c>
      <c r="G88" s="12">
        <f t="shared" si="59"/>
        <v>15590.196637295974</v>
      </c>
      <c r="H88" s="13">
        <f t="shared" ref="H88:H98" si="62">B88*$L$48*1000</f>
        <v>69623.603679989697</v>
      </c>
      <c r="I88" s="13">
        <f t="shared" ref="I88:I98" si="63">+B88*$M$48*1000</f>
        <v>43337.754330907788</v>
      </c>
      <c r="J88" s="13">
        <f t="shared" si="60"/>
        <v>1883.3108034064089</v>
      </c>
      <c r="K88" s="13">
        <f t="shared" si="61"/>
        <v>28249.662051096133</v>
      </c>
    </row>
    <row r="89" spans="1:11" outlineLevel="1" x14ac:dyDescent="0.25">
      <c r="A89" s="11">
        <v>42430</v>
      </c>
      <c r="B89" s="14">
        <f>SUM([3]Data!H40,[3]Data!I40)</f>
        <v>160.35320130883986</v>
      </c>
      <c r="C89" s="14">
        <f t="shared" si="36"/>
        <v>145775.63755349076</v>
      </c>
      <c r="D89" s="100">
        <f>'[4]2016'!K7</f>
        <v>1.3368800000000001</v>
      </c>
      <c r="E89" s="18">
        <f t="shared" si="50"/>
        <v>1.4705680000000001</v>
      </c>
      <c r="F89" s="138">
        <f t="shared" si="58"/>
        <v>235810.28654233803</v>
      </c>
      <c r="G89" s="12">
        <f>F89*$L$1</f>
        <v>16506.720057963663</v>
      </c>
      <c r="H89" s="13">
        <f t="shared" si="62"/>
        <v>73716.667089551891</v>
      </c>
      <c r="I89" s="13">
        <f t="shared" si="63"/>
        <v>45885.513526478055</v>
      </c>
      <c r="J89" s="13">
        <f t="shared" si="60"/>
        <v>1994.0277173668885</v>
      </c>
      <c r="K89" s="13">
        <f t="shared" si="61"/>
        <v>29910.415760503325</v>
      </c>
    </row>
    <row r="90" spans="1:11" outlineLevel="1" x14ac:dyDescent="0.25">
      <c r="A90" s="11">
        <v>42461</v>
      </c>
      <c r="B90" s="14">
        <f>SUM([3]Data!H41,[3]Data!I41)</f>
        <v>163.52000557061695</v>
      </c>
      <c r="C90" s="14">
        <f t="shared" si="36"/>
        <v>148654.55051874268</v>
      </c>
      <c r="D90" s="100">
        <f>'[4]2016'!K8</f>
        <v>1.3368800000000001</v>
      </c>
      <c r="E90" s="18">
        <f t="shared" si="50"/>
        <v>1.4705680000000001</v>
      </c>
      <c r="F90" s="138">
        <f t="shared" si="58"/>
        <v>240467.28755197104</v>
      </c>
      <c r="G90" s="12">
        <f t="shared" si="59"/>
        <v>16832.710128637973</v>
      </c>
      <c r="H90" s="13">
        <f t="shared" si="62"/>
        <v>75172.492440076574</v>
      </c>
      <c r="I90" s="13">
        <f t="shared" si="63"/>
        <v>46791.703353705845</v>
      </c>
      <c r="J90" s="13">
        <f t="shared" si="60"/>
        <v>2033.4076325910132</v>
      </c>
      <c r="K90" s="13">
        <f t="shared" si="61"/>
        <v>30501.114488865194</v>
      </c>
    </row>
    <row r="91" spans="1:11" outlineLevel="1" x14ac:dyDescent="0.25">
      <c r="A91" s="11">
        <v>42491</v>
      </c>
      <c r="B91" s="14">
        <f>SUM([3]Data!H42,[3]Data!I42)</f>
        <v>123.98006884436262</v>
      </c>
      <c r="C91" s="14">
        <f t="shared" si="36"/>
        <v>112709.15349487509</v>
      </c>
      <c r="D91" s="100">
        <f>'[4]2016'!K9</f>
        <v>1.3368800000000001</v>
      </c>
      <c r="E91" s="18">
        <f t="shared" si="50"/>
        <v>1.4705680000000001</v>
      </c>
      <c r="F91" s="138">
        <f t="shared" si="58"/>
        <v>182321.12188031667</v>
      </c>
      <c r="G91" s="12">
        <f t="shared" si="59"/>
        <v>12762.478531622168</v>
      </c>
      <c r="H91" s="13">
        <f t="shared" si="62"/>
        <v>56995.416281943435</v>
      </c>
      <c r="I91" s="13">
        <f t="shared" si="63"/>
        <v>35477.240738180808</v>
      </c>
      <c r="J91" s="13">
        <f t="shared" si="60"/>
        <v>1541.7197265714046</v>
      </c>
      <c r="K91" s="13">
        <f t="shared" si="61"/>
        <v>23125.795898571068</v>
      </c>
    </row>
    <row r="92" spans="1:11" outlineLevel="1" x14ac:dyDescent="0.25">
      <c r="A92" s="11">
        <v>42522</v>
      </c>
      <c r="B92" s="14">
        <f>SUM([3]Data!H43,[3]Data!I43)</f>
        <v>27.36714645372971</v>
      </c>
      <c r="C92" s="14">
        <f t="shared" si="36"/>
        <v>24879.22404884519</v>
      </c>
      <c r="D92" s="100">
        <f>'[4]2016'!K10</f>
        <v>1.3368800000000001</v>
      </c>
      <c r="E92" s="18">
        <f t="shared" si="50"/>
        <v>1.4705680000000001</v>
      </c>
      <c r="F92" s="138">
        <f t="shared" si="58"/>
        <v>40245.249826168394</v>
      </c>
      <c r="G92" s="12">
        <f t="shared" si="59"/>
        <v>2817.1674878317876</v>
      </c>
      <c r="H92" s="13">
        <f t="shared" si="62"/>
        <v>12581.069837421381</v>
      </c>
      <c r="I92" s="13">
        <f t="shared" si="63"/>
        <v>7831.1849001700857</v>
      </c>
      <c r="J92" s="13">
        <f t="shared" si="60"/>
        <v>340.31655201490275</v>
      </c>
      <c r="K92" s="13">
        <f t="shared" si="61"/>
        <v>5104.7482802235418</v>
      </c>
    </row>
    <row r="93" spans="1:11" outlineLevel="1" x14ac:dyDescent="0.25">
      <c r="A93" s="11">
        <v>42552</v>
      </c>
      <c r="B93" s="14">
        <f>SUM([3]Data!H44,[3]Data!I44)</f>
        <v>164.37781205285128</v>
      </c>
      <c r="C93" s="14">
        <f t="shared" si="36"/>
        <v>149434.37459350115</v>
      </c>
      <c r="D93" s="100">
        <f>'[4]2016'!K11</f>
        <v>1.3361799999999999</v>
      </c>
      <c r="E93" s="18">
        <f t="shared" si="50"/>
        <v>1.4697979999999999</v>
      </c>
      <c r="F93" s="138">
        <f t="shared" si="58"/>
        <v>241602.17939965671</v>
      </c>
      <c r="G93" s="12">
        <f t="shared" si="59"/>
        <v>16912.152557975973</v>
      </c>
      <c r="H93" s="13">
        <f t="shared" si="62"/>
        <v>75566.838386163043</v>
      </c>
      <c r="I93" s="13">
        <f t="shared" si="63"/>
        <v>47037.167058966435</v>
      </c>
      <c r="J93" s="13">
        <f t="shared" si="60"/>
        <v>2041.7204279310251</v>
      </c>
      <c r="K93" s="13">
        <f t="shared" si="61"/>
        <v>30625.806418965374</v>
      </c>
    </row>
    <row r="94" spans="1:11" outlineLevel="1" x14ac:dyDescent="0.25">
      <c r="A94" s="11">
        <v>42583</v>
      </c>
      <c r="B94" s="14">
        <f>SUM([3]Data!H45,[3]Data!I45)</f>
        <v>77.235676453769273</v>
      </c>
      <c r="C94" s="14">
        <f t="shared" si="36"/>
        <v>70214.251321608433</v>
      </c>
      <c r="D94" s="100">
        <f>'[4]2016'!K12</f>
        <v>1.3361799999999999</v>
      </c>
      <c r="E94" s="18">
        <f t="shared" si="50"/>
        <v>1.4697979999999999</v>
      </c>
      <c r="F94" s="138">
        <f t="shared" si="58"/>
        <v>113520.84278039716</v>
      </c>
      <c r="G94" s="12">
        <f t="shared" si="59"/>
        <v>7946.458994627802</v>
      </c>
      <c r="H94" s="13">
        <f t="shared" si="62"/>
        <v>35506.348498855819</v>
      </c>
      <c r="I94" s="13">
        <f t="shared" si="63"/>
        <v>22101.203142308212</v>
      </c>
      <c r="J94" s="13">
        <f t="shared" si="60"/>
        <v>959.33664289210662</v>
      </c>
      <c r="K94" s="13">
        <f t="shared" si="61"/>
        <v>14390.049643381599</v>
      </c>
    </row>
    <row r="95" spans="1:11" outlineLevel="1" x14ac:dyDescent="0.25">
      <c r="A95" s="11">
        <v>42614</v>
      </c>
      <c r="B95" s="14">
        <f>SUM([3]Data!H46,[3]Data!I46)</f>
        <v>4.0724706727092466</v>
      </c>
      <c r="C95" s="14">
        <f t="shared" si="36"/>
        <v>3702.2460660993147</v>
      </c>
      <c r="D95" s="100">
        <f>'[4]2016'!K13</f>
        <v>1.3361799999999999</v>
      </c>
      <c r="E95" s="18">
        <f t="shared" si="50"/>
        <v>1.4697979999999999</v>
      </c>
      <c r="F95" s="138">
        <f t="shared" si="58"/>
        <v>5985.709249806705</v>
      </c>
      <c r="G95" s="12">
        <f t="shared" si="59"/>
        <v>418.99964748646937</v>
      </c>
      <c r="H95" s="13">
        <f t="shared" si="62"/>
        <v>1872.1731924382932</v>
      </c>
      <c r="I95" s="13">
        <f t="shared" si="63"/>
        <v>1165.3487838941187</v>
      </c>
      <c r="J95" s="13">
        <f t="shared" si="60"/>
        <v>50.58375251975648</v>
      </c>
      <c r="K95" s="13">
        <f t="shared" si="61"/>
        <v>758.75628779634724</v>
      </c>
    </row>
    <row r="96" spans="1:11" outlineLevel="1" x14ac:dyDescent="0.25">
      <c r="A96" s="11">
        <v>42644</v>
      </c>
      <c r="B96" s="14">
        <f>SUM([3]Data!H47,[3]Data!I47)</f>
        <v>149.04631036965094</v>
      </c>
      <c r="C96" s="14">
        <f t="shared" si="36"/>
        <v>135496.64579059175</v>
      </c>
      <c r="D96" s="100">
        <f>'[4]2016'!K14</f>
        <v>1.3361799999999999</v>
      </c>
      <c r="E96" s="18">
        <f t="shared" si="50"/>
        <v>1.4697979999999999</v>
      </c>
      <c r="F96" s="138">
        <f t="shared" si="58"/>
        <v>219067.96888869221</v>
      </c>
      <c r="G96" s="12">
        <f>F96*$L$1</f>
        <v>15334.757822208456</v>
      </c>
      <c r="H96" s="13">
        <f t="shared" si="62"/>
        <v>68518.727114679001</v>
      </c>
      <c r="I96" s="13">
        <f t="shared" si="63"/>
        <v>42650.015308183589</v>
      </c>
      <c r="J96" s="13">
        <f t="shared" si="60"/>
        <v>1851.2893728724232</v>
      </c>
      <c r="K96" s="13">
        <f t="shared" si="61"/>
        <v>27769.340593086348</v>
      </c>
    </row>
    <row r="97" spans="1:11" outlineLevel="1" x14ac:dyDescent="0.25">
      <c r="A97" s="11">
        <v>42675</v>
      </c>
      <c r="B97" s="14">
        <f>SUM([3]Data!H48,[3]Data!I48)</f>
        <v>246.42642630301333</v>
      </c>
      <c r="C97" s="14">
        <f t="shared" si="36"/>
        <v>224024.02391183027</v>
      </c>
      <c r="D97" s="100">
        <f>'[4]2016'!K15</f>
        <v>1.3361799999999999</v>
      </c>
      <c r="E97" s="18">
        <f t="shared" si="50"/>
        <v>1.4697979999999999</v>
      </c>
      <c r="F97" s="138">
        <f t="shared" si="58"/>
        <v>362197.06852731638</v>
      </c>
      <c r="G97" s="12">
        <f t="shared" si="59"/>
        <v>25353.794796912149</v>
      </c>
      <c r="H97" s="13">
        <f t="shared" si="62"/>
        <v>113285.76343705213</v>
      </c>
      <c r="I97" s="13">
        <f t="shared" si="63"/>
        <v>70515.605707369308</v>
      </c>
      <c r="J97" s="13">
        <f t="shared" si="60"/>
        <v>3060.8380917196555</v>
      </c>
      <c r="K97" s="13">
        <f t="shared" si="61"/>
        <v>45912.571375794825</v>
      </c>
    </row>
    <row r="98" spans="1:11" ht="15.75" outlineLevel="1" thickBot="1" x14ac:dyDescent="0.3">
      <c r="A98" s="11">
        <v>42705</v>
      </c>
      <c r="B98" s="14">
        <f>SUM([3]Data!H49,[3]Data!I49)</f>
        <v>185.1645732255447</v>
      </c>
      <c r="C98" s="14">
        <f t="shared" si="36"/>
        <v>168331.43020504061</v>
      </c>
      <c r="D98" s="100">
        <f>'[4]2016'!K16</f>
        <v>1.3361799999999999</v>
      </c>
      <c r="E98" s="18">
        <f t="shared" si="50"/>
        <v>1.4697979999999999</v>
      </c>
      <c r="F98" s="138">
        <f t="shared" si="58"/>
        <v>272154.51939775917</v>
      </c>
      <c r="G98" s="12">
        <f t="shared" si="59"/>
        <v>19050.816357843145</v>
      </c>
      <c r="H98" s="13">
        <f t="shared" si="62"/>
        <v>85122.810706829085</v>
      </c>
      <c r="I98" s="13">
        <f t="shared" si="63"/>
        <v>52985.356450734515</v>
      </c>
      <c r="J98" s="13">
        <f t="shared" si="60"/>
        <v>2299.9107176470484</v>
      </c>
      <c r="K98" s="13">
        <f t="shared" si="61"/>
        <v>34498.660764705724</v>
      </c>
    </row>
    <row r="99" spans="1:11" ht="15.75" outlineLevel="1" thickBot="1" x14ac:dyDescent="0.3">
      <c r="A99" s="10" t="s">
        <v>69</v>
      </c>
      <c r="B99" s="15">
        <f>SUM(B87:B98)</f>
        <v>1640.8948793004961</v>
      </c>
      <c r="C99" s="15">
        <f t="shared" si="36"/>
        <v>1491722.6175459055</v>
      </c>
      <c r="D99" s="43">
        <f>AVERAGE(D92:D98)</f>
        <v>1.3362800000000001</v>
      </c>
      <c r="E99" s="43">
        <f>AVERAGE(E87:E98)</f>
        <v>1.4701830000000005</v>
      </c>
      <c r="F99" s="139">
        <f>SUM(F87:F98)</f>
        <v>2412411.2319459822</v>
      </c>
      <c r="G99" s="16">
        <f>SUM(G87:G98)</f>
        <v>168868.78623621879</v>
      </c>
      <c r="H99" s="7">
        <f t="shared" ref="H99:I99" si="64">SUM(H87:H98)</f>
        <v>754342.9165057576</v>
      </c>
      <c r="I99" s="7">
        <f t="shared" si="64"/>
        <v>469546.62311142008</v>
      </c>
      <c r="J99" s="7">
        <f>SUM(J87:J98)</f>
        <v>20393.058121851722</v>
      </c>
      <c r="K99" s="7">
        <f>SUM(K87:K98)</f>
        <v>305895.87182777573</v>
      </c>
    </row>
    <row r="100" spans="1:11" ht="15.75" thickBot="1" x14ac:dyDescent="0.3">
      <c r="A100" s="10" t="s">
        <v>79</v>
      </c>
      <c r="B100" s="15">
        <f>B60+B73+B86+B99</f>
        <v>7388.2510836899128</v>
      </c>
      <c r="C100" s="15">
        <f>B100/1.1*1000</f>
        <v>6716591.8942635562</v>
      </c>
      <c r="D100" s="16"/>
      <c r="E100" s="15"/>
      <c r="F100" s="15">
        <f>F60+F73+F86+F99</f>
        <v>10669536.018966855</v>
      </c>
      <c r="G100" s="15">
        <f>G60+G73+G86+G99</f>
        <v>746867.52132767998</v>
      </c>
      <c r="H100" s="15">
        <f t="shared" ref="H100:K100" si="65">H60+H73+H86+H99</f>
        <v>3334295.0051953136</v>
      </c>
      <c r="I100" s="15">
        <f t="shared" si="65"/>
        <v>3363898.1058953274</v>
      </c>
      <c r="J100" s="15">
        <f t="shared" si="65"/>
        <v>64489.507730970712</v>
      </c>
      <c r="K100" s="15">
        <f t="shared" si="65"/>
        <v>967342.61596456054</v>
      </c>
    </row>
    <row r="103" spans="1:11" ht="39" hidden="1" outlineLevel="1" thickBot="1" x14ac:dyDescent="0.3">
      <c r="A103" s="1" t="s">
        <v>0</v>
      </c>
      <c r="B103" s="2" t="s">
        <v>71</v>
      </c>
      <c r="C103" s="2" t="s">
        <v>72</v>
      </c>
      <c r="D103" s="28" t="s">
        <v>73</v>
      </c>
      <c r="E103" s="29" t="s">
        <v>29</v>
      </c>
      <c r="F103" s="2" t="s">
        <v>74</v>
      </c>
      <c r="G103" s="2" t="s">
        <v>37</v>
      </c>
      <c r="H103" s="2" t="s">
        <v>38</v>
      </c>
      <c r="I103" s="2" t="s">
        <v>58</v>
      </c>
      <c r="J103" s="2" t="s">
        <v>75</v>
      </c>
    </row>
    <row r="104" spans="1:11" hidden="1" outlineLevel="1" x14ac:dyDescent="0.25">
      <c r="A104" s="11">
        <v>42370</v>
      </c>
      <c r="B104" s="14"/>
      <c r="C104" s="14">
        <f t="shared" ref="C104:C116" si="66">B104/1.1*1000</f>
        <v>0</v>
      </c>
      <c r="D104" s="90">
        <v>1.5</v>
      </c>
      <c r="E104" s="12">
        <f t="shared" ref="E104:E115" si="67">C104*D104</f>
        <v>0</v>
      </c>
      <c r="F104" s="12">
        <f t="shared" ref="F104:F115" si="68">E104*$L$1</f>
        <v>0</v>
      </c>
      <c r="G104" s="13">
        <f t="shared" ref="G104:G115" si="69">B104*$L$35*1000</f>
        <v>0</v>
      </c>
      <c r="H104" s="13">
        <f t="shared" ref="H104:H115" si="70">+B104*$M$35*1000</f>
        <v>0</v>
      </c>
      <c r="I104" s="13">
        <f t="shared" ref="I104:I115" si="71">IF((E104-F104-G104-H104)&lt;0,0,(E104-F104-G104-H104)*$N$1)</f>
        <v>0</v>
      </c>
      <c r="J104" s="13">
        <f t="shared" ref="J104:J115" si="72">IF((E104-F104-G104-H104)&lt;0,0,(E104-F104-G104-H104)*$M$1)</f>
        <v>0</v>
      </c>
    </row>
    <row r="105" spans="1:11" hidden="1" outlineLevel="1" x14ac:dyDescent="0.25">
      <c r="A105" s="11">
        <v>42401</v>
      </c>
      <c r="B105" s="14"/>
      <c r="C105" s="14">
        <f t="shared" si="66"/>
        <v>0</v>
      </c>
      <c r="D105" s="91">
        <v>1.5</v>
      </c>
      <c r="E105" s="12">
        <f t="shared" si="67"/>
        <v>0</v>
      </c>
      <c r="F105" s="12">
        <f t="shared" si="68"/>
        <v>0</v>
      </c>
      <c r="G105" s="13">
        <f t="shared" si="69"/>
        <v>0</v>
      </c>
      <c r="H105" s="13">
        <f t="shared" si="70"/>
        <v>0</v>
      </c>
      <c r="I105" s="13">
        <f t="shared" si="71"/>
        <v>0</v>
      </c>
      <c r="J105" s="13">
        <f t="shared" si="72"/>
        <v>0</v>
      </c>
    </row>
    <row r="106" spans="1:11" hidden="1" outlineLevel="1" x14ac:dyDescent="0.25">
      <c r="A106" s="11">
        <v>42430</v>
      </c>
      <c r="B106" s="14"/>
      <c r="C106" s="14">
        <f t="shared" si="66"/>
        <v>0</v>
      </c>
      <c r="D106" s="91">
        <v>1.5</v>
      </c>
      <c r="E106" s="12">
        <f t="shared" si="67"/>
        <v>0</v>
      </c>
      <c r="F106" s="12">
        <f t="shared" si="68"/>
        <v>0</v>
      </c>
      <c r="G106" s="13">
        <f t="shared" si="69"/>
        <v>0</v>
      </c>
      <c r="H106" s="13">
        <f t="shared" si="70"/>
        <v>0</v>
      </c>
      <c r="I106" s="13">
        <f t="shared" si="71"/>
        <v>0</v>
      </c>
      <c r="J106" s="13">
        <f t="shared" si="72"/>
        <v>0</v>
      </c>
    </row>
    <row r="107" spans="1:11" hidden="1" outlineLevel="1" x14ac:dyDescent="0.25">
      <c r="A107" s="11">
        <v>42461</v>
      </c>
      <c r="B107" s="14"/>
      <c r="C107" s="14">
        <f t="shared" si="66"/>
        <v>0</v>
      </c>
      <c r="D107" s="91">
        <v>1.5</v>
      </c>
      <c r="E107" s="12">
        <f t="shared" si="67"/>
        <v>0</v>
      </c>
      <c r="F107" s="12">
        <f t="shared" si="68"/>
        <v>0</v>
      </c>
      <c r="G107" s="13">
        <f t="shared" si="69"/>
        <v>0</v>
      </c>
      <c r="H107" s="13">
        <f t="shared" si="70"/>
        <v>0</v>
      </c>
      <c r="I107" s="13">
        <f t="shared" si="71"/>
        <v>0</v>
      </c>
      <c r="J107" s="13">
        <f t="shared" si="72"/>
        <v>0</v>
      </c>
    </row>
    <row r="108" spans="1:11" hidden="1" outlineLevel="1" x14ac:dyDescent="0.25">
      <c r="A108" s="11">
        <v>42491</v>
      </c>
      <c r="B108" s="14"/>
      <c r="C108" s="14">
        <f t="shared" si="66"/>
        <v>0</v>
      </c>
      <c r="D108" s="91">
        <v>1.5</v>
      </c>
      <c r="E108" s="12">
        <f t="shared" si="67"/>
        <v>0</v>
      </c>
      <c r="F108" s="12">
        <f t="shared" si="68"/>
        <v>0</v>
      </c>
      <c r="G108" s="13">
        <f t="shared" si="69"/>
        <v>0</v>
      </c>
      <c r="H108" s="13">
        <f t="shared" si="70"/>
        <v>0</v>
      </c>
      <c r="I108" s="13">
        <f t="shared" si="71"/>
        <v>0</v>
      </c>
      <c r="J108" s="13">
        <f t="shared" si="72"/>
        <v>0</v>
      </c>
    </row>
    <row r="109" spans="1:11" hidden="1" outlineLevel="1" x14ac:dyDescent="0.25">
      <c r="A109" s="11">
        <v>42522</v>
      </c>
      <c r="B109" s="14"/>
      <c r="C109" s="14">
        <f t="shared" si="66"/>
        <v>0</v>
      </c>
      <c r="D109" s="91">
        <v>1.5</v>
      </c>
      <c r="E109" s="12">
        <f t="shared" si="67"/>
        <v>0</v>
      </c>
      <c r="F109" s="12">
        <f t="shared" si="68"/>
        <v>0</v>
      </c>
      <c r="G109" s="13">
        <f t="shared" si="69"/>
        <v>0</v>
      </c>
      <c r="H109" s="13">
        <f t="shared" si="70"/>
        <v>0</v>
      </c>
      <c r="I109" s="13">
        <f t="shared" si="71"/>
        <v>0</v>
      </c>
      <c r="J109" s="13">
        <f t="shared" si="72"/>
        <v>0</v>
      </c>
    </row>
    <row r="110" spans="1:11" hidden="1" outlineLevel="1" x14ac:dyDescent="0.25">
      <c r="A110" s="11">
        <v>42552</v>
      </c>
      <c r="B110" s="14"/>
      <c r="C110" s="14">
        <f t="shared" si="66"/>
        <v>0</v>
      </c>
      <c r="D110" s="91">
        <v>1.5</v>
      </c>
      <c r="E110" s="12">
        <f t="shared" si="67"/>
        <v>0</v>
      </c>
      <c r="F110" s="12">
        <f t="shared" si="68"/>
        <v>0</v>
      </c>
      <c r="G110" s="13">
        <f t="shared" si="69"/>
        <v>0</v>
      </c>
      <c r="H110" s="13">
        <f t="shared" si="70"/>
        <v>0</v>
      </c>
      <c r="I110" s="13">
        <f t="shared" si="71"/>
        <v>0</v>
      </c>
      <c r="J110" s="13">
        <f t="shared" si="72"/>
        <v>0</v>
      </c>
    </row>
    <row r="111" spans="1:11" hidden="1" outlineLevel="1" x14ac:dyDescent="0.25">
      <c r="A111" s="11">
        <v>42583</v>
      </c>
      <c r="B111" s="14"/>
      <c r="C111" s="14">
        <f t="shared" si="66"/>
        <v>0</v>
      </c>
      <c r="D111" s="91">
        <v>1.5</v>
      </c>
      <c r="E111" s="12">
        <f t="shared" si="67"/>
        <v>0</v>
      </c>
      <c r="F111" s="12">
        <f t="shared" si="68"/>
        <v>0</v>
      </c>
      <c r="G111" s="13">
        <f t="shared" si="69"/>
        <v>0</v>
      </c>
      <c r="H111" s="13">
        <f t="shared" si="70"/>
        <v>0</v>
      </c>
      <c r="I111" s="13">
        <f t="shared" si="71"/>
        <v>0</v>
      </c>
      <c r="J111" s="13">
        <f t="shared" si="72"/>
        <v>0</v>
      </c>
    </row>
    <row r="112" spans="1:11" hidden="1" outlineLevel="1" x14ac:dyDescent="0.25">
      <c r="A112" s="11">
        <v>42614</v>
      </c>
      <c r="B112" s="14"/>
      <c r="C112" s="14">
        <f t="shared" si="66"/>
        <v>0</v>
      </c>
      <c r="D112" s="92">
        <v>1.5</v>
      </c>
      <c r="E112" s="12">
        <f t="shared" si="67"/>
        <v>0</v>
      </c>
      <c r="F112" s="12">
        <f t="shared" si="68"/>
        <v>0</v>
      </c>
      <c r="G112" s="13">
        <f t="shared" si="69"/>
        <v>0</v>
      </c>
      <c r="H112" s="13">
        <f t="shared" si="70"/>
        <v>0</v>
      </c>
      <c r="I112" s="13">
        <f t="shared" si="71"/>
        <v>0</v>
      </c>
      <c r="J112" s="13">
        <f t="shared" si="72"/>
        <v>0</v>
      </c>
    </row>
    <row r="113" spans="1:23" hidden="1" outlineLevel="1" x14ac:dyDescent="0.25">
      <c r="A113" s="11">
        <v>42644</v>
      </c>
      <c r="B113" s="14"/>
      <c r="C113" s="14">
        <f t="shared" si="66"/>
        <v>0</v>
      </c>
      <c r="D113" s="93">
        <v>1.5</v>
      </c>
      <c r="E113" s="12">
        <f t="shared" si="67"/>
        <v>0</v>
      </c>
      <c r="F113" s="12">
        <f t="shared" si="68"/>
        <v>0</v>
      </c>
      <c r="G113" s="13">
        <f t="shared" si="69"/>
        <v>0</v>
      </c>
      <c r="H113" s="13">
        <f t="shared" si="70"/>
        <v>0</v>
      </c>
      <c r="I113" s="13">
        <f t="shared" si="71"/>
        <v>0</v>
      </c>
      <c r="J113" s="13">
        <f t="shared" si="72"/>
        <v>0</v>
      </c>
    </row>
    <row r="114" spans="1:23" hidden="1" outlineLevel="1" x14ac:dyDescent="0.25">
      <c r="A114" s="11">
        <v>42675</v>
      </c>
      <c r="B114" s="14"/>
      <c r="C114" s="14">
        <f t="shared" si="66"/>
        <v>0</v>
      </c>
      <c r="D114" s="93">
        <v>1.5</v>
      </c>
      <c r="E114" s="12">
        <f t="shared" si="67"/>
        <v>0</v>
      </c>
      <c r="F114" s="12">
        <f t="shared" si="68"/>
        <v>0</v>
      </c>
      <c r="G114" s="13">
        <f t="shared" si="69"/>
        <v>0</v>
      </c>
      <c r="H114" s="13">
        <f t="shared" si="70"/>
        <v>0</v>
      </c>
      <c r="I114" s="13">
        <f t="shared" si="71"/>
        <v>0</v>
      </c>
      <c r="J114" s="13">
        <f t="shared" si="72"/>
        <v>0</v>
      </c>
    </row>
    <row r="115" spans="1:23" ht="15.75" hidden="1" outlineLevel="1" thickBot="1" x14ac:dyDescent="0.3">
      <c r="A115" s="11">
        <v>42705</v>
      </c>
      <c r="B115" s="14"/>
      <c r="C115" s="14">
        <f t="shared" si="66"/>
        <v>0</v>
      </c>
      <c r="D115" s="94">
        <v>1.5</v>
      </c>
      <c r="E115" s="12">
        <f t="shared" si="67"/>
        <v>0</v>
      </c>
      <c r="F115" s="12">
        <f t="shared" si="68"/>
        <v>0</v>
      </c>
      <c r="G115" s="13">
        <f t="shared" si="69"/>
        <v>0</v>
      </c>
      <c r="H115" s="13">
        <f t="shared" si="70"/>
        <v>0</v>
      </c>
      <c r="I115" s="13">
        <f t="shared" si="71"/>
        <v>0</v>
      </c>
      <c r="J115" s="13">
        <f t="shared" si="72"/>
        <v>0</v>
      </c>
    </row>
    <row r="116" spans="1:23" ht="15.75" hidden="1" outlineLevel="1" thickBot="1" x14ac:dyDescent="0.3">
      <c r="A116" s="10" t="s">
        <v>69</v>
      </c>
      <c r="B116" s="15">
        <f>SUM(B104:B115)</f>
        <v>0</v>
      </c>
      <c r="C116" s="15">
        <f t="shared" si="66"/>
        <v>0</v>
      </c>
      <c r="D116" s="43">
        <f>AVERAGE(D109:D115)</f>
        <v>1.5</v>
      </c>
      <c r="E116" s="16">
        <f>SUM(E104:E115)</f>
        <v>0</v>
      </c>
      <c r="F116" s="16">
        <f>SUM(F104:F115)</f>
        <v>0</v>
      </c>
      <c r="G116" s="7">
        <f t="shared" ref="G116:H116" si="73">SUM(G104:G115)</f>
        <v>0</v>
      </c>
      <c r="H116" s="7">
        <f t="shared" si="73"/>
        <v>0</v>
      </c>
      <c r="I116" s="7">
        <f>SUM(I104:I115)</f>
        <v>0</v>
      </c>
      <c r="J116" s="7">
        <f>SUM(J104:J115)</f>
        <v>0</v>
      </c>
    </row>
    <row r="117" spans="1:23" hidden="1" outlineLevel="1" x14ac:dyDescent="0.25">
      <c r="E117" s="40"/>
      <c r="F117" s="31"/>
    </row>
    <row r="118" spans="1:23" ht="16.5" collapsed="1" thickBot="1" x14ac:dyDescent="0.3">
      <c r="A118" s="88" t="s">
        <v>76</v>
      </c>
      <c r="B118" s="95"/>
      <c r="C118" s="95"/>
      <c r="D118" s="95"/>
      <c r="E118" s="96"/>
      <c r="F118" s="97"/>
      <c r="G118" s="95"/>
      <c r="H118" s="95"/>
      <c r="I118" s="95"/>
      <c r="J118" s="95"/>
    </row>
    <row r="119" spans="1:23" ht="26.25" thickBot="1" x14ac:dyDescent="0.3">
      <c r="A119" s="1" t="s">
        <v>40</v>
      </c>
      <c r="B119" s="2" t="s">
        <v>41</v>
      </c>
      <c r="C119" s="28" t="s">
        <v>42</v>
      </c>
      <c r="D119" s="29" t="s">
        <v>63</v>
      </c>
      <c r="E119" s="2" t="s">
        <v>62</v>
      </c>
      <c r="F119" s="2" t="s">
        <v>37</v>
      </c>
      <c r="G119" s="2" t="s">
        <v>38</v>
      </c>
      <c r="H119" s="2" t="s">
        <v>33</v>
      </c>
      <c r="I119" s="2" t="s">
        <v>43</v>
      </c>
      <c r="J119" s="2" t="s">
        <v>77</v>
      </c>
    </row>
    <row r="120" spans="1:23" x14ac:dyDescent="0.25">
      <c r="A120" s="44">
        <v>2013</v>
      </c>
      <c r="B120" s="47">
        <f>+B9+B60</f>
        <v>2462.6431607368163</v>
      </c>
      <c r="C120" s="49">
        <f>+D120/B120/1000</f>
        <v>1.2573894852767258</v>
      </c>
      <c r="D120" s="98">
        <f>+F60+F9</f>
        <v>3096501.6162991147</v>
      </c>
      <c r="E120" s="46">
        <f>+G60+G9</f>
        <v>216755.11314093808</v>
      </c>
      <c r="F120" s="46">
        <f>+H60+H9</f>
        <v>1083562.9907241992</v>
      </c>
      <c r="G120" s="46">
        <f>+I60+I9</f>
        <v>1285376.5977465815</v>
      </c>
      <c r="H120" s="46">
        <f>IF((D120-E120-F120-G120)&lt;0,0,(D120-E120-F120-G120)*$N$1)</f>
        <v>10216.138293747921</v>
      </c>
      <c r="I120" s="46">
        <f>IF((D120-E120-F120-G120)&lt;0,0,(D120-E120-F120-G120)*$M$1)</f>
        <v>153242.0744062188</v>
      </c>
      <c r="J120" s="46">
        <f>+D120-E120-H120-F120-G120-I120</f>
        <v>347348.70198742941</v>
      </c>
      <c r="Q120" s="38"/>
    </row>
    <row r="121" spans="1:23" x14ac:dyDescent="0.25">
      <c r="A121" s="44">
        <f>+A120+1</f>
        <v>2014</v>
      </c>
      <c r="B121" s="47">
        <f>+B73+B22</f>
        <v>2585.4709139952229</v>
      </c>
      <c r="C121" s="49">
        <f>+D121/B121/1000</f>
        <v>1.254234908401314</v>
      </c>
      <c r="D121" s="98">
        <f>+F73+F22</f>
        <v>3242787.8749890598</v>
      </c>
      <c r="E121" s="46">
        <f>+G73+G22</f>
        <v>226995.15124923416</v>
      </c>
      <c r="F121" s="46">
        <f>+H73+H22</f>
        <v>1173196.933639602</v>
      </c>
      <c r="G121" s="46">
        <f>+I73+I22</f>
        <v>1581842.8146005573</v>
      </c>
      <c r="H121" s="46">
        <f>IF((D121-E121-F121-G121)&lt;0,0,(D121-E121-F121-G121)*$N$1)</f>
        <v>5215.0595099933262</v>
      </c>
      <c r="I121" s="46">
        <f>IF((D121-E121-F121-G121)&lt;0,0,(D121-E121-F121-G121)*$M$1)</f>
        <v>78225.892649899892</v>
      </c>
      <c r="J121" s="46">
        <f>+D121-E121-H121-F121-G121-I121</f>
        <v>177312.02333977289</v>
      </c>
      <c r="K121" s="38"/>
      <c r="Q121" s="38"/>
    </row>
    <row r="122" spans="1:23" x14ac:dyDescent="0.25">
      <c r="A122" s="44">
        <f t="shared" ref="A122" si="74">+A121+1</f>
        <v>2015</v>
      </c>
      <c r="B122" s="47">
        <f>+B86+B35</f>
        <v>1972.5232407537378</v>
      </c>
      <c r="C122" s="49">
        <f t="shared" ref="C122" si="75">+D122/B122/1000</f>
        <v>1.2179527974006268</v>
      </c>
      <c r="D122" s="98">
        <f>+F86+F35</f>
        <v>2402440.199013765</v>
      </c>
      <c r="E122" s="46">
        <f>+G86+G35</f>
        <v>168170.81393096357</v>
      </c>
      <c r="F122" s="46">
        <f>+H86+H35</f>
        <v>895712.78612116165</v>
      </c>
      <c r="G122" s="46">
        <f>+I86+I35</f>
        <v>651583.60211818223</v>
      </c>
      <c r="H122" s="46">
        <f>IF((D122-E122-F122-G122)&lt;0,0,(D122-E122-F122-G122)*$N$1)</f>
        <v>13739.459936869149</v>
      </c>
      <c r="I122" s="46">
        <f>IF((D122-E122-F122-G122+J121)&lt;0,0,(D122-E122-F122-G122+J121)*$M$1)</f>
        <v>259285.50605496907</v>
      </c>
      <c r="J122" s="46">
        <f>+D122-E122-H122-F122-G122-I122</f>
        <v>413948.03085161909</v>
      </c>
      <c r="K122" s="38"/>
      <c r="Q122" s="38"/>
    </row>
    <row r="123" spans="1:23" ht="15.75" thickBot="1" x14ac:dyDescent="0.3">
      <c r="A123" s="44">
        <f>A122+1</f>
        <v>2016</v>
      </c>
      <c r="B123" s="47">
        <f>+B99+B48</f>
        <v>1873.1676704343563</v>
      </c>
      <c r="C123" s="140">
        <f>+D123/B123/1000</f>
        <v>1.328227415440012</v>
      </c>
      <c r="D123" s="98">
        <f>+F99+F48</f>
        <v>2487992.6535868132</v>
      </c>
      <c r="E123" s="46">
        <f>+G99+G48</f>
        <v>174159.48575107695</v>
      </c>
      <c r="F123" s="46">
        <f>+H99+H48</f>
        <v>861122.05080565938</v>
      </c>
      <c r="G123" s="46">
        <f>+I99+I48</f>
        <v>536012.12683952064</v>
      </c>
      <c r="H123" s="46">
        <f>IF((D123-E123-F123-G123)&lt;0,0,(D123-E123-F123-G123)*$N$1)</f>
        <v>18333.979803811122</v>
      </c>
      <c r="I123" s="46">
        <f>IF((D123-E123-F123-G123+J122)&lt;0,0,(D123-E123-F123-G123+J122)*$M$1)</f>
        <v>399194.10631265253</v>
      </c>
      <c r="J123" s="47">
        <f>+J99+J48</f>
        <v>20393.058121851722</v>
      </c>
      <c r="K123" s="38"/>
      <c r="Q123" s="38"/>
    </row>
    <row r="124" spans="1:23" ht="15.75" thickBot="1" x14ac:dyDescent="0.3">
      <c r="A124" s="45" t="s">
        <v>44</v>
      </c>
      <c r="B124" s="48">
        <f>SUM(B120:B123)</f>
        <v>8893.8049859201328</v>
      </c>
      <c r="C124" s="101">
        <f>AVERAGE(C120:C123)</f>
        <v>1.2644511516296697</v>
      </c>
      <c r="D124" s="48">
        <f t="shared" ref="D124:J124" si="76">SUM(D120:D123)</f>
        <v>11229722.343888752</v>
      </c>
      <c r="E124" s="48">
        <f t="shared" si="76"/>
        <v>786080.56407221279</v>
      </c>
      <c r="F124" s="48">
        <f t="shared" si="76"/>
        <v>4013594.7612906224</v>
      </c>
      <c r="G124" s="103">
        <f t="shared" si="76"/>
        <v>4054815.1413048413</v>
      </c>
      <c r="H124" s="48">
        <f t="shared" si="76"/>
        <v>47504.637544421523</v>
      </c>
      <c r="I124" s="48">
        <f t="shared" si="76"/>
        <v>889947.57942374027</v>
      </c>
      <c r="J124" s="48">
        <f t="shared" si="76"/>
        <v>959001.8143006732</v>
      </c>
      <c r="K124" s="141">
        <f>D124-F124-G124</f>
        <v>3161312.441293288</v>
      </c>
      <c r="Q124" s="38"/>
    </row>
    <row r="125" spans="1:23" ht="15.75" thickBot="1" x14ac:dyDescent="0.3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38"/>
    </row>
    <row r="126" spans="1:23" ht="46.5" thickTop="1" thickBot="1" x14ac:dyDescent="0.3">
      <c r="A126" s="88"/>
      <c r="B126" s="95"/>
      <c r="C126" s="95"/>
      <c r="D126" s="95"/>
      <c r="E126" s="96"/>
      <c r="F126" s="97"/>
      <c r="G126" s="95"/>
      <c r="H126" s="95"/>
      <c r="I126" s="95"/>
      <c r="J126" s="95"/>
      <c r="P126" s="105" t="s">
        <v>40</v>
      </c>
      <c r="Q126" s="106" t="s">
        <v>81</v>
      </c>
      <c r="R126" s="107" t="s">
        <v>82</v>
      </c>
      <c r="S126" s="106" t="s">
        <v>83</v>
      </c>
      <c r="T126" s="108"/>
      <c r="U126" s="105" t="s">
        <v>40</v>
      </c>
      <c r="V126" s="109" t="s">
        <v>84</v>
      </c>
      <c r="W126" s="109" t="s">
        <v>85</v>
      </c>
    </row>
    <row r="127" spans="1:23" ht="17.25" thickTop="1" thickBot="1" x14ac:dyDescent="0.3">
      <c r="A127" s="95"/>
      <c r="B127" s="95"/>
      <c r="C127" s="95"/>
      <c r="D127" s="95"/>
      <c r="E127" s="95"/>
      <c r="F127" s="95"/>
      <c r="G127" s="33"/>
      <c r="H127" s="95"/>
      <c r="I127" s="95"/>
      <c r="J127" s="95"/>
      <c r="P127" s="135">
        <v>2013</v>
      </c>
      <c r="Q127" s="111">
        <f>B9</f>
        <v>391.56026255715386</v>
      </c>
      <c r="R127" s="112">
        <f>B60</f>
        <v>2071.0828981796626</v>
      </c>
      <c r="S127" s="111">
        <f>SUM(Q127+R127)</f>
        <v>2462.6431607368163</v>
      </c>
      <c r="T127" s="108"/>
      <c r="U127" s="110">
        <v>2013</v>
      </c>
      <c r="V127" s="111">
        <f>C9/E9</f>
        <v>0.40174674577986286</v>
      </c>
      <c r="W127" s="112">
        <f>E60</f>
        <v>1.4193551428571429</v>
      </c>
    </row>
    <row r="128" spans="1:23" ht="16.5" thickTop="1" thickBot="1" x14ac:dyDescent="0.3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P128" s="135">
        <v>2014</v>
      </c>
      <c r="Q128" s="111">
        <f>B22</f>
        <v>457.62835177715442</v>
      </c>
      <c r="R128" s="112">
        <f>B73</f>
        <v>2127.8425622180685</v>
      </c>
      <c r="S128" s="111">
        <f t="shared" ref="S128:S130" si="77">SUM(Q128+R128)</f>
        <v>2585.4709139952229</v>
      </c>
      <c r="T128" s="108"/>
      <c r="U128" s="110">
        <v>2014</v>
      </c>
      <c r="V128" s="111">
        <f>C22/E22</f>
        <v>0.40111573994362015</v>
      </c>
      <c r="W128" s="112">
        <f>E73</f>
        <v>1.4384370000000002</v>
      </c>
    </row>
    <row r="129" spans="4:23" ht="16.5" thickTop="1" thickBot="1" x14ac:dyDescent="0.3">
      <c r="K129" s="38"/>
      <c r="P129" s="135">
        <f>2015</f>
        <v>2015</v>
      </c>
      <c r="Q129" s="111">
        <f>B35</f>
        <v>424.09249676205354</v>
      </c>
      <c r="R129" s="112">
        <f>B86</f>
        <v>1548.4307439916843</v>
      </c>
      <c r="S129" s="111">
        <f t="shared" si="77"/>
        <v>1972.5232407537378</v>
      </c>
      <c r="T129" s="108"/>
      <c r="U129" s="110">
        <f>2015</f>
        <v>2015</v>
      </c>
      <c r="V129" s="111">
        <f>C35/E35</f>
        <v>0.33033525776194289</v>
      </c>
      <c r="W129" s="112">
        <f>E86</f>
        <v>1.4598430000000002</v>
      </c>
    </row>
    <row r="130" spans="4:23" ht="16.5" thickTop="1" thickBot="1" x14ac:dyDescent="0.3">
      <c r="K130" s="38"/>
      <c r="P130" s="136">
        <v>2016</v>
      </c>
      <c r="Q130" s="111">
        <f>B48</f>
        <v>232.27279113386021</v>
      </c>
      <c r="R130" s="112">
        <f>B99</f>
        <v>1640.8948793004961</v>
      </c>
      <c r="S130" s="111">
        <f t="shared" si="77"/>
        <v>1873.1676704343563</v>
      </c>
      <c r="T130" s="108"/>
      <c r="U130" s="113">
        <v>2016</v>
      </c>
      <c r="V130" s="111">
        <f>C48/E48</f>
        <v>0.31082779116465864</v>
      </c>
      <c r="W130" s="111">
        <f>E99</f>
        <v>1.4701830000000005</v>
      </c>
    </row>
    <row r="131" spans="4:23" ht="16.5" outlineLevel="1" thickTop="1" thickBot="1" x14ac:dyDescent="0.3">
      <c r="D131" s="137"/>
      <c r="P131" s="136" t="s">
        <v>44</v>
      </c>
      <c r="Q131" s="111">
        <f>SUM(Q127:Q130)</f>
        <v>1505.5539022302221</v>
      </c>
      <c r="R131" s="111">
        <f t="shared" ref="R131:S131" si="78">SUM(R127:R130)</f>
        <v>7388.2510836899128</v>
      </c>
      <c r="S131" s="111">
        <f t="shared" si="78"/>
        <v>8893.8049859201328</v>
      </c>
      <c r="T131" s="108"/>
      <c r="U131" s="113"/>
      <c r="V131" s="111"/>
      <c r="W131" s="112"/>
    </row>
    <row r="132" spans="4:23" ht="15.75" thickTop="1" x14ac:dyDescent="0.25">
      <c r="D132" s="137"/>
      <c r="P132" s="108"/>
      <c r="Q132" s="108"/>
      <c r="R132" s="108"/>
      <c r="S132" s="108"/>
      <c r="T132" s="108"/>
      <c r="U132" s="108"/>
      <c r="V132" s="108"/>
      <c r="W132" s="108"/>
    </row>
    <row r="133" spans="4:23" ht="15.75" thickBot="1" x14ac:dyDescent="0.3">
      <c r="D133" s="137"/>
      <c r="I133" s="137"/>
      <c r="P133" s="108"/>
      <c r="Q133" s="108"/>
      <c r="R133" s="108"/>
      <c r="S133" s="108"/>
      <c r="T133" s="108"/>
      <c r="U133" s="108"/>
      <c r="V133" s="108"/>
      <c r="W133" s="108"/>
    </row>
    <row r="134" spans="4:23" ht="44.25" customHeight="1" thickTop="1" thickBot="1" x14ac:dyDescent="0.3">
      <c r="D134" s="137"/>
      <c r="P134" s="142" t="s">
        <v>86</v>
      </c>
      <c r="Q134" s="143"/>
      <c r="R134" s="108"/>
      <c r="S134" s="108"/>
      <c r="T134" s="108"/>
      <c r="U134" s="108"/>
      <c r="V134" s="108"/>
      <c r="W134" s="108"/>
    </row>
    <row r="135" spans="4:23" ht="16.5" thickTop="1" thickBot="1" x14ac:dyDescent="0.3">
      <c r="P135" s="113">
        <v>2013</v>
      </c>
      <c r="Q135" s="114">
        <f>((V127*Q127)+(W127*R127))/SUM(Q127:R127)</f>
        <v>1.2575554077218554</v>
      </c>
      <c r="R135" s="108"/>
      <c r="S135" s="108"/>
      <c r="T135" s="108"/>
      <c r="U135" s="108"/>
      <c r="V135" s="108"/>
      <c r="W135" s="108"/>
    </row>
    <row r="136" spans="4:23" ht="16.5" thickTop="1" thickBot="1" x14ac:dyDescent="0.3">
      <c r="D136" s="137"/>
      <c r="F136" s="137"/>
      <c r="P136" s="113">
        <v>2014</v>
      </c>
      <c r="Q136" s="114">
        <f>((V128*Q128)+(W128*R128))/SUM(Q128:R128)</f>
        <v>1.2548311369700211</v>
      </c>
      <c r="R136" s="108"/>
      <c r="S136" s="108"/>
      <c r="T136" s="108"/>
      <c r="U136" s="108"/>
      <c r="V136" s="108"/>
      <c r="W136" s="108"/>
    </row>
    <row r="137" spans="4:23" ht="16.5" thickTop="1" thickBot="1" x14ac:dyDescent="0.3">
      <c r="P137" s="113">
        <v>2015</v>
      </c>
      <c r="Q137" s="114">
        <f>((V129*Q129)+(W129*R129))/SUM(Q129:R129)</f>
        <v>1.2169988354188179</v>
      </c>
      <c r="R137" s="108"/>
      <c r="S137" s="108"/>
      <c r="T137" s="108"/>
      <c r="U137" s="108"/>
      <c r="V137" s="108"/>
      <c r="W137" s="108"/>
    </row>
    <row r="138" spans="4:23" ht="16.5" thickTop="1" thickBot="1" x14ac:dyDescent="0.3">
      <c r="P138" s="113">
        <v>2016</v>
      </c>
      <c r="Q138" s="114">
        <f>((V130*Q130)+(W130*R130))/SUM(Q130:R130)</f>
        <v>1.3264229541044181</v>
      </c>
      <c r="R138" s="108"/>
      <c r="S138" s="108"/>
      <c r="T138" s="108"/>
      <c r="U138" s="108"/>
      <c r="V138" s="108"/>
      <c r="W138" s="108"/>
    </row>
    <row r="139" spans="4:23" ht="15.75" hidden="1" outlineLevel="1" thickTop="1" x14ac:dyDescent="0.25">
      <c r="P139" s="108"/>
      <c r="Q139" s="108"/>
      <c r="R139" s="108"/>
      <c r="S139" s="108"/>
      <c r="T139" s="108"/>
      <c r="U139" s="108"/>
      <c r="V139" s="108"/>
      <c r="W139" s="108"/>
    </row>
    <row r="140" spans="4:23" ht="15.75" collapsed="1" thickTop="1" x14ac:dyDescent="0.25">
      <c r="P140" s="108"/>
      <c r="Q140" s="108"/>
      <c r="R140" s="108"/>
      <c r="S140" s="108"/>
      <c r="T140" s="108"/>
      <c r="U140" s="108"/>
      <c r="V140" s="108"/>
      <c r="W140" s="108"/>
    </row>
    <row r="141" spans="4:23" ht="15.75" thickBot="1" x14ac:dyDescent="0.3">
      <c r="P141" s="108"/>
      <c r="Q141" s="108"/>
      <c r="R141" s="108"/>
      <c r="S141" s="108"/>
      <c r="T141" s="108"/>
      <c r="U141" s="108"/>
      <c r="V141" s="108"/>
      <c r="W141" s="108"/>
    </row>
    <row r="142" spans="4:23" ht="15.75" hidden="1" outlineLevel="1" thickBot="1" x14ac:dyDescent="0.3">
      <c r="P142" s="108"/>
      <c r="Q142" s="108"/>
      <c r="R142" s="108"/>
      <c r="S142" s="108"/>
      <c r="T142" s="108"/>
      <c r="U142" s="108"/>
      <c r="V142" s="108"/>
      <c r="W142" s="108"/>
    </row>
    <row r="143" spans="4:23" ht="15.75" hidden="1" outlineLevel="1" thickBot="1" x14ac:dyDescent="0.3">
      <c r="P143" s="108"/>
      <c r="Q143" s="108"/>
      <c r="R143" s="108"/>
      <c r="S143" s="108"/>
      <c r="T143" s="108"/>
      <c r="U143" s="108"/>
      <c r="V143" s="108"/>
      <c r="W143" s="108"/>
    </row>
    <row r="144" spans="4:23" ht="15.75" hidden="1" outlineLevel="1" thickBot="1" x14ac:dyDescent="0.3">
      <c r="P144" s="108"/>
      <c r="Q144" s="108"/>
      <c r="R144" s="108"/>
      <c r="S144" s="108"/>
      <c r="T144" s="108"/>
      <c r="U144" s="108"/>
      <c r="V144" s="108"/>
      <c r="W144" s="108"/>
    </row>
    <row r="145" spans="16:27" ht="15.75" hidden="1" outlineLevel="1" thickBot="1" x14ac:dyDescent="0.3">
      <c r="P145" s="108"/>
      <c r="Q145" s="108"/>
      <c r="R145" s="108"/>
      <c r="S145" s="108"/>
      <c r="T145" s="108"/>
      <c r="U145" s="108"/>
      <c r="V145" s="108"/>
      <c r="W145" s="108"/>
    </row>
    <row r="146" spans="16:27" ht="15.75" hidden="1" outlineLevel="1" thickBot="1" x14ac:dyDescent="0.3">
      <c r="P146" s="108"/>
      <c r="Q146" s="108"/>
      <c r="R146" s="108"/>
      <c r="S146" s="108"/>
      <c r="T146" s="108"/>
      <c r="U146" s="108"/>
      <c r="V146" s="108"/>
      <c r="W146" s="108"/>
    </row>
    <row r="147" spans="16:27" ht="15.75" hidden="1" outlineLevel="1" thickBot="1" x14ac:dyDescent="0.3">
      <c r="P147" s="108"/>
      <c r="Q147" s="108"/>
      <c r="R147" s="108"/>
      <c r="S147" s="108"/>
      <c r="T147" s="108"/>
      <c r="U147" s="108"/>
      <c r="V147" s="108"/>
      <c r="W147" s="108"/>
    </row>
    <row r="148" spans="16:27" ht="15.75" hidden="1" outlineLevel="1" thickBot="1" x14ac:dyDescent="0.3">
      <c r="P148" s="108"/>
      <c r="Q148" s="108"/>
      <c r="R148" s="108"/>
      <c r="S148" s="108"/>
      <c r="T148" s="108"/>
      <c r="U148" s="108"/>
      <c r="V148" s="108"/>
      <c r="W148" s="108"/>
    </row>
    <row r="149" spans="16:27" ht="31.5" collapsed="1" thickTop="1" thickBot="1" x14ac:dyDescent="0.3">
      <c r="P149" s="115" t="s">
        <v>40</v>
      </c>
      <c r="Q149" s="116" t="s">
        <v>87</v>
      </c>
      <c r="R149" s="117" t="s">
        <v>88</v>
      </c>
      <c r="S149" s="117" t="s">
        <v>89</v>
      </c>
      <c r="T149" s="117" t="s">
        <v>90</v>
      </c>
      <c r="U149" s="108"/>
      <c r="V149" s="108"/>
      <c r="W149" s="108"/>
    </row>
    <row r="150" spans="16:27" ht="16.5" thickTop="1" thickBot="1" x14ac:dyDescent="0.3">
      <c r="P150" s="118">
        <v>2013</v>
      </c>
      <c r="Q150" s="119">
        <f>Q135</f>
        <v>1.2575554077218554</v>
      </c>
      <c r="R150" s="120">
        <f>M9</f>
        <v>0.52195000000000003</v>
      </c>
      <c r="S150" s="120">
        <f>L9</f>
        <v>0.44000000000000006</v>
      </c>
      <c r="T150" s="120">
        <f>Q150-R150-S150</f>
        <v>0.29560540772185528</v>
      </c>
      <c r="U150" s="108"/>
      <c r="V150" s="108"/>
      <c r="W150" s="108"/>
    </row>
    <row r="151" spans="16:27" ht="16.5" thickTop="1" thickBot="1" x14ac:dyDescent="0.3">
      <c r="P151" s="118">
        <v>2014</v>
      </c>
      <c r="Q151" s="119">
        <f>Q136</f>
        <v>1.2548311369700211</v>
      </c>
      <c r="R151" s="120">
        <f>M22</f>
        <v>0.61182000000000003</v>
      </c>
      <c r="S151" s="120">
        <f>L22</f>
        <v>0.4537652801619449</v>
      </c>
      <c r="T151" s="120">
        <f t="shared" ref="T151:T153" si="79">Q151-R151-S151</f>
        <v>0.18924585680807621</v>
      </c>
      <c r="U151" s="108"/>
      <c r="V151" s="108"/>
      <c r="W151" s="108"/>
    </row>
    <row r="152" spans="16:27" ht="16.5" thickTop="1" thickBot="1" x14ac:dyDescent="0.3">
      <c r="P152" s="121">
        <v>2015</v>
      </c>
      <c r="Q152" s="122">
        <f>Q137</f>
        <v>1.2169988354188179</v>
      </c>
      <c r="R152" s="123">
        <f>M35</f>
        <v>0.33033000000000001</v>
      </c>
      <c r="S152" s="123">
        <f>L35</f>
        <v>0.45409492147676445</v>
      </c>
      <c r="T152" s="120">
        <f t="shared" si="79"/>
        <v>0.43257391394205347</v>
      </c>
      <c r="U152" s="108"/>
      <c r="V152" s="108"/>
      <c r="W152" s="108"/>
    </row>
    <row r="153" spans="16:27" ht="16.5" thickTop="1" thickBot="1" x14ac:dyDescent="0.3">
      <c r="P153" s="124">
        <v>2016</v>
      </c>
      <c r="Q153" s="125">
        <f>Q138</f>
        <v>1.3264229541044181</v>
      </c>
      <c r="R153" s="125">
        <f>M48</f>
        <v>0.286152774948987</v>
      </c>
      <c r="S153" s="126">
        <f>L48</f>
        <v>0.45971434613003942</v>
      </c>
      <c r="T153" s="119">
        <f t="shared" si="79"/>
        <v>0.58055583302539171</v>
      </c>
      <c r="U153" s="108"/>
      <c r="V153" s="108"/>
      <c r="W153" s="108"/>
    </row>
    <row r="154" spans="16:27" x14ac:dyDescent="0.25">
      <c r="P154" s="108"/>
      <c r="Q154" s="108"/>
      <c r="R154" s="108"/>
      <c r="S154" s="108"/>
      <c r="T154" s="108"/>
      <c r="U154" s="108"/>
      <c r="V154" s="108"/>
      <c r="W154" s="108"/>
    </row>
    <row r="155" spans="16:27" ht="15.75" thickBot="1" x14ac:dyDescent="0.3">
      <c r="P155" s="108"/>
      <c r="Q155" s="108"/>
      <c r="R155" s="108"/>
      <c r="S155" s="108"/>
      <c r="T155" s="108"/>
      <c r="U155" s="108"/>
      <c r="V155" s="108"/>
      <c r="W155" s="108"/>
    </row>
    <row r="156" spans="16:27" ht="64.5" thickTop="1" thickBot="1" x14ac:dyDescent="0.3">
      <c r="P156" s="132" t="s">
        <v>40</v>
      </c>
      <c r="Q156" s="133" t="s">
        <v>91</v>
      </c>
      <c r="R156" s="134" t="s">
        <v>92</v>
      </c>
      <c r="S156" s="134" t="s">
        <v>93</v>
      </c>
      <c r="T156" s="134" t="s">
        <v>94</v>
      </c>
      <c r="U156" s="134" t="s">
        <v>88</v>
      </c>
      <c r="V156" s="134" t="s">
        <v>95</v>
      </c>
      <c r="W156" s="108"/>
    </row>
    <row r="157" spans="16:27" ht="16.5" thickTop="1" thickBot="1" x14ac:dyDescent="0.3">
      <c r="P157" s="127">
        <v>2013</v>
      </c>
      <c r="Q157" s="128">
        <f>B120</f>
        <v>2462.6431607368163</v>
      </c>
      <c r="R157" s="120">
        <f>Q135</f>
        <v>1.2575554077218554</v>
      </c>
      <c r="S157" s="128">
        <f>Q157*1000*R157</f>
        <v>3096910.2240738259</v>
      </c>
      <c r="T157" s="128">
        <f>F120</f>
        <v>1083562.9907241992</v>
      </c>
      <c r="U157" s="128">
        <f>G120</f>
        <v>1285376.5977465815</v>
      </c>
      <c r="V157" s="128">
        <f>S157-T157-U157</f>
        <v>727970.63560304511</v>
      </c>
      <c r="W157" s="108"/>
    </row>
    <row r="158" spans="16:27" ht="16.5" thickTop="1" thickBot="1" x14ac:dyDescent="0.3">
      <c r="P158" s="127">
        <v>2014</v>
      </c>
      <c r="Q158" s="128">
        <f t="shared" ref="Q158:Q160" si="80">B121</f>
        <v>2585.4709139952229</v>
      </c>
      <c r="R158" s="120">
        <f t="shared" ref="R158:R160" si="81">Q136</f>
        <v>1.2548311369700211</v>
      </c>
      <c r="S158" s="128">
        <f t="shared" ref="S158:S160" si="82">Q158*1000*R158</f>
        <v>3244329.406611545</v>
      </c>
      <c r="T158" s="128">
        <f t="shared" ref="T158:U160" si="83">F121</f>
        <v>1173196.933639602</v>
      </c>
      <c r="U158" s="128">
        <f t="shared" si="83"/>
        <v>1581842.8146005573</v>
      </c>
      <c r="V158" s="128">
        <f t="shared" ref="V158:V160" si="84">S158-T158-U158</f>
        <v>489289.65837138565</v>
      </c>
      <c r="W158" s="108"/>
    </row>
    <row r="159" spans="16:27" ht="16.5" thickTop="1" thickBot="1" x14ac:dyDescent="0.3">
      <c r="P159" s="127">
        <v>2015</v>
      </c>
      <c r="Q159" s="128">
        <f t="shared" si="80"/>
        <v>1972.5232407537378</v>
      </c>
      <c r="R159" s="120">
        <f t="shared" si="81"/>
        <v>1.2169988354188179</v>
      </c>
      <c r="S159" s="128">
        <f t="shared" si="82"/>
        <v>2400558.4868338513</v>
      </c>
      <c r="T159" s="128">
        <f t="shared" si="83"/>
        <v>895712.78612116165</v>
      </c>
      <c r="U159" s="128">
        <f t="shared" si="83"/>
        <v>651583.60211818223</v>
      </c>
      <c r="V159" s="128">
        <f t="shared" si="84"/>
        <v>853262.09859450744</v>
      </c>
      <c r="W159" s="108"/>
    </row>
    <row r="160" spans="16:27" ht="16.5" thickTop="1" thickBot="1" x14ac:dyDescent="0.3">
      <c r="P160" s="127">
        <v>2016</v>
      </c>
      <c r="Q160" s="128">
        <f t="shared" si="80"/>
        <v>1873.1676704343563</v>
      </c>
      <c r="R160" s="120">
        <f t="shared" si="81"/>
        <v>1.3264229541044181</v>
      </c>
      <c r="S160" s="128">
        <f t="shared" si="82"/>
        <v>2484612.5949504301</v>
      </c>
      <c r="T160" s="128">
        <f t="shared" si="83"/>
        <v>861122.05080565938</v>
      </c>
      <c r="U160" s="128">
        <f t="shared" si="83"/>
        <v>536012.12683952064</v>
      </c>
      <c r="V160" s="128">
        <f t="shared" si="84"/>
        <v>1087478.41730525</v>
      </c>
      <c r="W160" s="108"/>
      <c r="X160" s="137"/>
      <c r="Y160" s="137"/>
      <c r="Z160" s="137"/>
      <c r="AA160" s="137"/>
    </row>
    <row r="161" spans="16:24" ht="16.5" thickTop="1" thickBot="1" x14ac:dyDescent="0.3">
      <c r="P161" s="127" t="s">
        <v>11</v>
      </c>
      <c r="Q161" s="128">
        <f>SUM(Q157:Q160)</f>
        <v>8893.8049859201328</v>
      </c>
      <c r="R161" s="127"/>
      <c r="S161" s="128">
        <f>SUM(S157:S160)</f>
        <v>11226410.712469652</v>
      </c>
      <c r="T161" s="128">
        <f>SUM(T157:T160)</f>
        <v>4013594.7612906224</v>
      </c>
      <c r="U161" s="128">
        <f>SUM(U157:U160)</f>
        <v>4054815.1413048413</v>
      </c>
      <c r="V161" s="129">
        <f>SUM(V157:V160)</f>
        <v>3158000.8098741882</v>
      </c>
      <c r="W161" s="108"/>
      <c r="X161" s="38"/>
    </row>
    <row r="162" spans="16:24" ht="46.5" thickTop="1" thickBot="1" x14ac:dyDescent="0.3">
      <c r="P162" s="107" t="s">
        <v>96</v>
      </c>
      <c r="Q162" s="130">
        <f>Q161*35.92%</f>
        <v>3194.6547509425118</v>
      </c>
      <c r="R162" s="144"/>
      <c r="S162" s="145"/>
      <c r="T162" s="145"/>
      <c r="U162" s="146"/>
      <c r="V162" s="131">
        <f>V161*35.92%</f>
        <v>1134353.8909068084</v>
      </c>
      <c r="W162" s="108"/>
    </row>
    <row r="163" spans="16:24" ht="46.5" thickTop="1" thickBot="1" x14ac:dyDescent="0.3">
      <c r="P163" s="107" t="s">
        <v>97</v>
      </c>
      <c r="Q163" s="130">
        <f>Q161*64.08%</f>
        <v>5699.150234977621</v>
      </c>
      <c r="R163" s="147"/>
      <c r="S163" s="148"/>
      <c r="T163" s="148"/>
      <c r="U163" s="149"/>
      <c r="V163" s="131">
        <f>V161*64.08%</f>
        <v>2023646.91896738</v>
      </c>
      <c r="W163" s="108"/>
      <c r="X163" s="137"/>
    </row>
    <row r="164" spans="16:24" ht="15.75" thickTop="1" x14ac:dyDescent="0.25"/>
  </sheetData>
  <mergeCells count="2">
    <mergeCell ref="P134:Q134"/>
    <mergeCell ref="R162:U16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(ALL)</vt:lpstr>
      <vt:lpstr>Summary (IEFCL)</vt:lpstr>
      <vt:lpstr>NAOC JV FG Supply</vt:lpstr>
      <vt:lpstr>NAOC JV FG Supply_SPDC_Review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Ebubechukwu Nwazota</dc:creator>
  <cp:lastModifiedBy>A.Orupabo</cp:lastModifiedBy>
  <cp:lastPrinted>2017-01-24T16:23:54Z</cp:lastPrinted>
  <dcterms:created xsi:type="dcterms:W3CDTF">2017-01-12T09:14:00Z</dcterms:created>
  <dcterms:modified xsi:type="dcterms:W3CDTF">2018-03-28T07:02:34Z</dcterms:modified>
</cp:coreProperties>
</file>