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8_{F1FAA94E-C330-4E50-B090-A91D688C85D2}" xr6:coauthVersionLast="47" xr6:coauthVersionMax="47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1" i="1" l="1"/>
  <c r="AH31" i="1"/>
  <c r="AH11" i="1"/>
  <c r="AE31" i="1"/>
  <c r="AF27" i="1"/>
  <c r="AF26" i="1"/>
  <c r="AF25" i="1"/>
  <c r="AF24" i="1"/>
  <c r="AF23" i="1"/>
  <c r="AF22" i="1"/>
  <c r="AF21" i="1"/>
  <c r="AF20" i="1"/>
  <c r="AD7" i="1"/>
  <c r="AC31" i="1"/>
  <c r="AD28" i="1"/>
  <c r="AD26" i="1"/>
  <c r="AD15" i="1"/>
  <c r="AD10" i="1"/>
  <c r="AD9" i="1"/>
  <c r="AD8" i="1"/>
  <c r="AD6" i="1"/>
  <c r="AD5" i="1"/>
  <c r="AB6" i="1"/>
  <c r="AB7" i="1"/>
  <c r="AB8" i="1"/>
  <c r="AB9" i="1"/>
  <c r="AB10" i="1"/>
  <c r="AF31" i="1" l="1"/>
  <c r="AD31" i="1"/>
  <c r="AB28" i="1"/>
  <c r="AB26" i="1"/>
  <c r="AA31" i="1"/>
  <c r="AB15" i="1"/>
  <c r="AB5" i="1"/>
  <c r="Z5" i="1"/>
  <c r="AB31" i="1" l="1"/>
  <c r="Z15" i="1"/>
  <c r="Z28" i="1"/>
  <c r="Y26" i="1"/>
  <c r="Z26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2" i="1"/>
  <c r="X33" i="1"/>
  <c r="X5" i="1"/>
  <c r="U15" i="1"/>
  <c r="V15" i="1" s="1"/>
  <c r="U5" i="1"/>
  <c r="V5" i="1" s="1"/>
  <c r="X31" i="1" l="1"/>
  <c r="Y31" i="1"/>
  <c r="Z31" i="1"/>
  <c r="T6" i="1"/>
  <c r="T5" i="1"/>
  <c r="T4" i="1"/>
  <c r="T30" i="1"/>
  <c r="T29" i="1"/>
  <c r="V28" i="1"/>
  <c r="V31" i="1" s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8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P26" i="1" s="1"/>
  <c r="O19" i="1"/>
  <c r="P19" i="1" s="1"/>
  <c r="O29" i="1"/>
  <c r="P29" i="1" s="1"/>
  <c r="O7" i="1"/>
  <c r="P7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P31" i="1" l="1"/>
  <c r="Q31" i="1"/>
  <c r="R31" i="1" s="1"/>
  <c r="G27" i="19"/>
  <c r="I31" i="1"/>
  <c r="L44" i="2" l="1"/>
  <c r="L39" i="2"/>
  <c r="L42" i="2"/>
  <c r="L23" i="2"/>
  <c r="L41" i="2"/>
  <c r="L43" i="2"/>
  <c r="L24" i="2"/>
  <c r="L22" i="2"/>
  <c r="K30" i="1"/>
  <c r="K25" i="1"/>
  <c r="J21" i="1"/>
  <c r="J8" i="1"/>
  <c r="K22" i="1"/>
  <c r="K15" i="1"/>
  <c r="J27" i="1"/>
  <c r="K13" i="1"/>
  <c r="J25" i="1"/>
  <c r="J29" i="1"/>
  <c r="J11" i="1"/>
  <c r="K5" i="1"/>
  <c r="J13" i="1"/>
  <c r="K23" i="1"/>
  <c r="K26" i="1"/>
  <c r="K14" i="1"/>
  <c r="J6" i="1"/>
  <c r="J10" i="1"/>
  <c r="J18" i="1"/>
  <c r="J15" i="1"/>
  <c r="K8" i="1"/>
  <c r="K29" i="1"/>
  <c r="J24" i="1"/>
  <c r="K27" i="1"/>
  <c r="J28" i="1"/>
  <c r="K10" i="1"/>
  <c r="J9" i="1"/>
  <c r="K19" i="1"/>
  <c r="K9" i="1"/>
  <c r="K28" i="1"/>
  <c r="K6" i="1"/>
  <c r="K20" i="1"/>
  <c r="K7" i="1"/>
  <c r="J20" i="1"/>
  <c r="J19" i="1"/>
  <c r="J12" i="1"/>
  <c r="K24" i="1"/>
  <c r="J7" i="1"/>
  <c r="J14" i="1"/>
  <c r="K11" i="1"/>
  <c r="K21" i="1"/>
  <c r="J22" i="1"/>
  <c r="K18" i="1"/>
  <c r="J26" i="1"/>
  <c r="J23" i="1"/>
  <c r="K12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<sst xmlns="http://schemas.openxmlformats.org/spreadsheetml/2006/main" count="484" uniqueCount="186">
  <si>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</si>
  <si>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</si>
  <si>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</si>
  <si>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</si>
  <si>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</si>
  <si>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</si>
  <si>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</si>
  <si>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</si>
  <si>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</si>
  <si>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</si>
  <si>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</si>
  <si>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</si>
  <si>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</si>
  <si>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</si>
  <si>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</si>
  <si>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</si>
  <si>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</si>
  <si>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</si>
  <si>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</si>
  <si>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</si>
  <si>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</si>
  <si>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</si>
  <si>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</si>
  <si>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</si>
  <si>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</si>
  <si>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</si>
  <si>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</si>
  <si>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</si>
  <si>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</si>
  <si>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</si>
  <si>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</si>
  <si>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</si>
  <si>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</si>
  <si>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</si>
  <si>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</si>
  <si>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</si>
  <si>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</si>
  <si>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</si>
  <si>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</si>
  <si>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</si>
  <si>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</si>
  <si>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</si>
  <si>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</si>
  <si>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</si>
  <si>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</si>
  <si>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</si>
  <si>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</si>
  <si>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</si>
  <si>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</si>
  <si>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</si>
  <si>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</si>
  <si>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</si>
  <si>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</si>
  <si>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</si>
  <si>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</si>
  <si>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</si>
  <si>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</si>
  <si>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</si>
  <si>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</si>
  <si>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</si>
  <si>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</si>
  <si>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</si>
  <si>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</si>
  <si>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</si>
  <si>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</si>
  <si>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</si>
  <si>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</si>
  <si>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</si>
  <si>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</si>
  <si>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</si>
  <si>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</si>
  <si>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</si>
  <si>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</si>
  <si>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</si>
  <si>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</si>
  <si>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</si>
  <si>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</si>
  <si>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</si>
  <si>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</si>
  <si>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</si>
  <si>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</si>
  <si>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</si>
  <si>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</si>
  <si>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</si>
  <si>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</si>
  <si>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</si>
  <si>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</si>
  <si>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</si>
  <si>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</si>
  <si>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</si>
  <si>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</si>
  <si>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</si>
  <si>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</si>
  <si>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</si>
  <si>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</si>
  <si>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</si>
  <si>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</si>
  <si>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</si>
  <si>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</si>
  <si>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</si>
  <si>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</si>
  <si>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</si>
  <si>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</si>
  <si>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</si>
  <si>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</si>
  <si>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</si>
  <si>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</si>
  <si>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</si>
  <si>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</si>
  <si>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</si>
  <si>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</si>
  <si>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</si>
  <si>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</si>
  <si>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</si>
  <si>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</si>
  <si>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</si>
  <si>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</si>
  <si>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</si>
  <si>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</si>
  <si>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</si>
  <si>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</si>
  <si>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</si>
  <si>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</si>
  <si>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</si>
  <si>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</si>
  <si>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</si>
  <si>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</si>
  <si>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</si>
  <si>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</si>
  <si>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</si>
  <si>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</si>
  <si>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</si>
  <si>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</si>
  <si>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</si>
  <si>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</si>
  <si>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</si>
  <si>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</si>
  <si>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</si>
  <si>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</si>
  <si>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</si>
  <si>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</si>
  <si>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</si>
  <si>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</si>
  <si>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</si>
  <si>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</si>
  <si>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</si>
  <si>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</si>
  <si>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</si>
  <si>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</si>
  <si>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</si>
  <si>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</si>
  <si>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</si>
  <si>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</si>
  <si>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</si>
  <si>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</si>
  <si>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</si>
  <si>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</si>
  <si>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</si>
  <si>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</si>
  <si>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</si>
  <si>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</si>
  <si>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</si>
  <si>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</si>
  <si>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</si>
  <si>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</si>
  <si>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</si>
  <si>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</si>
  <si>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</si>
  <si>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</si>
  <si>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</si>
  <si>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</si>
  <si>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</si>
  <si>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</si>
  <si>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</si>
  <si>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</si>
  <si>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100% value additional  receipts as at 03/03/2022  FUS$</t>
  </si>
  <si>
    <t>SS value of receipts as at  03/03/2022 FUS$</t>
  </si>
  <si>
    <t>100% value additional  receipts as at 10/03/2022  FUS$</t>
  </si>
  <si>
    <t>SS value of receipts as at  10/03/2022 FUS$</t>
  </si>
  <si>
    <t>100% value additional  receipts as at 14/04/2022  FUS$</t>
  </si>
  <si>
    <t>SS value of receipts as at  14/04/2022 FUS$</t>
  </si>
  <si>
    <t>100% value additional  receipts as at 05/05/2022  FUS$</t>
  </si>
  <si>
    <t>SS value of receipts as at  05/05/2022 FUS$</t>
  </si>
  <si>
    <t>100% value additional  receipts as at 12/05/2022  FUS$</t>
  </si>
  <si>
    <t>SS value of receipts as at  12/05/2022 FUS$</t>
  </si>
  <si>
    <t>•	Received the sum of US$7,863,300.79 only from Belemaoil on 10/05/2022 being part payment for its legacy/ overdue CHA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</si>
</sst>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0" t="s">
        <v>127</v>
      </c>
      <c r="G2" s="122" t="s">
        <v>128</v>
      </c>
    </row>
    <row r="3" spans="6:7" ht="27" customHeight="1" thickBot="1" x14ac:dyDescent="0.3">
      <c r="F3" s="121"/>
      <c r="G3" s="123"/>
    </row>
    <row r="4" spans="6:7" ht="19.5" x14ac:dyDescent="0.25">
      <c r="F4" s="75" t="s">
        <v>129</v>
      </c>
      <c r="G4" s="76">
        <f>'[4]NDPR-Ogbelle'!L26</f>
        <v>495455.38729020761</v>
      </c>
    </row>
    <row r="5" spans="6:7" ht="19.5" x14ac:dyDescent="0.25">
      <c r="F5" s="77" t="s">
        <v>130</v>
      </c>
      <c r="G5" s="78">
        <f>'[4]Pan Ocean- OML 98'!L26</f>
        <v>110460.27513869906</v>
      </c>
    </row>
    <row r="6" spans="6:7" ht="19.5" x14ac:dyDescent="0.25">
      <c r="F6" s="77" t="s">
        <v>131</v>
      </c>
      <c r="G6" s="78">
        <f>'[4]NPDC-Oredo'!L26</f>
        <v>434615.68888101901</v>
      </c>
    </row>
    <row r="7" spans="6:7" ht="19.5" x14ac:dyDescent="0.25">
      <c r="F7" s="77" t="s">
        <v>132</v>
      </c>
      <c r="G7" s="78">
        <f>'[4]Belemaoil -Robertkiri'!L26</f>
        <v>330484.87451665086</v>
      </c>
    </row>
    <row r="8" spans="6:7" ht="19.5" x14ac:dyDescent="0.25">
      <c r="F8" s="77" t="s">
        <v>133</v>
      </c>
      <c r="G8" s="78">
        <f>'[4]Belemaoil -Inda'!L26</f>
        <v>100405.83366209414</v>
      </c>
    </row>
    <row r="9" spans="6:7" ht="19.5" x14ac:dyDescent="0.25">
      <c r="F9" s="77" t="s">
        <v>134</v>
      </c>
      <c r="G9" s="78">
        <f>'[4]PAN OCEAN - OML 147'!L25</f>
        <v>133105.98418986204</v>
      </c>
    </row>
    <row r="10" spans="6:7" ht="19.5" x14ac:dyDescent="0.25">
      <c r="F10" s="77" t="s">
        <v>135</v>
      </c>
      <c r="G10" s="78">
        <f>[4]SEPLAT!L26</f>
        <v>2344969.6189536783</v>
      </c>
    </row>
    <row r="11" spans="6:7" ht="19.5" x14ac:dyDescent="0.25">
      <c r="F11" s="77" t="s">
        <v>136</v>
      </c>
      <c r="G11" s="78">
        <f>'[4]NPDC OML 26'!L26</f>
        <v>604861.04235677782</v>
      </c>
    </row>
    <row r="12" spans="6:7" ht="19.5" x14ac:dyDescent="0.25">
      <c r="F12" s="77" t="s">
        <v>137</v>
      </c>
      <c r="G12" s="78">
        <f>'[4]NPDC OML 42 (Batan)'!L27</f>
        <v>478506.51626176049</v>
      </c>
    </row>
    <row r="13" spans="6:7" ht="19.5" x14ac:dyDescent="0.25">
      <c r="F13" s="77" t="s">
        <v>138</v>
      </c>
      <c r="G13" s="78">
        <f>'[4]NPDC OML 40'!L26</f>
        <v>1577254.6119634807</v>
      </c>
    </row>
    <row r="14" spans="6:7" ht="19.5" x14ac:dyDescent="0.25">
      <c r="F14" s="77" t="s">
        <v>139</v>
      </c>
      <c r="G14" s="78">
        <f>'[4]NPDC OML 30'!L26</f>
        <v>6245852.2558929063</v>
      </c>
    </row>
    <row r="15" spans="6:7" ht="19.5" x14ac:dyDescent="0.25">
      <c r="F15" s="77" t="s">
        <v>140</v>
      </c>
      <c r="G15" s="78">
        <f>'[4]NPDC OML 34'!L27</f>
        <v>1523832.3882810862</v>
      </c>
    </row>
    <row r="16" spans="6:7" ht="19.5" x14ac:dyDescent="0.25">
      <c r="F16" s="77" t="s">
        <v>141</v>
      </c>
      <c r="G16" s="78">
        <f>'[4]WSPOL-Ibigwe New'!L26</f>
        <v>724477.8245454469</v>
      </c>
    </row>
    <row r="17" spans="6:7" ht="19.5" x14ac:dyDescent="0.25">
      <c r="F17" s="77" t="s">
        <v>142</v>
      </c>
      <c r="G17" s="78">
        <f>'[4]TEPNG-OML58 New'!L26</f>
        <v>1492231.3549057099</v>
      </c>
    </row>
    <row r="18" spans="6:7" ht="19.5" x14ac:dyDescent="0.25">
      <c r="F18" s="77" t="s">
        <v>143</v>
      </c>
      <c r="G18" s="78">
        <f>[4]Midwestern!L26</f>
        <v>678939.75603266316</v>
      </c>
    </row>
    <row r="19" spans="6:7" ht="19.5" x14ac:dyDescent="0.25">
      <c r="F19" s="77" t="s">
        <v>144</v>
      </c>
      <c r="G19" s="78">
        <f>[4]Newcross!L26</f>
        <v>1902477.8007057486</v>
      </c>
    </row>
    <row r="20" spans="6:7" ht="19.5" x14ac:dyDescent="0.25">
      <c r="F20" s="77" t="s">
        <v>145</v>
      </c>
      <c r="G20" s="78">
        <f>[4]Aiteo!L26</f>
        <v>2538360.5853224285</v>
      </c>
    </row>
    <row r="21" spans="6:7" ht="19.5" x14ac:dyDescent="0.25">
      <c r="F21" s="77" t="s">
        <v>146</v>
      </c>
      <c r="G21" s="78">
        <f>[4]Eroton!L26</f>
        <v>1361156.2958756015</v>
      </c>
    </row>
    <row r="22" spans="6:7" ht="19.5" x14ac:dyDescent="0.25">
      <c r="F22" s="77" t="s">
        <v>147</v>
      </c>
      <c r="G22" s="78">
        <f>'[4]NPDC ABURA'!L26</f>
        <v>404180.82542241627</v>
      </c>
    </row>
    <row r="23" spans="6:7" ht="19.5" x14ac:dyDescent="0.25">
      <c r="F23" s="77" t="s">
        <v>148</v>
      </c>
      <c r="G23" s="78">
        <f>[4]EXCEL!L27</f>
        <v>41726.595757426687</v>
      </c>
    </row>
    <row r="24" spans="6:7" ht="19.5" x14ac:dyDescent="0.25">
      <c r="F24" s="77" t="s">
        <v>149</v>
      </c>
      <c r="G24" s="78">
        <f>[4]Millenium!L27</f>
        <v>0</v>
      </c>
    </row>
    <row r="25" spans="6:7" ht="20.25" thickBot="1" x14ac:dyDescent="0.3">
      <c r="F25" s="79" t="s">
        <v>150</v>
      </c>
      <c r="G25" s="78">
        <f>[4]HHOGL!L27</f>
        <v>3272512.2242199238</v>
      </c>
    </row>
    <row r="26" spans="6:7" ht="20.25" thickBot="1" x14ac:dyDescent="0.4">
      <c r="F26" s="124"/>
      <c r="G26" s="125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151</v>
      </c>
      <c r="G36" s="88" t="s">
        <v>152</v>
      </c>
      <c r="H36" s="89" t="s">
        <v>153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154</v>
      </c>
      <c r="G39" s="88" t="s">
        <v>155</v>
      </c>
      <c r="H39" s="89" t="s">
        <v>153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156</v>
      </c>
      <c r="G42" s="88" t="s">
        <v>157</v>
      </c>
      <c r="H42" s="89" t="s">
        <v>153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108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109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110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111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112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113</v>
      </c>
      <c r="F10" s="65" t="s">
        <v>114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115</v>
      </c>
      <c r="F11" s="65" t="s">
        <v>114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116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117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118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119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120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114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114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114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114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114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114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114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114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114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114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121</v>
      </c>
      <c r="F72" s="65" t="s">
        <v>114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114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114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114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114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122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114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114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123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114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113</v>
      </c>
      <c r="F100" s="65" t="s">
        <v>114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115</v>
      </c>
      <c r="F101" s="65" t="s">
        <v>114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124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I33"/>
  <sheetViews>
    <sheetView tabSelected="1" topLeftCell="H1" workbookViewId="0">
      <pane xSplit="1" ySplit="3" topLeftCell="W7" activePane="bottomRight" state="frozen"/>
      <selection activeCell="H1" sqref="H1"/>
      <selection pane="topRight" activeCell="I1" sqref="I1"/>
      <selection pane="bottomLeft" activeCell="H4" sqref="H4"/>
      <selection pane="bottomRight" activeCell="AI11" sqref="AI11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4" customWidth="1"/>
    <col min="10" max="11" width="16.28515625" style="104" customWidth="1"/>
    <col min="12" max="14" width="14.5703125" style="104" customWidth="1"/>
    <col min="15" max="15" width="14.7109375" style="98" customWidth="1"/>
    <col min="16" max="29" width="13.5703125" style="98" customWidth="1"/>
    <col min="30" max="34" width="14.85546875" style="98" customWidth="1"/>
    <col min="35" max="35" width="52.5703125" style="104" customWidth="1"/>
  </cols>
  <sheetData>
    <row r="2" spans="1:35" ht="30" x14ac:dyDescent="0.25">
      <c r="A2" t="s">
        <v>18</v>
      </c>
      <c r="F2" s="7"/>
      <c r="G2" s="7"/>
      <c r="H2" s="95" t="s">
        <v>160</v>
      </c>
      <c r="I2" s="103"/>
      <c r="J2" s="103"/>
      <c r="K2" s="103"/>
    </row>
    <row r="3" spans="1:35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5" t="s">
        <v>161</v>
      </c>
      <c r="J3" s="105" t="s">
        <v>162</v>
      </c>
      <c r="K3" s="105" t="s">
        <v>163</v>
      </c>
      <c r="L3" s="105" t="s">
        <v>164</v>
      </c>
      <c r="M3" s="105" t="s">
        <v>165</v>
      </c>
      <c r="N3" s="105" t="s">
        <v>166</v>
      </c>
      <c r="O3" s="99" t="s">
        <v>158</v>
      </c>
      <c r="P3" s="99" t="s">
        <v>159</v>
      </c>
      <c r="Q3" s="99" t="s">
        <v>167</v>
      </c>
      <c r="R3" s="99" t="s">
        <v>168</v>
      </c>
      <c r="S3" s="99" t="s">
        <v>169</v>
      </c>
      <c r="T3" s="99" t="s">
        <v>170</v>
      </c>
      <c r="U3" s="99" t="s">
        <v>171</v>
      </c>
      <c r="V3" s="99" t="s">
        <v>172</v>
      </c>
      <c r="W3" s="99" t="s">
        <v>173</v>
      </c>
      <c r="X3" s="99" t="s">
        <v>174</v>
      </c>
      <c r="Y3" s="99" t="s">
        <v>175</v>
      </c>
      <c r="Z3" s="99" t="s">
        <v>176</v>
      </c>
      <c r="AA3" s="99" t="s">
        <v>177</v>
      </c>
      <c r="AB3" s="99" t="s">
        <v>178</v>
      </c>
      <c r="AC3" s="99" t="s">
        <v>179</v>
      </c>
      <c r="AD3" s="99" t="s">
        <v>180</v>
      </c>
      <c r="AE3" s="99" t="s">
        <v>181</v>
      </c>
      <c r="AF3" s="99" t="s">
        <v>182</v>
      </c>
      <c r="AG3" s="99" t="s">
        <v>183</v>
      </c>
      <c r="AH3" s="99" t="s">
        <v>184</v>
      </c>
      <c r="AI3" s="61" t="s">
        <v>34</v>
      </c>
    </row>
    <row r="4" spans="1:35" s="51" customFormat="1" x14ac:dyDescent="0.25">
      <c r="H4" s="52" t="s">
        <v>32</v>
      </c>
      <c r="I4" s="106"/>
      <c r="J4" s="106"/>
      <c r="K4" s="107"/>
      <c r="L4" s="107"/>
      <c r="M4" s="107"/>
      <c r="N4" s="107"/>
      <c r="O4" s="108"/>
      <c r="P4" s="108"/>
      <c r="Q4" s="108"/>
      <c r="R4" s="108"/>
      <c r="S4" s="108"/>
      <c r="T4" s="100">
        <f t="shared" ref="T4:T6" si="0">S4*0.3</f>
        <v>0</v>
      </c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9"/>
    </row>
    <row r="5" spans="1:35" s="53" customFormat="1" x14ac:dyDescent="0.25">
      <c r="G5" s="53">
        <v>110260</v>
      </c>
      <c r="H5" s="10" t="s">
        <v>25</v>
      </c>
      <c r="I5" s="72">
        <f>'Dec 2021'!G17</f>
        <v>1492231.3549057099</v>
      </c>
      <c r="J5" s="72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63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63">
        <f>K5+J5+I5</f>
        <v>3196218.4649057118</v>
      </c>
      <c r="M5" s="63">
        <f>94%*L5</f>
        <v>3004445.357011369</v>
      </c>
      <c r="N5" s="110">
        <f t="shared" ref="N5:N30" si="1">M5/3</f>
        <v>1001481.7856704564</v>
      </c>
      <c r="O5" s="111">
        <f>397372463.27/411.1329</f>
        <v>966530.44130012451</v>
      </c>
      <c r="P5" s="100">
        <f>O5*0.3</f>
        <v>289959.13239003735</v>
      </c>
      <c r="Q5" s="100">
        <v>708779.13</v>
      </c>
      <c r="R5" s="100">
        <f>Q5*0.3</f>
        <v>212633.739</v>
      </c>
      <c r="S5" s="100"/>
      <c r="T5" s="100">
        <f t="shared" si="0"/>
        <v>0</v>
      </c>
      <c r="U5" s="100">
        <f>769156.28+644867.23</f>
        <v>1414023.51</v>
      </c>
      <c r="V5" s="100">
        <f>U5*0.3</f>
        <v>424207.05300000001</v>
      </c>
      <c r="W5" s="100"/>
      <c r="X5" s="100">
        <f>W5*0.3</f>
        <v>0</v>
      </c>
      <c r="Y5" s="100">
        <v>1481439.1910312413</v>
      </c>
      <c r="Z5" s="100">
        <f>Y5*0.3</f>
        <v>444431.75730937236</v>
      </c>
      <c r="AA5" s="100"/>
      <c r="AB5" s="100">
        <f>AA5*0.3</f>
        <v>0</v>
      </c>
      <c r="AC5" s="100"/>
      <c r="AD5" s="100">
        <f>AC5*0.3</f>
        <v>0</v>
      </c>
      <c r="AE5" s="100"/>
      <c r="AF5" s="100"/>
      <c r="AG5" s="100"/>
      <c r="AH5" s="100"/>
      <c r="AI5" s="109"/>
    </row>
    <row r="6" spans="1:35" s="53" customFormat="1" ht="15.75" thickBot="1" x14ac:dyDescent="0.3">
      <c r="G6" s="53">
        <v>110262</v>
      </c>
      <c r="H6" s="10" t="s">
        <v>24</v>
      </c>
      <c r="I6" s="72">
        <f>'Dec 2021'!G4</f>
        <v>495455.38729020761</v>
      </c>
      <c r="J6" s="72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63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63">
        <f t="shared" ref="L6:L30" si="2">K6+J6+I6</f>
        <v>184570.30729020777</v>
      </c>
      <c r="M6" s="63">
        <f t="shared" ref="M6:M14" si="3">94%*L6</f>
        <v>173496.08885279531</v>
      </c>
      <c r="N6" s="110">
        <f t="shared" si="1"/>
        <v>57832.029617598433</v>
      </c>
      <c r="O6" s="111">
        <v>434716.82</v>
      </c>
      <c r="P6" s="100">
        <f t="shared" ref="P6:P7" si="4">O6*0.3</f>
        <v>130415.046</v>
      </c>
      <c r="Q6" s="100"/>
      <c r="R6" s="100">
        <f t="shared" ref="R6:R19" si="5">Q6*0.3</f>
        <v>0</v>
      </c>
      <c r="S6" s="100"/>
      <c r="T6" s="100">
        <f t="shared" si="0"/>
        <v>0</v>
      </c>
      <c r="U6" s="96"/>
      <c r="V6" s="100"/>
      <c r="W6" s="97">
        <v>999290.94810064288</v>
      </c>
      <c r="X6" s="100">
        <f t="shared" ref="X6:X33" si="6">W6*0.3</f>
        <v>299787.28443019284</v>
      </c>
      <c r="Y6" s="100"/>
      <c r="Z6" s="100"/>
      <c r="AA6" s="100"/>
      <c r="AB6" s="100">
        <f t="shared" ref="AB6:AB10" si="7">AA6*0.3</f>
        <v>0</v>
      </c>
      <c r="AC6" s="100"/>
      <c r="AD6" s="100">
        <f t="shared" ref="AD6:AD10" si="8">AC6*0.3</f>
        <v>0</v>
      </c>
      <c r="AE6" s="100"/>
      <c r="AF6" s="100"/>
      <c r="AG6" s="100"/>
      <c r="AH6" s="100"/>
      <c r="AI6" s="109"/>
    </row>
    <row r="7" spans="1:35" s="62" customFormat="1" ht="87.95" customHeight="1" thickBot="1" x14ac:dyDescent="0.3">
      <c r="G7" s="62">
        <v>110442</v>
      </c>
      <c r="H7" s="63" t="s">
        <v>23</v>
      </c>
      <c r="I7" s="72">
        <f>'Dec 2021'!G16</f>
        <v>724477.8245454469</v>
      </c>
      <c r="J7" s="72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63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63">
        <f t="shared" si="2"/>
        <v>2761294.7045454467</v>
      </c>
      <c r="M7" s="63">
        <f t="shared" si="3"/>
        <v>2595617.0222727195</v>
      </c>
      <c r="N7" s="110">
        <f t="shared" si="1"/>
        <v>865205.67409090651</v>
      </c>
      <c r="O7" s="111">
        <f>200000+(54692288.52/411.1329)+600000</f>
        <v>933028.24590296717</v>
      </c>
      <c r="P7" s="100">
        <f t="shared" si="4"/>
        <v>279908.47377089015</v>
      </c>
      <c r="Q7" s="100"/>
      <c r="R7" s="100">
        <f t="shared" si="5"/>
        <v>0</v>
      </c>
      <c r="S7" s="100"/>
      <c r="T7" s="100">
        <f t="shared" ref="T7:T8" si="9">S7*0.3</f>
        <v>0</v>
      </c>
      <c r="U7" s="96"/>
      <c r="V7" s="100"/>
      <c r="W7" s="100">
        <v>532334.56465678406</v>
      </c>
      <c r="X7" s="100">
        <f t="shared" si="6"/>
        <v>159700.36939703522</v>
      </c>
      <c r="Y7" s="100"/>
      <c r="Z7" s="100"/>
      <c r="AA7" s="100"/>
      <c r="AB7" s="100">
        <f t="shared" si="7"/>
        <v>0</v>
      </c>
      <c r="AC7" s="100">
        <v>492415.68969608773</v>
      </c>
      <c r="AD7" s="100">
        <f>AC7*0.3</f>
        <v>147724.70690882631</v>
      </c>
      <c r="AE7" s="100"/>
      <c r="AF7" s="100"/>
      <c r="AG7" s="100"/>
      <c r="AH7" s="100"/>
      <c r="AI7" s="119"/>
    </row>
    <row r="8" spans="1:35" s="53" customFormat="1" x14ac:dyDescent="0.25">
      <c r="H8" s="10" t="s">
        <v>22</v>
      </c>
      <c r="I8" s="72">
        <f>'Dec 2021'!G20</f>
        <v>2538360.5853224285</v>
      </c>
      <c r="J8" s="72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63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63">
        <f t="shared" si="2"/>
        <v>14320461.215322429</v>
      </c>
      <c r="M8" s="63">
        <f t="shared" si="3"/>
        <v>13461233.542403083</v>
      </c>
      <c r="N8" s="110">
        <f t="shared" si="1"/>
        <v>4487077.8474676944</v>
      </c>
      <c r="O8" s="100"/>
      <c r="P8" s="100">
        <f t="shared" ref="P8:P30" si="10">O8/3</f>
        <v>0</v>
      </c>
      <c r="Q8" s="100"/>
      <c r="R8" s="100">
        <f t="shared" si="5"/>
        <v>0</v>
      </c>
      <c r="S8" s="100"/>
      <c r="T8" s="100">
        <f t="shared" si="9"/>
        <v>0</v>
      </c>
      <c r="U8" s="100"/>
      <c r="V8" s="100"/>
      <c r="W8" s="100"/>
      <c r="X8" s="100">
        <f t="shared" si="6"/>
        <v>0</v>
      </c>
      <c r="Y8" s="100"/>
      <c r="Z8" s="100"/>
      <c r="AA8" s="100"/>
      <c r="AB8" s="100">
        <f t="shared" si="7"/>
        <v>0</v>
      </c>
      <c r="AC8" s="100"/>
      <c r="AD8" s="100">
        <f t="shared" si="8"/>
        <v>0</v>
      </c>
      <c r="AE8" s="100"/>
      <c r="AF8" s="100"/>
      <c r="AG8" s="100"/>
      <c r="AH8" s="100"/>
      <c r="AI8" s="63"/>
    </row>
    <row r="9" spans="1:35" s="53" customFormat="1" x14ac:dyDescent="0.25">
      <c r="H9" s="10" t="s">
        <v>21</v>
      </c>
      <c r="I9" s="72">
        <f>'Dec 2021'!G19</f>
        <v>1902477.8007057486</v>
      </c>
      <c r="J9" s="72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63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63">
        <f t="shared" si="2"/>
        <v>7233178.6807057494</v>
      </c>
      <c r="M9" s="63">
        <f t="shared" si="3"/>
        <v>6799187.9598634038</v>
      </c>
      <c r="N9" s="110">
        <f t="shared" si="1"/>
        <v>2266395.9866211344</v>
      </c>
      <c r="O9" s="100"/>
      <c r="P9" s="100">
        <f t="shared" si="10"/>
        <v>0</v>
      </c>
      <c r="Q9" s="100"/>
      <c r="R9" s="100">
        <f t="shared" si="5"/>
        <v>0</v>
      </c>
      <c r="S9" s="100">
        <v>4362839.1500000004</v>
      </c>
      <c r="T9" s="100">
        <f>S9*0.3</f>
        <v>1308851.7450000001</v>
      </c>
      <c r="U9" s="100"/>
      <c r="V9" s="100"/>
      <c r="W9" s="100"/>
      <c r="X9" s="100">
        <f t="shared" si="6"/>
        <v>0</v>
      </c>
      <c r="Y9" s="100"/>
      <c r="Z9" s="100"/>
      <c r="AA9" s="100"/>
      <c r="AB9" s="100">
        <f t="shared" si="7"/>
        <v>0</v>
      </c>
      <c r="AC9" s="100"/>
      <c r="AD9" s="100">
        <f t="shared" si="8"/>
        <v>0</v>
      </c>
      <c r="AE9" s="100"/>
      <c r="AF9" s="100"/>
      <c r="AG9" s="100"/>
      <c r="AH9" s="100"/>
      <c r="AI9" s="64"/>
    </row>
    <row r="10" spans="1:35" s="62" customFormat="1" x14ac:dyDescent="0.25">
      <c r="H10" s="63" t="s">
        <v>20</v>
      </c>
      <c r="I10" s="72">
        <f>'Dec 2021'!G21</f>
        <v>1361156.2958756015</v>
      </c>
      <c r="J10" s="7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63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63">
        <f t="shared" si="2"/>
        <v>31617315.005875602</v>
      </c>
      <c r="M10" s="63">
        <f t="shared" si="3"/>
        <v>29720276.105523065</v>
      </c>
      <c r="N10" s="110">
        <f t="shared" si="1"/>
        <v>9906758.701841021</v>
      </c>
      <c r="O10" s="100"/>
      <c r="P10" s="100">
        <f t="shared" si="10"/>
        <v>0</v>
      </c>
      <c r="Q10" s="100"/>
      <c r="R10" s="100">
        <f t="shared" si="5"/>
        <v>0</v>
      </c>
      <c r="S10" s="100"/>
      <c r="T10" s="100">
        <f t="shared" ref="T10:T30" si="11">S10*0.3</f>
        <v>0</v>
      </c>
      <c r="U10" s="100"/>
      <c r="V10" s="100"/>
      <c r="W10" s="100"/>
      <c r="X10" s="100">
        <f t="shared" si="6"/>
        <v>0</v>
      </c>
      <c r="Y10" s="100"/>
      <c r="Z10" s="100"/>
      <c r="AA10" s="100">
        <v>342944.79</v>
      </c>
      <c r="AB10" s="100">
        <f t="shared" si="7"/>
        <v>102883.43699999999</v>
      </c>
      <c r="AC10" s="100"/>
      <c r="AD10" s="100">
        <f t="shared" si="8"/>
        <v>0</v>
      </c>
      <c r="AE10" s="100"/>
      <c r="AF10" s="100"/>
      <c r="AG10" s="100"/>
      <c r="AH10" s="100"/>
      <c r="AI10" s="64"/>
    </row>
    <row r="11" spans="1:35" s="53" customFormat="1" ht="45" x14ac:dyDescent="0.25">
      <c r="C11" s="53" t="s">
        <v>6</v>
      </c>
      <c r="F11" s="53">
        <v>6.5819999999999999</v>
      </c>
      <c r="H11" s="10" t="s">
        <v>19</v>
      </c>
      <c r="I11" s="72">
        <f>'Dec 2021'!G7+'Dec 2021'!G8</f>
        <v>430890.708178745</v>
      </c>
      <c r="J11" s="72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63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63">
        <f t="shared" si="2"/>
        <v>9314831.5781787504</v>
      </c>
      <c r="M11" s="63">
        <f t="shared" si="3"/>
        <v>8755941.6834880244</v>
      </c>
      <c r="N11" s="110">
        <f t="shared" si="1"/>
        <v>2918647.2278293413</v>
      </c>
      <c r="O11" s="100"/>
      <c r="P11" s="100">
        <f t="shared" si="10"/>
        <v>0</v>
      </c>
      <c r="Q11" s="100"/>
      <c r="R11" s="100">
        <f t="shared" si="5"/>
        <v>0</v>
      </c>
      <c r="S11" s="100"/>
      <c r="T11" s="100">
        <f t="shared" si="11"/>
        <v>0</v>
      </c>
      <c r="U11" s="100"/>
      <c r="V11" s="100"/>
      <c r="W11" s="100"/>
      <c r="X11" s="100">
        <f t="shared" si="6"/>
        <v>0</v>
      </c>
      <c r="Y11" s="100"/>
      <c r="Z11" s="100"/>
      <c r="AA11" s="100"/>
      <c r="AB11" s="100"/>
      <c r="AC11" s="100"/>
      <c r="AD11" s="100"/>
      <c r="AE11" s="100"/>
      <c r="AF11" s="100"/>
      <c r="AG11" s="100">
        <v>7863300.79</v>
      </c>
      <c r="AH11" s="100">
        <f>AG11*0.3</f>
        <v>2358990.2369999997</v>
      </c>
      <c r="AI11" s="109" t="s">
        <v>185</v>
      </c>
    </row>
    <row r="12" spans="1:35" s="53" customFormat="1" x14ac:dyDescent="0.25">
      <c r="C12" s="53" t="s">
        <v>4</v>
      </c>
      <c r="F12" s="53">
        <v>6.08</v>
      </c>
      <c r="H12" s="10" t="s">
        <v>9</v>
      </c>
      <c r="I12" s="72">
        <f>'Dec 2021'!G24</f>
        <v>0</v>
      </c>
      <c r="J12" s="72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63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63">
        <f t="shared" si="2"/>
        <v>867393.21000000008</v>
      </c>
      <c r="M12" s="63">
        <f t="shared" si="3"/>
        <v>815349.61739999999</v>
      </c>
      <c r="N12" s="110">
        <f t="shared" si="1"/>
        <v>271783.2058</v>
      </c>
      <c r="O12" s="100"/>
      <c r="P12" s="100">
        <f t="shared" si="10"/>
        <v>0</v>
      </c>
      <c r="Q12" s="100"/>
      <c r="R12" s="100">
        <f t="shared" si="5"/>
        <v>0</v>
      </c>
      <c r="S12" s="100"/>
      <c r="T12" s="100">
        <f t="shared" si="11"/>
        <v>0</v>
      </c>
      <c r="U12" s="100"/>
      <c r="V12" s="100"/>
      <c r="W12" s="100"/>
      <c r="X12" s="100">
        <f t="shared" si="6"/>
        <v>0</v>
      </c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12"/>
    </row>
    <row r="13" spans="1:35" s="53" customFormat="1" x14ac:dyDescent="0.25">
      <c r="G13" s="53">
        <v>110258</v>
      </c>
      <c r="H13" s="10" t="s">
        <v>27</v>
      </c>
      <c r="I13" s="72"/>
      <c r="J13" s="72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63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63">
        <f t="shared" si="2"/>
        <v>1359137.57</v>
      </c>
      <c r="M13" s="63">
        <f t="shared" si="3"/>
        <v>1277589.3158</v>
      </c>
      <c r="N13" s="110">
        <f t="shared" si="1"/>
        <v>425863.10526666668</v>
      </c>
      <c r="O13" s="100"/>
      <c r="P13" s="100">
        <f t="shared" si="10"/>
        <v>0</v>
      </c>
      <c r="Q13" s="100"/>
      <c r="R13" s="100">
        <f t="shared" si="5"/>
        <v>0</v>
      </c>
      <c r="S13" s="100"/>
      <c r="T13" s="100">
        <f t="shared" si="11"/>
        <v>0</v>
      </c>
      <c r="U13" s="100"/>
      <c r="V13" s="100"/>
      <c r="W13" s="100"/>
      <c r="X13" s="100">
        <f t="shared" si="6"/>
        <v>0</v>
      </c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12"/>
    </row>
    <row r="14" spans="1:35" s="53" customFormat="1" x14ac:dyDescent="0.25">
      <c r="G14" s="53">
        <v>110261</v>
      </c>
      <c r="H14" s="10" t="s">
        <v>29</v>
      </c>
      <c r="I14" s="72">
        <f>'Dec 2021'!G9</f>
        <v>133105.98418986204</v>
      </c>
      <c r="J14" s="72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63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63">
        <f t="shared" si="2"/>
        <v>725927.66418986197</v>
      </c>
      <c r="M14" s="63">
        <f t="shared" si="3"/>
        <v>682372.00433847017</v>
      </c>
      <c r="N14" s="110">
        <f t="shared" si="1"/>
        <v>227457.33477949005</v>
      </c>
      <c r="O14" s="100"/>
      <c r="P14" s="100">
        <f t="shared" si="10"/>
        <v>0</v>
      </c>
      <c r="Q14" s="100"/>
      <c r="R14" s="100">
        <f t="shared" si="5"/>
        <v>0</v>
      </c>
      <c r="S14" s="100"/>
      <c r="T14" s="100">
        <f t="shared" si="11"/>
        <v>0</v>
      </c>
      <c r="U14" s="100"/>
      <c r="V14" s="100"/>
      <c r="W14" s="100"/>
      <c r="X14" s="100">
        <f t="shared" si="6"/>
        <v>0</v>
      </c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12"/>
    </row>
    <row r="15" spans="1:35" s="53" customFormat="1" x14ac:dyDescent="0.25">
      <c r="H15" s="73" t="s">
        <v>125</v>
      </c>
      <c r="I15" s="72">
        <f>'Dec 2021'!G25</f>
        <v>3272512.2242199238</v>
      </c>
      <c r="J15" s="72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63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63">
        <f t="shared" si="2"/>
        <v>12317834.544219924</v>
      </c>
      <c r="M15" s="62"/>
      <c r="N15" s="110">
        <f t="shared" si="1"/>
        <v>0</v>
      </c>
      <c r="O15" s="100"/>
      <c r="P15" s="100">
        <f t="shared" si="10"/>
        <v>0</v>
      </c>
      <c r="Q15" s="100">
        <f>731494168.94/414.5035</f>
        <v>1764747.8705004905</v>
      </c>
      <c r="R15" s="100">
        <f t="shared" si="5"/>
        <v>529424.36115014716</v>
      </c>
      <c r="S15" s="100">
        <v>5908694.1619334798</v>
      </c>
      <c r="T15" s="100">
        <f t="shared" si="11"/>
        <v>1772608.2485800439</v>
      </c>
      <c r="U15" s="113">
        <f>505884425.09/414.535</f>
        <v>1220366.0127371631</v>
      </c>
      <c r="V15" s="100">
        <f t="shared" ref="V15" si="12">U15*0.3</f>
        <v>366109.80382114893</v>
      </c>
      <c r="W15" s="102"/>
      <c r="X15" s="100">
        <f t="shared" si="6"/>
        <v>0</v>
      </c>
      <c r="Y15" s="100">
        <v>1845696.89</v>
      </c>
      <c r="Z15" s="100">
        <f>Y15*0.3</f>
        <v>553709.06699999992</v>
      </c>
      <c r="AA15" s="100"/>
      <c r="AB15" s="100">
        <f>AA15*0.3</f>
        <v>0</v>
      </c>
      <c r="AC15" s="100"/>
      <c r="AD15" s="100">
        <f>AC15*0.3</f>
        <v>0</v>
      </c>
      <c r="AE15" s="102"/>
      <c r="AF15" s="102"/>
      <c r="AG15" s="102"/>
      <c r="AH15" s="102"/>
      <c r="AI15" s="114"/>
    </row>
    <row r="16" spans="1:35" s="53" customFormat="1" x14ac:dyDescent="0.25">
      <c r="I16" s="115"/>
      <c r="J16" s="115"/>
      <c r="K16" s="62"/>
      <c r="L16" s="63">
        <f t="shared" si="2"/>
        <v>0</v>
      </c>
      <c r="M16" s="62"/>
      <c r="N16" s="110">
        <f t="shared" si="1"/>
        <v>0</v>
      </c>
      <c r="O16" s="100"/>
      <c r="P16" s="100">
        <f t="shared" si="10"/>
        <v>0</v>
      </c>
      <c r="Q16" s="100"/>
      <c r="R16" s="100">
        <f t="shared" si="5"/>
        <v>0</v>
      </c>
      <c r="S16" s="100"/>
      <c r="T16" s="100">
        <f t="shared" si="11"/>
        <v>0</v>
      </c>
      <c r="U16" s="100"/>
      <c r="V16" s="100"/>
      <c r="W16" s="100"/>
      <c r="X16" s="100">
        <f t="shared" si="6"/>
        <v>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16"/>
    </row>
    <row r="17" spans="3:35" s="53" customFormat="1" x14ac:dyDescent="0.25">
      <c r="H17" s="11" t="s">
        <v>33</v>
      </c>
      <c r="I17" s="72"/>
      <c r="J17" s="72"/>
      <c r="K17" s="63"/>
      <c r="L17" s="63">
        <f t="shared" si="2"/>
        <v>0</v>
      </c>
      <c r="M17" s="63"/>
      <c r="N17" s="110">
        <f t="shared" si="1"/>
        <v>0</v>
      </c>
      <c r="O17" s="100"/>
      <c r="P17" s="100">
        <f t="shared" si="10"/>
        <v>0</v>
      </c>
      <c r="Q17" s="100"/>
      <c r="R17" s="100">
        <f t="shared" si="5"/>
        <v>0</v>
      </c>
      <c r="S17" s="100"/>
      <c r="T17" s="100">
        <f t="shared" si="11"/>
        <v>0</v>
      </c>
      <c r="U17" s="100"/>
      <c r="V17" s="100"/>
      <c r="W17" s="100"/>
      <c r="X17" s="100">
        <f t="shared" si="6"/>
        <v>0</v>
      </c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12"/>
    </row>
    <row r="18" spans="3:35" s="53" customFormat="1" x14ac:dyDescent="0.25">
      <c r="G18" s="53">
        <v>110259</v>
      </c>
      <c r="H18" s="10" t="s">
        <v>107</v>
      </c>
      <c r="I18" s="72">
        <f>'Dec 2021'!G5</f>
        <v>110460.27513869906</v>
      </c>
      <c r="J18" s="72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63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63">
        <f t="shared" si="2"/>
        <v>4196938.4851386994</v>
      </c>
      <c r="M18" s="63">
        <f t="shared" ref="M18:M30" si="13">94%*L18</f>
        <v>3945122.1760303774</v>
      </c>
      <c r="N18" s="110">
        <f t="shared" si="1"/>
        <v>1315040.7253434591</v>
      </c>
      <c r="O18" s="100"/>
      <c r="P18" s="100">
        <f t="shared" si="10"/>
        <v>0</v>
      </c>
      <c r="Q18" s="100"/>
      <c r="R18" s="100">
        <f t="shared" si="5"/>
        <v>0</v>
      </c>
      <c r="S18" s="100"/>
      <c r="T18" s="100">
        <f t="shared" si="11"/>
        <v>0</v>
      </c>
      <c r="U18" s="100"/>
      <c r="V18" s="100"/>
      <c r="W18" s="100"/>
      <c r="X18" s="100">
        <f t="shared" si="6"/>
        <v>0</v>
      </c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12"/>
    </row>
    <row r="19" spans="3:35" s="53" customFormat="1" ht="16.5" customHeight="1" x14ac:dyDescent="0.25">
      <c r="G19" s="53">
        <v>110467</v>
      </c>
      <c r="H19" s="10" t="s">
        <v>0</v>
      </c>
      <c r="I19" s="72">
        <f>'Dec 2021'!G10</f>
        <v>2344969.6189536783</v>
      </c>
      <c r="J19" s="72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63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63">
        <f t="shared" si="2"/>
        <v>1484669.2389536789</v>
      </c>
      <c r="M19" s="63">
        <f t="shared" si="13"/>
        <v>1395589.084616458</v>
      </c>
      <c r="N19" s="110">
        <f t="shared" si="1"/>
        <v>465196.36153881933</v>
      </c>
      <c r="O19" s="100">
        <f>1425453.2+1425453.2+(486236139.27/411.1329)</f>
        <v>4033580.2732657976</v>
      </c>
      <c r="P19" s="100">
        <f t="shared" si="10"/>
        <v>1344526.7577552658</v>
      </c>
      <c r="Q19" s="100"/>
      <c r="R19" s="100">
        <f t="shared" si="5"/>
        <v>0</v>
      </c>
      <c r="S19" s="100"/>
      <c r="T19" s="100">
        <f t="shared" si="11"/>
        <v>0</v>
      </c>
      <c r="U19" s="100"/>
      <c r="V19" s="100"/>
      <c r="W19" s="100"/>
      <c r="X19" s="100">
        <f t="shared" si="6"/>
        <v>0</v>
      </c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9"/>
    </row>
    <row r="20" spans="3:35" s="53" customFormat="1" x14ac:dyDescent="0.25">
      <c r="G20" s="53">
        <v>110521</v>
      </c>
      <c r="H20" s="10" t="s">
        <v>12</v>
      </c>
      <c r="I20" s="72">
        <f>'Dec 2021'!G22</f>
        <v>404180.82542241627</v>
      </c>
      <c r="J20" s="72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63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63">
        <f t="shared" si="2"/>
        <v>1763190.0454224162</v>
      </c>
      <c r="M20" s="63">
        <f t="shared" si="13"/>
        <v>1657398.6426970712</v>
      </c>
      <c r="N20" s="110">
        <f t="shared" si="1"/>
        <v>552466.2142323571</v>
      </c>
      <c r="O20" s="100">
        <v>273332.86</v>
      </c>
      <c r="P20" s="100">
        <f t="shared" si="10"/>
        <v>91110.953333333324</v>
      </c>
      <c r="Q20" s="100"/>
      <c r="R20" s="100">
        <f t="shared" ref="R20:R33" si="14">Q20*0.3</f>
        <v>0</v>
      </c>
      <c r="S20" s="100"/>
      <c r="T20" s="100">
        <f t="shared" si="11"/>
        <v>0</v>
      </c>
      <c r="U20" s="100"/>
      <c r="V20" s="100"/>
      <c r="W20" s="100"/>
      <c r="X20" s="100">
        <f t="shared" si="6"/>
        <v>0</v>
      </c>
      <c r="Y20" s="100"/>
      <c r="Z20" s="100"/>
      <c r="AA20" s="100"/>
      <c r="AB20" s="100"/>
      <c r="AC20" s="100"/>
      <c r="AD20" s="100"/>
      <c r="AE20" s="100">
        <v>341697.81</v>
      </c>
      <c r="AF20" s="100">
        <f>AE20/3</f>
        <v>113899.27</v>
      </c>
      <c r="AG20" s="100"/>
      <c r="AH20" s="100"/>
      <c r="AI20" s="112"/>
    </row>
    <row r="21" spans="3:35" s="53" customFormat="1" x14ac:dyDescent="0.25">
      <c r="G21" s="53">
        <v>110537</v>
      </c>
      <c r="H21" s="10" t="s">
        <v>11</v>
      </c>
      <c r="I21" s="72">
        <f>'Dec 2021'!G11</f>
        <v>604861.04235677782</v>
      </c>
      <c r="J21" s="72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63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63">
        <f t="shared" si="2"/>
        <v>3333617.162356778</v>
      </c>
      <c r="M21" s="63">
        <f t="shared" si="13"/>
        <v>3133600.1326153711</v>
      </c>
      <c r="N21" s="110">
        <f t="shared" si="1"/>
        <v>1044533.377538457</v>
      </c>
      <c r="O21" s="100">
        <v>241611.37</v>
      </c>
      <c r="P21" s="100">
        <f t="shared" si="10"/>
        <v>80537.123333333337</v>
      </c>
      <c r="Q21" s="100"/>
      <c r="R21" s="100">
        <f t="shared" si="14"/>
        <v>0</v>
      </c>
      <c r="S21" s="100"/>
      <c r="T21" s="100">
        <f t="shared" si="11"/>
        <v>0</v>
      </c>
      <c r="U21" s="100"/>
      <c r="V21" s="100"/>
      <c r="W21" s="100"/>
      <c r="X21" s="100">
        <f t="shared" si="6"/>
        <v>0</v>
      </c>
      <c r="Y21" s="100"/>
      <c r="Z21" s="100"/>
      <c r="AA21" s="100"/>
      <c r="AB21" s="100"/>
      <c r="AC21" s="100"/>
      <c r="AD21" s="100"/>
      <c r="AE21" s="100">
        <v>498536.91</v>
      </c>
      <c r="AF21" s="100">
        <f t="shared" ref="AF21:AF27" si="15">AE21/3</f>
        <v>166178.97</v>
      </c>
      <c r="AG21" s="100"/>
      <c r="AH21" s="100"/>
      <c r="AI21" s="112"/>
    </row>
    <row r="22" spans="3:35" s="53" customFormat="1" x14ac:dyDescent="0.25">
      <c r="G22" s="54">
        <v>110117</v>
      </c>
      <c r="H22" s="10" t="s">
        <v>4</v>
      </c>
      <c r="I22" s="72">
        <f>'Dec 2021'!G12</f>
        <v>478506.51626176049</v>
      </c>
      <c r="J22" s="72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63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63">
        <f t="shared" si="2"/>
        <v>3894316.0862617604</v>
      </c>
      <c r="M22" s="63">
        <f t="shared" si="13"/>
        <v>3660657.1210860545</v>
      </c>
      <c r="N22" s="110">
        <f t="shared" si="1"/>
        <v>1220219.0403620182</v>
      </c>
      <c r="O22" s="100">
        <v>184228.43</v>
      </c>
      <c r="P22" s="100">
        <f t="shared" si="10"/>
        <v>61409.476666666662</v>
      </c>
      <c r="Q22" s="100"/>
      <c r="R22" s="100">
        <f t="shared" si="14"/>
        <v>0</v>
      </c>
      <c r="S22" s="100"/>
      <c r="T22" s="100">
        <f t="shared" si="11"/>
        <v>0</v>
      </c>
      <c r="U22" s="100"/>
      <c r="V22" s="100"/>
      <c r="W22" s="100"/>
      <c r="X22" s="100">
        <f t="shared" si="6"/>
        <v>0</v>
      </c>
      <c r="Y22" s="100"/>
      <c r="Z22" s="100"/>
      <c r="AA22" s="100"/>
      <c r="AB22" s="100"/>
      <c r="AC22" s="100"/>
      <c r="AD22" s="100"/>
      <c r="AE22" s="100">
        <v>453357.08</v>
      </c>
      <c r="AF22" s="100">
        <f t="shared" si="15"/>
        <v>151119.02666666667</v>
      </c>
      <c r="AG22" s="100"/>
      <c r="AH22" s="100"/>
      <c r="AI22" s="112"/>
    </row>
    <row r="23" spans="3:35" s="53" customFormat="1" x14ac:dyDescent="0.25">
      <c r="H23" s="10" t="s">
        <v>7</v>
      </c>
      <c r="I23" s="72">
        <f>'Dec 2021'!G14</f>
        <v>6245852.2558929063</v>
      </c>
      <c r="J23" s="72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63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63">
        <f t="shared" si="2"/>
        <v>21369773.715892911</v>
      </c>
      <c r="M23" s="63">
        <f t="shared" si="13"/>
        <v>20087587.292939335</v>
      </c>
      <c r="N23" s="110">
        <f t="shared" si="1"/>
        <v>6695862.4309797781</v>
      </c>
      <c r="O23" s="100">
        <v>4391728.88</v>
      </c>
      <c r="P23" s="100">
        <f t="shared" si="10"/>
        <v>1463909.6266666667</v>
      </c>
      <c r="Q23" s="100"/>
      <c r="R23" s="100">
        <f t="shared" si="14"/>
        <v>0</v>
      </c>
      <c r="S23" s="100"/>
      <c r="T23" s="100">
        <f t="shared" si="11"/>
        <v>0</v>
      </c>
      <c r="U23" s="100"/>
      <c r="V23" s="100"/>
      <c r="W23" s="100"/>
      <c r="X23" s="100">
        <f t="shared" si="6"/>
        <v>0</v>
      </c>
      <c r="Y23" s="100"/>
      <c r="Z23" s="100"/>
      <c r="AA23" s="100"/>
      <c r="AB23" s="100"/>
      <c r="AC23" s="100"/>
      <c r="AD23" s="100"/>
      <c r="AE23" s="100">
        <v>4760453.8</v>
      </c>
      <c r="AF23" s="100">
        <f t="shared" si="15"/>
        <v>1586817.9333333333</v>
      </c>
      <c r="AG23" s="100"/>
      <c r="AH23" s="100"/>
      <c r="AI23" s="112"/>
    </row>
    <row r="24" spans="3:35" s="53" customFormat="1" x14ac:dyDescent="0.25">
      <c r="H24" s="10" t="s">
        <v>6</v>
      </c>
      <c r="I24" s="72">
        <f>'Dec 2021'!G15</f>
        <v>1523832.3882810862</v>
      </c>
      <c r="J24" s="72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63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63">
        <f t="shared" si="2"/>
        <v>7528451.0282810861</v>
      </c>
      <c r="M24" s="63">
        <f t="shared" si="13"/>
        <v>7076743.9665842205</v>
      </c>
      <c r="N24" s="110">
        <f t="shared" si="1"/>
        <v>2358914.6555280737</v>
      </c>
      <c r="O24" s="100">
        <v>981360.29</v>
      </c>
      <c r="P24" s="100">
        <f t="shared" si="10"/>
        <v>327120.09666666668</v>
      </c>
      <c r="Q24" s="100"/>
      <c r="R24" s="100">
        <f t="shared" si="14"/>
        <v>0</v>
      </c>
      <c r="S24" s="100"/>
      <c r="T24" s="100">
        <f t="shared" si="11"/>
        <v>0</v>
      </c>
      <c r="U24" s="100"/>
      <c r="V24" s="100"/>
      <c r="W24" s="100"/>
      <c r="X24" s="100">
        <f t="shared" si="6"/>
        <v>0</v>
      </c>
      <c r="Y24" s="100"/>
      <c r="Z24" s="100"/>
      <c r="AA24" s="100"/>
      <c r="AB24" s="100"/>
      <c r="AC24" s="100"/>
      <c r="AD24" s="100"/>
      <c r="AE24" s="100">
        <v>1280331.6299999999</v>
      </c>
      <c r="AF24" s="100">
        <f t="shared" si="15"/>
        <v>426777.20999999996</v>
      </c>
      <c r="AG24" s="100"/>
      <c r="AH24" s="100"/>
      <c r="AI24" s="112"/>
    </row>
    <row r="25" spans="3:35" s="53" customFormat="1" x14ac:dyDescent="0.25">
      <c r="H25" s="10" t="s">
        <v>5</v>
      </c>
      <c r="I25" s="72">
        <f>'Dec 2021'!G13</f>
        <v>1577254.6119634807</v>
      </c>
      <c r="J25" s="72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63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63">
        <f t="shared" si="2"/>
        <v>7739947.8819634803</v>
      </c>
      <c r="M25" s="63">
        <f t="shared" si="13"/>
        <v>7275551.0090456707</v>
      </c>
      <c r="N25" s="110">
        <f t="shared" si="1"/>
        <v>2425183.6696818904</v>
      </c>
      <c r="O25" s="100">
        <v>716033.2</v>
      </c>
      <c r="P25" s="100">
        <f t="shared" si="10"/>
        <v>238677.73333333331</v>
      </c>
      <c r="Q25" s="100"/>
      <c r="R25" s="100">
        <f t="shared" si="14"/>
        <v>0</v>
      </c>
      <c r="S25" s="100"/>
      <c r="T25" s="100">
        <f t="shared" si="11"/>
        <v>0</v>
      </c>
      <c r="U25" s="100"/>
      <c r="V25" s="100"/>
      <c r="W25" s="100"/>
      <c r="X25" s="100">
        <f t="shared" si="6"/>
        <v>0</v>
      </c>
      <c r="Y25" s="100"/>
      <c r="Z25" s="100"/>
      <c r="AA25" s="100"/>
      <c r="AB25" s="100"/>
      <c r="AC25" s="100"/>
      <c r="AD25" s="100"/>
      <c r="AE25" s="100">
        <v>1010594.83</v>
      </c>
      <c r="AF25" s="100">
        <f t="shared" si="15"/>
        <v>336864.9433333333</v>
      </c>
      <c r="AG25" s="100"/>
      <c r="AH25" s="100"/>
      <c r="AI25" s="112"/>
    </row>
    <row r="26" spans="3:35" s="53" customFormat="1" x14ac:dyDescent="0.25">
      <c r="C26" s="53" t="s">
        <v>8</v>
      </c>
      <c r="F26" s="53">
        <v>3.0070000000000001</v>
      </c>
      <c r="H26" s="10" t="s">
        <v>2</v>
      </c>
      <c r="I26" s="72">
        <f>'Dec 2021'!G18</f>
        <v>678939.75603266316</v>
      </c>
      <c r="J26" s="72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63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63">
        <f t="shared" si="2"/>
        <v>1734847.5860326628</v>
      </c>
      <c r="M26" s="63">
        <f t="shared" si="13"/>
        <v>1630756.730870703</v>
      </c>
      <c r="N26" s="110">
        <f t="shared" si="1"/>
        <v>543585.576956901</v>
      </c>
      <c r="O26" s="100">
        <f>597898.65+(207253223.66/411.1329)</f>
        <v>1102001.3955112447</v>
      </c>
      <c r="P26" s="100">
        <f t="shared" si="10"/>
        <v>367333.7985037482</v>
      </c>
      <c r="Q26" s="62"/>
      <c r="R26" s="100">
        <f t="shared" si="14"/>
        <v>0</v>
      </c>
      <c r="S26" s="100"/>
      <c r="T26" s="100">
        <f t="shared" si="11"/>
        <v>0</v>
      </c>
      <c r="U26" s="100"/>
      <c r="V26" s="100"/>
      <c r="W26" s="100"/>
      <c r="X26" s="100">
        <f t="shared" si="6"/>
        <v>0</v>
      </c>
      <c r="Y26" s="100">
        <f>(62564548.06/416.149)+386995.66</f>
        <v>537337.3598719209</v>
      </c>
      <c r="Z26" s="100">
        <f>0.3*Y26</f>
        <v>161201.20796157626</v>
      </c>
      <c r="AA26" s="100"/>
      <c r="AB26" s="100">
        <f>0.3*AA26</f>
        <v>0</v>
      </c>
      <c r="AC26" s="100"/>
      <c r="AD26" s="100">
        <f>0.3*AC26</f>
        <v>0</v>
      </c>
      <c r="AE26" s="100"/>
      <c r="AF26" s="100">
        <f t="shared" si="15"/>
        <v>0</v>
      </c>
      <c r="AG26" s="100"/>
      <c r="AH26" s="100"/>
      <c r="AI26" s="109"/>
    </row>
    <row r="27" spans="3:35" s="53" customFormat="1" x14ac:dyDescent="0.25">
      <c r="C27" s="53" t="s">
        <v>7</v>
      </c>
      <c r="F27" s="53">
        <v>18.556999999999999</v>
      </c>
      <c r="H27" s="10" t="s">
        <v>10</v>
      </c>
      <c r="I27" s="72">
        <f>'Dec 2021'!G6</f>
        <v>434615.68888101901</v>
      </c>
      <c r="J27" s="72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63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63">
        <f t="shared" si="2"/>
        <v>2465991.0588810192</v>
      </c>
      <c r="M27" s="63">
        <f t="shared" si="13"/>
        <v>2318031.5953481579</v>
      </c>
      <c r="N27" s="110">
        <f t="shared" si="1"/>
        <v>772677.19844938593</v>
      </c>
      <c r="O27" s="100">
        <v>230439.99</v>
      </c>
      <c r="P27" s="100">
        <f>O27/3</f>
        <v>76813.33</v>
      </c>
      <c r="Q27" s="100"/>
      <c r="R27" s="100">
        <f t="shared" si="14"/>
        <v>0</v>
      </c>
      <c r="S27" s="100"/>
      <c r="T27" s="100">
        <f t="shared" si="11"/>
        <v>0</v>
      </c>
      <c r="U27" s="100"/>
      <c r="V27" s="100"/>
      <c r="W27" s="100"/>
      <c r="X27" s="100">
        <f t="shared" si="6"/>
        <v>0</v>
      </c>
      <c r="Y27" s="100"/>
      <c r="Z27" s="100"/>
      <c r="AA27" s="100"/>
      <c r="AB27" s="100"/>
      <c r="AC27" s="100"/>
      <c r="AD27" s="100"/>
      <c r="AE27" s="100">
        <v>443402.56</v>
      </c>
      <c r="AF27" s="100">
        <f t="shared" si="15"/>
        <v>147800.85333333333</v>
      </c>
      <c r="AG27" s="100"/>
      <c r="AH27" s="100"/>
      <c r="AI27" s="112"/>
    </row>
    <row r="28" spans="3:35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>
        <f>'Dec 2021'!G23</f>
        <v>41726.595757426687</v>
      </c>
      <c r="J28" s="72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63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63">
        <f t="shared" si="2"/>
        <v>115180.27575742669</v>
      </c>
      <c r="M28" s="63">
        <f t="shared" si="13"/>
        <v>108269.45921198108</v>
      </c>
      <c r="N28" s="110">
        <f t="shared" si="1"/>
        <v>36089.81973732703</v>
      </c>
      <c r="O28" s="100"/>
      <c r="P28" s="100">
        <f t="shared" si="10"/>
        <v>0</v>
      </c>
      <c r="Q28" s="100"/>
      <c r="R28" s="100">
        <f t="shared" si="14"/>
        <v>0</v>
      </c>
      <c r="S28" s="100"/>
      <c r="T28" s="100"/>
      <c r="U28" s="100">
        <v>70521.326000000001</v>
      </c>
      <c r="V28" s="100">
        <f>U28*0.3</f>
        <v>21156.397799999999</v>
      </c>
      <c r="W28" s="100">
        <v>103221.30103947798</v>
      </c>
      <c r="X28" s="100">
        <f t="shared" si="6"/>
        <v>30966.390311843395</v>
      </c>
      <c r="Y28" s="100">
        <v>207978.25</v>
      </c>
      <c r="Z28" s="100">
        <f>0.3*Y28</f>
        <v>62393.474999999999</v>
      </c>
      <c r="AA28" s="100">
        <v>49316.741384925277</v>
      </c>
      <c r="AB28" s="100">
        <f>0.3*AA28</f>
        <v>14795.022415477582</v>
      </c>
      <c r="AC28" s="100"/>
      <c r="AD28" s="100">
        <f>0.3*AC28</f>
        <v>0</v>
      </c>
      <c r="AE28" s="100"/>
      <c r="AF28" s="100"/>
      <c r="AG28" s="100"/>
      <c r="AH28" s="100"/>
      <c r="AI28" s="109"/>
    </row>
    <row r="29" spans="3:35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63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63">
        <f t="shared" si="2"/>
        <v>6068382.0300000003</v>
      </c>
      <c r="M29" s="63">
        <f t="shared" si="13"/>
        <v>5704279.1081999997</v>
      </c>
      <c r="N29" s="110">
        <f t="shared" si="1"/>
        <v>1901426.3694</v>
      </c>
      <c r="O29" s="100">
        <f>3531614.23+(838639036.97/411.1329)</f>
        <v>5571438.9119215878</v>
      </c>
      <c r="P29" s="100">
        <f t="shared" si="10"/>
        <v>1857146.3039738627</v>
      </c>
      <c r="Q29" s="100">
        <f>165478745.84/414.5035</f>
        <v>399221.58881649975</v>
      </c>
      <c r="R29" s="100">
        <f>Q29*0.3</f>
        <v>119766.47664494991</v>
      </c>
      <c r="S29" s="100"/>
      <c r="T29" s="100">
        <f t="shared" si="11"/>
        <v>0</v>
      </c>
      <c r="U29" s="100"/>
      <c r="V29" s="100"/>
      <c r="W29" s="100"/>
      <c r="X29" s="100">
        <f t="shared" si="6"/>
        <v>0</v>
      </c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12"/>
    </row>
    <row r="30" spans="3:35" s="53" customFormat="1" x14ac:dyDescent="0.25">
      <c r="G30" s="53">
        <v>110257</v>
      </c>
      <c r="H30" s="10" t="s">
        <v>126</v>
      </c>
      <c r="I30" s="72"/>
      <c r="J30" s="72">
        <f>I30/1000000</f>
        <v>0</v>
      </c>
      <c r="K30" s="63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63">
        <f t="shared" si="2"/>
        <v>835598.45</v>
      </c>
      <c r="M30" s="63">
        <f t="shared" si="13"/>
        <v>785462.54299999995</v>
      </c>
      <c r="N30" s="110">
        <f t="shared" si="1"/>
        <v>261820.84766666664</v>
      </c>
      <c r="O30" s="100"/>
      <c r="P30" s="100">
        <f t="shared" si="10"/>
        <v>0</v>
      </c>
      <c r="Q30" s="100"/>
      <c r="R30" s="100">
        <f t="shared" si="14"/>
        <v>0</v>
      </c>
      <c r="S30" s="100"/>
      <c r="T30" s="100">
        <f t="shared" si="11"/>
        <v>0</v>
      </c>
      <c r="U30" s="100"/>
      <c r="V30" s="100"/>
      <c r="W30" s="100"/>
      <c r="X30" s="100">
        <f t="shared" si="6"/>
        <v>0</v>
      </c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12"/>
    </row>
    <row r="31" spans="3:35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7">
        <f t="shared" ref="I31:M31" si="16">SUM(I1:I30)</f>
        <v>26795867.740175582</v>
      </c>
      <c r="J31" s="117">
        <f t="shared" si="16"/>
        <v>34336682.890000001</v>
      </c>
      <c r="K31" s="110">
        <f t="shared" si="16"/>
        <v>85296515.359999999</v>
      </c>
      <c r="L31" s="110">
        <f t="shared" si="16"/>
        <v>146429065.9901756</v>
      </c>
      <c r="M31" s="110">
        <f t="shared" si="16"/>
        <v>126064557.55919835</v>
      </c>
      <c r="N31" s="110">
        <f>M31/3</f>
        <v>42021519.186399452</v>
      </c>
      <c r="O31" s="100">
        <f>N31/3</f>
        <v>14007173.06213315</v>
      </c>
      <c r="P31" s="101">
        <f>SUM(P5:P30)</f>
        <v>6608867.8523938041</v>
      </c>
      <c r="Q31" s="101">
        <f>Q5+Q15+Q29</f>
        <v>2872748.5893169902</v>
      </c>
      <c r="R31" s="101">
        <f>Q31*0.3</f>
        <v>861824.57679509709</v>
      </c>
      <c r="S31" s="101"/>
      <c r="T31" s="101">
        <f>SUM(T4:T30)</f>
        <v>3081459.9935800442</v>
      </c>
      <c r="U31" s="101"/>
      <c r="V31" s="101">
        <f>SUM(V4:V30)</f>
        <v>811473.25462114892</v>
      </c>
      <c r="W31" s="101"/>
      <c r="X31" s="101">
        <f t="shared" ref="X31:AD31" si="17">SUM(X4:X30)</f>
        <v>490454.04413907148</v>
      </c>
      <c r="Y31" s="101">
        <f t="shared" si="17"/>
        <v>4072451.6909031626</v>
      </c>
      <c r="Z31" s="101">
        <f t="shared" si="17"/>
        <v>1221735.5072709487</v>
      </c>
      <c r="AA31" s="101">
        <f t="shared" si="17"/>
        <v>392261.53138492524</v>
      </c>
      <c r="AB31" s="101">
        <f t="shared" si="17"/>
        <v>117678.45941547757</v>
      </c>
      <c r="AC31" s="101">
        <f t="shared" si="17"/>
        <v>492415.68969608773</v>
      </c>
      <c r="AD31" s="101">
        <f t="shared" si="17"/>
        <v>147724.70690882631</v>
      </c>
      <c r="AE31" s="101">
        <f t="shared" ref="AE31" si="18">SUM(AE4:AE30)</f>
        <v>8788374.6199999992</v>
      </c>
      <c r="AF31" s="101">
        <f t="shared" ref="AF31:AH31" si="19">SUM(AF4:AF30)</f>
        <v>2929458.206666667</v>
      </c>
      <c r="AG31" s="101">
        <f t="shared" si="19"/>
        <v>7863300.79</v>
      </c>
      <c r="AH31" s="101">
        <f t="shared" si="19"/>
        <v>2358990.2369999997</v>
      </c>
      <c r="AI31" s="112"/>
    </row>
    <row r="32" spans="3:35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8"/>
      <c r="M32" s="118"/>
      <c r="N32" s="118"/>
      <c r="R32" s="100">
        <f t="shared" si="14"/>
        <v>0</v>
      </c>
      <c r="S32" s="102"/>
      <c r="T32" s="102"/>
      <c r="U32" s="102"/>
      <c r="V32" s="102"/>
      <c r="W32" s="102"/>
      <c r="X32" s="100">
        <f t="shared" si="6"/>
        <v>0</v>
      </c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</row>
    <row r="33" spans="3:34" ht="22.5" x14ac:dyDescent="0.25">
      <c r="C33" s="4" t="s">
        <v>0</v>
      </c>
      <c r="D33" s="3"/>
      <c r="E33" s="2"/>
      <c r="F33" s="1">
        <v>16.687000000000001</v>
      </c>
      <c r="G33" s="9"/>
      <c r="L33" s="118"/>
      <c r="M33" s="118"/>
      <c r="N33" s="118"/>
      <c r="R33" s="100">
        <f t="shared" si="14"/>
        <v>0</v>
      </c>
      <c r="S33" s="102"/>
      <c r="T33" s="102"/>
      <c r="U33" s="102"/>
      <c r="V33" s="102"/>
      <c r="W33" s="102"/>
      <c r="X33" s="100">
        <f t="shared" si="6"/>
        <v>0</v>
      </c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2022-05-12T13:14:36Z</dcterms:modified>
</cp:coreProperties>
</file>