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LAG-na-p002-s1\A.Orupabo$\cached\My Documents\"/>
    </mc:Choice>
  </mc:AlternateContent>
  <xr:revisionPtr revIDLastSave="0" documentId="8_{C195122B-9C19-45D9-A30F-117B5558D44D}" xr6:coauthVersionLast="46" xr6:coauthVersionMax="46" xr10:uidLastSave="{00000000-0000-0000-0000-000000000000}"/>
  <bookViews>
    <workbookView xWindow="-120" yWindow="-120" windowWidth="20730" windowHeight="11160" firstSheet="1" activeTab="3" xr2:uid="{DDF23A24-8FE2-40CB-9D35-00B580001FF4}"/>
  </bookViews>
  <sheets>
    <sheet name="31.12.2020" sheetId="2" r:id="rId1"/>
    <sheet name="Dec 2021" sheetId="19" r:id="rId2"/>
    <sheet name="Receivables 31.12.2021" sheetId="17" r:id="rId3"/>
    <sheet name="2022 Receipts to Bank" sheetId="1" r:id="rId4"/>
  </sheets>
  <externalReferences>
    <externalReference r:id="rId5"/>
    <externalReference r:id="rId6"/>
    <externalReference r:id="rId7"/>
    <externalReference r:id="rId8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3">[3]Detail!#REF!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1" i="1" l="1"/>
  <c r="V15" i="1"/>
  <c r="U15" i="1"/>
  <c r="V5" i="1"/>
  <c r="U5" i="1"/>
  <c r="T6" i="1" l="1"/>
  <c r="T5" i="1"/>
  <c r="T4" i="1"/>
  <c r="R31" i="1"/>
  <c r="T30" i="1"/>
  <c r="T29" i="1"/>
  <c r="V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8" i="1"/>
  <c r="T7" i="1"/>
  <c r="T9" i="1"/>
  <c r="Q15" i="1"/>
  <c r="R15" i="1" s="1"/>
  <c r="R16" i="1"/>
  <c r="R6" i="1"/>
  <c r="R7" i="1"/>
  <c r="R8" i="1"/>
  <c r="R9" i="1"/>
  <c r="R10" i="1"/>
  <c r="R11" i="1"/>
  <c r="R12" i="1"/>
  <c r="R13" i="1"/>
  <c r="R14" i="1"/>
  <c r="R17" i="1"/>
  <c r="R18" i="1"/>
  <c r="R19" i="1"/>
  <c r="R20" i="1"/>
  <c r="R21" i="1"/>
  <c r="R22" i="1"/>
  <c r="R23" i="1"/>
  <c r="R24" i="1"/>
  <c r="R25" i="1"/>
  <c r="R26" i="1"/>
  <c r="R27" i="1"/>
  <c r="R28" i="1"/>
  <c r="R30" i="1"/>
  <c r="R32" i="1"/>
  <c r="R33" i="1"/>
  <c r="R5" i="1"/>
  <c r="P6" i="1"/>
  <c r="O5" i="1"/>
  <c r="P5" i="1" s="1"/>
  <c r="T31" i="1" l="1"/>
  <c r="Q29" i="1"/>
  <c r="R29" i="1" s="1"/>
  <c r="P27" i="1"/>
  <c r="P30" i="1"/>
  <c r="P29" i="1"/>
  <c r="P28" i="1"/>
  <c r="P26" i="1"/>
  <c r="P25" i="1"/>
  <c r="P24" i="1"/>
  <c r="P23" i="1"/>
  <c r="P22" i="1"/>
  <c r="P21" i="1"/>
  <c r="P20" i="1"/>
  <c r="P18" i="1"/>
  <c r="P17" i="1"/>
  <c r="P16" i="1"/>
  <c r="P15" i="1"/>
  <c r="P14" i="1"/>
  <c r="P13" i="1"/>
  <c r="P12" i="1"/>
  <c r="P11" i="1"/>
  <c r="P10" i="1"/>
  <c r="P9" i="1"/>
  <c r="P8" i="1"/>
  <c r="O26" i="1"/>
  <c r="O19" i="1"/>
  <c r="P19" i="1" s="1"/>
  <c r="O29" i="1"/>
  <c r="O7" i="1"/>
  <c r="P7" i="1" s="1"/>
  <c r="P31" i="1" s="1"/>
  <c r="N17" i="1"/>
  <c r="N16" i="1"/>
  <c r="N15" i="1"/>
  <c r="L17" i="1"/>
  <c r="L16" i="1"/>
  <c r="I7" i="1"/>
  <c r="I6" i="1"/>
  <c r="G25" i="19"/>
  <c r="I15" i="1" s="1"/>
  <c r="G24" i="19"/>
  <c r="I12" i="1" s="1"/>
  <c r="G23" i="19"/>
  <c r="I28" i="1" s="1"/>
  <c r="G22" i="19"/>
  <c r="I20" i="1" s="1"/>
  <c r="G21" i="19"/>
  <c r="I10" i="1" s="1"/>
  <c r="G20" i="19"/>
  <c r="I8" i="1" s="1"/>
  <c r="G19" i="19"/>
  <c r="I9" i="1" s="1"/>
  <c r="G18" i="19"/>
  <c r="I26" i="1" s="1"/>
  <c r="G17" i="19"/>
  <c r="I5" i="1" s="1"/>
  <c r="G16" i="19"/>
  <c r="G15" i="19"/>
  <c r="I24" i="1" s="1"/>
  <c r="G14" i="19"/>
  <c r="I23" i="1" s="1"/>
  <c r="G13" i="19"/>
  <c r="I25" i="1" s="1"/>
  <c r="G12" i="19"/>
  <c r="I22" i="1" s="1"/>
  <c r="G11" i="19"/>
  <c r="I21" i="1" s="1"/>
  <c r="G10" i="19"/>
  <c r="I19" i="1" s="1"/>
  <c r="G9" i="19"/>
  <c r="I14" i="1" s="1"/>
  <c r="G8" i="19"/>
  <c r="G7" i="19"/>
  <c r="I11" i="1" s="1"/>
  <c r="G6" i="19"/>
  <c r="I27" i="1" s="1"/>
  <c r="G5" i="19"/>
  <c r="I18" i="1" s="1"/>
  <c r="G4" i="19"/>
  <c r="J5" i="1"/>
  <c r="Q31" i="1" l="1"/>
  <c r="G27" i="19"/>
  <c r="I31" i="1"/>
  <c r="L44" i="2" l="1"/>
  <c r="L39" i="2"/>
  <c r="L42" i="2"/>
  <c r="L23" i="2"/>
  <c r="L41" i="2"/>
  <c r="L43" i="2"/>
  <c r="L24" i="2"/>
  <c r="L22" i="2"/>
  <c r="K30" i="1"/>
  <c r="K10" i="1"/>
  <c r="J21" i="1"/>
  <c r="K19" i="1"/>
  <c r="K27" i="1"/>
  <c r="J15" i="1"/>
  <c r="K26" i="1"/>
  <c r="K7" i="1"/>
  <c r="J11" i="1"/>
  <c r="K6" i="1"/>
  <c r="K25" i="1"/>
  <c r="J23" i="1"/>
  <c r="J14" i="1"/>
  <c r="K24" i="1"/>
  <c r="J28" i="1"/>
  <c r="J18" i="1"/>
  <c r="K22" i="1"/>
  <c r="J24" i="1"/>
  <c r="J12" i="1"/>
  <c r="K9" i="1"/>
  <c r="J20" i="1"/>
  <c r="K18" i="1"/>
  <c r="K5" i="1"/>
  <c r="K11" i="1"/>
  <c r="J13" i="1"/>
  <c r="J10" i="1"/>
  <c r="K12" i="1"/>
  <c r="K20" i="1"/>
  <c r="J6" i="1"/>
  <c r="K23" i="1"/>
  <c r="K14" i="1"/>
  <c r="K15" i="1"/>
  <c r="J25" i="1"/>
  <c r="K8" i="1"/>
  <c r="J9" i="1"/>
  <c r="J22" i="1"/>
  <c r="K29" i="1"/>
  <c r="K21" i="1"/>
  <c r="J8" i="1"/>
  <c r="J27" i="1"/>
  <c r="J29" i="1"/>
  <c r="K28" i="1"/>
  <c r="J19" i="1"/>
  <c r="J7" i="1"/>
  <c r="K13" i="1"/>
  <c r="J26" i="1"/>
  <c r="L25" i="1" l="1"/>
  <c r="L7" i="1"/>
  <c r="L27" i="1"/>
  <c r="L29" i="1"/>
  <c r="L11" i="1"/>
  <c r="L15" i="1"/>
  <c r="L13" i="1"/>
  <c r="L6" i="1"/>
  <c r="L26" i="1"/>
  <c r="L19" i="1"/>
  <c r="L8" i="1"/>
  <c r="L28" i="1"/>
  <c r="L5" i="1"/>
  <c r="K31" i="1"/>
  <c r="L14" i="1"/>
  <c r="L20" i="1"/>
  <c r="L9" i="1"/>
  <c r="L22" i="1"/>
  <c r="L24" i="1"/>
  <c r="L21" i="1"/>
  <c r="L10" i="1"/>
  <c r="L18" i="1"/>
  <c r="L23" i="1"/>
  <c r="M23" i="1" s="1"/>
  <c r="N23" i="1" s="1"/>
  <c r="L12" i="1"/>
  <c r="J30" i="1"/>
  <c r="L30" i="1" s="1"/>
  <c r="M9" i="1" l="1"/>
  <c r="N9" i="1" s="1"/>
  <c r="M11" i="1"/>
  <c r="N11" i="1" s="1"/>
  <c r="M24" i="1"/>
  <c r="N24" i="1" s="1"/>
  <c r="M10" i="1"/>
  <c r="N10" i="1" s="1"/>
  <c r="M28" i="1"/>
  <c r="N28" i="1" s="1"/>
  <c r="M25" i="1"/>
  <c r="N25" i="1" s="1"/>
  <c r="M12" i="1"/>
  <c r="N12" i="1" s="1"/>
  <c r="J31" i="1"/>
  <c r="M8" i="1"/>
  <c r="N8" i="1" s="1"/>
  <c r="M27" i="1"/>
  <c r="N27" i="1" s="1"/>
  <c r="M29" i="1"/>
  <c r="N29" i="1" s="1"/>
  <c r="M22" i="1"/>
  <c r="N22" i="1" s="1"/>
  <c r="M21" i="1"/>
  <c r="N21" i="1" s="1"/>
  <c r="M20" i="1"/>
  <c r="N20" i="1" s="1"/>
  <c r="M19" i="1"/>
  <c r="N19" i="1" s="1"/>
  <c r="M6" i="1"/>
  <c r="N6" i="1" s="1"/>
  <c r="M14" i="1"/>
  <c r="N14" i="1" s="1"/>
  <c r="M18" i="1"/>
  <c r="N18" i="1" s="1"/>
  <c r="M13" i="1"/>
  <c r="N13" i="1" s="1"/>
  <c r="M30" i="1"/>
  <c r="N30" i="1" s="1"/>
  <c r="M7" i="1" l="1"/>
  <c r="N7" i="1" s="1"/>
  <c r="L31" i="1" l="1"/>
  <c r="M26" i="1"/>
  <c r="N26" i="1" s="1"/>
  <c r="M5" i="1" l="1"/>
  <c r="M31" i="1" l="1"/>
  <c r="N31" i="1" s="1"/>
  <c r="O31" i="1" s="1"/>
  <c r="N5" i="1"/>
</calcChain>
</file>

<file path=xl/sharedStrings.xml><?xml version="1.0" encoding="utf-8"?>
<sst xmlns="http://schemas.openxmlformats.org/spreadsheetml/2006/main" count="474" uniqueCount="176">
  <si>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</si>
  <si>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</si>
  <si>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</si>
  <si>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</si>
  <si>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</si>
  <si>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</si>
  <si>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</si>
  <si>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</si>
  <si>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</si>
  <si>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</si>
  <si>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</si>
  <si>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</si>
  <si>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</si>
  <si>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</si>
  <si>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</si>
  <si>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</si>
  <si>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</si>
  <si>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</si>
  <si>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</si>
  <si>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</si>
  <si>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</si>
  <si>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</si>
  <si>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</si>
  <si>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</si>
  <si>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</si>
  <si>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</si>
  <si>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</si>
  <si>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</si>
  <si>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</si>
  <si>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</si>
  <si>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</si>
  <si>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</si>
  <si>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</si>
  <si>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</si>
  <si>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</si>
  <si>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</si>
  <si>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</si>
  <si>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</si>
  <si>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</si>
  <si>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</si>
  <si>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</si>
  <si>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</si>
  <si>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</si>
  <si>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</si>
  <si>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</si>
  <si>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</si>
  <si>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</si>
  <si>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</si>
  <si>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</si>
  <si>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</si>
  <si>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</si>
  <si>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</si>
  <si>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</si>
  <si>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</si>
  <si>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</si>
  <si>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</si>
  <si>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</si>
  <si>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</si>
  <si>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</si>
  <si>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</si>
  <si>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</si>
  <si>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</si>
  <si>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</si>
  <si>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</si>
  <si>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</si>
  <si>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</si>
  <si>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</si>
  <si>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</si>
  <si>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</si>
  <si>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</si>
  <si>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</si>
  <si>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</si>
  <si>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</si>
  <si>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</si>
  <si>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</si>
  <si>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</si>
  <si>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</si>
  <si>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</si>
  <si>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</si>
  <si>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</si>
  <si>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</si>
  <si>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</si>
  <si>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</si>
  <si>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</si>
  <si>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</si>
  <si>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</si>
  <si>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</si>
  <si>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</si>
  <si>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</si>
  <si>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</si>
  <si>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</si>
  <si>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</si>
  <si>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</si>
  <si>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</si>
  <si>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</si>
  <si>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</si>
  <si>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</si>
  <si>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</si>
  <si>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</si>
  <si>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</si>
  <si>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</si>
  <si>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</si>
  <si>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</si>
  <si>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</si>
  <si>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</si>
  <si>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</si>
  <si>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</si>
  <si>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Pan Ocean Oil Corp. (Nigeria) Ltd (OML 98)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</si>
  <si>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</si>
  <si>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</si>
  <si>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</si>
  <si>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</si>
  <si>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</si>
  <si>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</si>
  <si>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</si>
  <si>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</si>
  <si>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</si>
  <si>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</si>
  <si>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</si>
  <si>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</si>
  <si>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</si>
  <si>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</si>
  <si>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</si>
  <si>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</si>
  <si>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</si>
  <si>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</si>
  <si>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</si>
  <si>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</si>
  <si>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</si>
  <si>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</si>
  <si>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</si>
  <si>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</si>
  <si>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</si>
  <si>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</si>
  <si>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</si>
  <si>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</si>
  <si>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</si>
  <si>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</si>
  <si>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</si>
  <si>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</si>
  <si>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</si>
  <si>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</si>
  <si>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</si>
  <si>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</si>
  <si>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</si>
  <si>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</si>
  <si>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</si>
  <si>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</si>
  <si>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</si>
  <si>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</si>
  <si>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</si>
  <si>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</si>
  <si>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</si>
  <si>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</si>
  <si>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</si>
  <si>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</si>
  <si>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</si>
  <si>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</si>
  <si>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100% value of receipts as at 24 JAN 2022 FUS$</t>
  </si>
  <si>
    <t>SS value of receipts as at 24 JAN 2022 FUS$</t>
  </si>
  <si>
    <t>MATCHING OF 31.12.2021 OVERDUE INVOICES TO RECEIPTS FOR CRUDE HANDLING EAST $ WEST 24/01/2022</t>
  </si>
  <si>
    <t>December 2021 invoices FUS$</t>
  </si>
  <si>
    <t>Not Overdue as at 31.12.2021 FUS$ mln</t>
  </si>
  <si>
    <t>Overdue as at 31.12.2021 FUS$</t>
  </si>
  <si>
    <t xml:space="preserve">Total Outstanding as at 31.12.2021 (with December 2021 invoices) </t>
  </si>
  <si>
    <t xml:space="preserve">94% Updated  Outstanding as at 31.12.2021 (with December 2021 invoices) </t>
  </si>
  <si>
    <t xml:space="preserve">SS of 94% Updated  Outstanding as at 31.12.2021 (with December 2021 invoices) </t>
  </si>
  <si>
    <t>100% value additional  receipts as at 03/02/2022  FUS$</t>
  </si>
  <si>
    <t>SS value of receipts as at  03/02/2022 FUS$</t>
  </si>
  <si>
    <t>100% value additional  receipts as at 10/02/2022  FUS$</t>
  </si>
  <si>
    <t>SS value of receipts as at  10/02/2022 FUS$</t>
  </si>
  <si>
    <t>Excel payment for November and December 2021 Invoices</t>
  </si>
  <si>
    <t>100% value additional  receipts as at 17/02/2022  FUS$</t>
  </si>
  <si>
    <t>SS value of receipts as at  17/02/2022 FUS$</t>
  </si>
  <si>
    <t>Received the sum of US$1,414,023.51 on 10/02/2022 being payment for Oct ’21 and Nov ’21 USD invoices.</t>
  </si>
  <si>
    <t>Received the sum of NGN505,884,425.09 (ie. FUS$1,220,366.01) on 11/02/22  being payment for Dec ’21 NGN invoice.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</si>
</sst>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0.0"/>
    <numFmt numFmtId="165" formatCode="_-* #,##0.00_-;\-* #,##0.00_-;_-* &quot;-&quot;??_-;_-@_-"/>
    <numFmt numFmtId="166" formatCode="mm/dd/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  <font>
      <sz val="10"/>
      <color rgb="FF4472C4"/>
      <name val="Calibri"/>
      <family val="2"/>
    </font>
    <font>
      <sz val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1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43" fontId="0" fillId="0" borderId="2" xfId="1" applyFont="1" applyFill="1" applyBorder="1"/>
    <xf numFmtId="43" fontId="0" fillId="0" borderId="0" xfId="0" applyNumberFormat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5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5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40" fontId="0" fillId="0" borderId="1" xfId="0" applyNumberForma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40" fontId="0" fillId="9" borderId="1" xfId="0" applyNumberFormat="1" applyFill="1" applyBorder="1" applyAlignment="1">
      <alignment wrapText="1"/>
    </xf>
    <xf numFmtId="43" fontId="0" fillId="9" borderId="1" xfId="1" applyFont="1" applyFill="1" applyBorder="1" applyAlignment="1">
      <alignment wrapText="1"/>
    </xf>
    <xf numFmtId="43" fontId="0" fillId="0" borderId="1" xfId="1" applyFont="1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0" fontId="0" fillId="10" borderId="1" xfId="0" applyNumberFormat="1" applyFill="1" applyBorder="1" applyAlignment="1">
      <alignment wrapText="1"/>
    </xf>
    <xf numFmtId="43" fontId="0" fillId="10" borderId="1" xfId="1" applyFont="1" applyFill="1" applyBorder="1"/>
    <xf numFmtId="43" fontId="0" fillId="10" borderId="1" xfId="1" applyFont="1" applyFill="1" applyBorder="1" applyAlignment="1">
      <alignment vertical="center"/>
    </xf>
    <xf numFmtId="0" fontId="0" fillId="10" borderId="0" xfId="0" applyFill="1"/>
    <xf numFmtId="43" fontId="2" fillId="10" borderId="1" xfId="1" applyFont="1" applyFill="1" applyBorder="1"/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3" fontId="0" fillId="0" borderId="2" xfId="1" applyFont="1" applyFill="1" applyBorder="1" applyAlignment="1">
      <alignment wrapText="1"/>
    </xf>
    <xf numFmtId="43" fontId="0" fillId="0" borderId="2" xfId="1" applyFont="1" applyFill="1" applyBorder="1" applyAlignment="1">
      <alignment horizontal="right"/>
    </xf>
    <xf numFmtId="43" fontId="0" fillId="0" borderId="0" xfId="1" applyFont="1" applyFill="1" applyBorder="1"/>
    <xf numFmtId="0" fontId="13" fillId="0" borderId="1" xfId="0" applyFont="1" applyBorder="1" applyAlignment="1">
      <alignment horizontal="left" vertical="center" indent="1"/>
    </xf>
    <xf numFmtId="40" fontId="0" fillId="0" borderId="0" xfId="0" applyNumberFormat="1" applyAlignment="1">
      <alignment wrapText="1"/>
    </xf>
    <xf numFmtId="43" fontId="2" fillId="0" borderId="2" xfId="1" applyFont="1" applyFill="1" applyBorder="1"/>
    <xf numFmtId="0" fontId="14" fillId="0" borderId="18" xfId="0" applyFont="1" applyBorder="1" applyAlignment="1">
      <alignment horizontal="right" vertical="center"/>
    </xf>
    <xf numFmtId="4" fontId="15" fillId="0" borderId="0" xfId="0" applyNumberFormat="1" applyFont="1"/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50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5" x14ac:dyDescent="0.25"/>
  <cols>
    <col min="1" max="1" width="1.85546875" style="18" customWidth="1"/>
    <col min="2" max="2" width="15.5703125" customWidth="1"/>
    <col min="3" max="3" width="15.42578125" style="52" bestFit="1" customWidth="1"/>
    <col min="4" max="4" width="18.140625" style="52" customWidth="1"/>
    <col min="5" max="5" width="13.85546875" style="52" bestFit="1" customWidth="1"/>
    <col min="6" max="6" width="43.85546875" style="52" bestFit="1" customWidth="1"/>
    <col min="7" max="7" width="16.42578125" style="52" bestFit="1" customWidth="1"/>
    <col min="8" max="10" width="14.85546875" style="52" bestFit="1" customWidth="1"/>
    <col min="11" max="11" width="14.85546875" style="18" bestFit="1" customWidth="1"/>
    <col min="12" max="12" width="13.5703125" style="21" bestFit="1" customWidth="1"/>
    <col min="13" max="13" width="13.5703125" style="18" bestFit="1" customWidth="1"/>
    <col min="14" max="48" width="8.7109375" style="18"/>
  </cols>
  <sheetData>
    <row r="1" spans="1:48" s="8" customFormat="1" x14ac:dyDescent="0.25">
      <c r="A1" s="15"/>
      <c r="B1"/>
      <c r="C1"/>
      <c r="D1" s="16"/>
      <c r="E1" s="16"/>
      <c r="F1" s="16"/>
      <c r="G1" s="16"/>
      <c r="H1" s="16"/>
      <c r="I1" s="16"/>
      <c r="J1" s="16"/>
      <c r="K1" s="15"/>
      <c r="L1" s="17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</row>
    <row r="2" spans="1:48" ht="15" customHeight="1" x14ac:dyDescent="0.25">
      <c r="B2" s="14"/>
      <c r="C2" s="19"/>
      <c r="D2" s="19"/>
      <c r="E2" s="19"/>
      <c r="F2" s="20" t="s">
        <v>35</v>
      </c>
      <c r="G2" s="19"/>
      <c r="H2" s="19"/>
      <c r="I2" s="19"/>
      <c r="J2" s="19"/>
    </row>
    <row r="3" spans="1:48" x14ac:dyDescent="0.25">
      <c r="B3" s="14" t="s">
        <v>18</v>
      </c>
      <c r="C3" s="14"/>
      <c r="D3" s="14"/>
      <c r="E3" s="14"/>
      <c r="F3" s="14"/>
      <c r="G3" s="14"/>
      <c r="H3" s="14" t="s">
        <v>36</v>
      </c>
      <c r="I3" s="14"/>
      <c r="J3" s="14"/>
      <c r="K3" s="14"/>
    </row>
    <row r="4" spans="1:48" x14ac:dyDescent="0.25">
      <c r="B4" s="14" t="s">
        <v>17</v>
      </c>
      <c r="C4" s="14" t="s">
        <v>16</v>
      </c>
      <c r="D4" s="14" t="s">
        <v>15</v>
      </c>
      <c r="E4" s="14" t="s">
        <v>14</v>
      </c>
      <c r="F4" s="14" t="s">
        <v>13</v>
      </c>
      <c r="G4" s="14" t="s">
        <v>37</v>
      </c>
      <c r="H4" s="14" t="s">
        <v>38</v>
      </c>
      <c r="I4" s="14" t="s">
        <v>39</v>
      </c>
      <c r="J4" s="14" t="s">
        <v>40</v>
      </c>
      <c r="K4" s="14" t="s">
        <v>41</v>
      </c>
    </row>
    <row r="5" spans="1:48" x14ac:dyDescent="0.25">
      <c r="B5" s="14" t="s">
        <v>42</v>
      </c>
      <c r="C5" s="14" t="s">
        <v>43</v>
      </c>
      <c r="D5" s="14" t="s">
        <v>44</v>
      </c>
      <c r="E5" s="14">
        <v>110006</v>
      </c>
      <c r="F5" s="14" t="s">
        <v>26</v>
      </c>
      <c r="G5" s="14" t="s">
        <v>45</v>
      </c>
      <c r="H5" s="22">
        <v>20982.67</v>
      </c>
      <c r="I5" s="22">
        <v>636170.94000000006</v>
      </c>
      <c r="J5" s="22"/>
      <c r="K5" s="22">
        <v>657153.6100000001</v>
      </c>
    </row>
    <row r="6" spans="1:48" x14ac:dyDescent="0.25">
      <c r="B6" s="14"/>
      <c r="C6" s="14"/>
      <c r="D6" s="14"/>
      <c r="E6" s="14">
        <v>110042</v>
      </c>
      <c r="F6" s="14" t="s">
        <v>29</v>
      </c>
      <c r="G6" s="14" t="s">
        <v>45</v>
      </c>
      <c r="H6" s="22"/>
      <c r="I6" s="22">
        <v>9570953.8800000008</v>
      </c>
      <c r="J6" s="22">
        <v>128775.95000000001</v>
      </c>
      <c r="K6" s="22">
        <v>9699729.8300000001</v>
      </c>
    </row>
    <row r="7" spans="1:48" x14ac:dyDescent="0.25">
      <c r="B7" s="14"/>
      <c r="C7" s="14"/>
      <c r="D7" s="14" t="s">
        <v>46</v>
      </c>
      <c r="E7" s="14"/>
      <c r="F7" s="14"/>
      <c r="G7" s="14"/>
      <c r="H7" s="22">
        <v>20982.67</v>
      </c>
      <c r="I7" s="22">
        <v>10207124.82</v>
      </c>
      <c r="J7" s="22">
        <v>128775.95000000001</v>
      </c>
      <c r="K7" s="22">
        <v>10356883.439999999</v>
      </c>
    </row>
    <row r="8" spans="1:48" x14ac:dyDescent="0.25">
      <c r="B8" s="14"/>
      <c r="C8" s="14"/>
      <c r="D8" s="14" t="s">
        <v>47</v>
      </c>
      <c r="E8" s="14">
        <v>110006</v>
      </c>
      <c r="F8" s="14" t="s">
        <v>26</v>
      </c>
      <c r="G8" s="14" t="s">
        <v>45</v>
      </c>
      <c r="H8" s="22"/>
      <c r="I8" s="22">
        <v>1771.7600000000002</v>
      </c>
      <c r="J8" s="22"/>
      <c r="K8" s="22">
        <v>1771.7600000000002</v>
      </c>
    </row>
    <row r="9" spans="1:48" x14ac:dyDescent="0.25">
      <c r="B9" s="14"/>
      <c r="C9" s="14"/>
      <c r="D9" s="14"/>
      <c r="E9" s="14">
        <v>110033</v>
      </c>
      <c r="F9" s="14" t="s">
        <v>48</v>
      </c>
      <c r="G9" s="14" t="s">
        <v>49</v>
      </c>
      <c r="H9" s="22"/>
      <c r="I9" s="22">
        <v>57720</v>
      </c>
      <c r="J9" s="22"/>
      <c r="K9" s="22">
        <v>57720</v>
      </c>
    </row>
    <row r="10" spans="1:48" x14ac:dyDescent="0.25">
      <c r="B10" s="14"/>
      <c r="C10" s="14"/>
      <c r="D10" s="14"/>
      <c r="E10" s="14">
        <v>110070</v>
      </c>
      <c r="F10" s="14" t="s">
        <v>50</v>
      </c>
      <c r="G10" s="14" t="s">
        <v>49</v>
      </c>
      <c r="H10" s="22"/>
      <c r="I10" s="22">
        <v>2285.1900000000023</v>
      </c>
      <c r="J10" s="22"/>
      <c r="K10" s="22">
        <v>2285.1900000000023</v>
      </c>
    </row>
    <row r="11" spans="1:48" x14ac:dyDescent="0.25">
      <c r="B11" s="14"/>
      <c r="C11" s="14"/>
      <c r="D11" s="14"/>
      <c r="E11" s="14">
        <v>110112</v>
      </c>
      <c r="F11" s="14" t="s">
        <v>51</v>
      </c>
      <c r="G11" s="14" t="s">
        <v>52</v>
      </c>
      <c r="H11" s="22">
        <v>37301.229999999996</v>
      </c>
      <c r="I11" s="22"/>
      <c r="J11" s="22"/>
      <c r="K11" s="22">
        <v>37301.229999999996</v>
      </c>
    </row>
    <row r="12" spans="1:48" x14ac:dyDescent="0.25">
      <c r="B12" s="14"/>
      <c r="C12" s="14"/>
      <c r="D12" s="14"/>
      <c r="E12" s="14">
        <v>110258</v>
      </c>
      <c r="F12" s="14" t="s">
        <v>11</v>
      </c>
      <c r="G12" s="14" t="s">
        <v>53</v>
      </c>
      <c r="H12" s="22"/>
      <c r="I12" s="22">
        <v>174856.59000000003</v>
      </c>
      <c r="J12" s="22"/>
      <c r="K12" s="22">
        <v>174856.59000000003</v>
      </c>
    </row>
    <row r="13" spans="1:48" x14ac:dyDescent="0.25">
      <c r="B13" s="14"/>
      <c r="C13" s="14"/>
      <c r="D13" s="14"/>
      <c r="E13" s="14">
        <v>110259</v>
      </c>
      <c r="F13" s="14" t="s">
        <v>4</v>
      </c>
      <c r="G13" s="14" t="s">
        <v>53</v>
      </c>
      <c r="H13" s="22"/>
      <c r="I13" s="22">
        <v>2031117.9200000002</v>
      </c>
      <c r="J13" s="22"/>
      <c r="K13" s="22">
        <v>2031117.9200000002</v>
      </c>
    </row>
    <row r="14" spans="1:48" x14ac:dyDescent="0.25">
      <c r="B14" s="14"/>
      <c r="C14" s="14"/>
      <c r="D14" s="14"/>
      <c r="E14" s="14">
        <v>110260</v>
      </c>
      <c r="F14" s="14" t="s">
        <v>54</v>
      </c>
      <c r="G14" s="14" t="s">
        <v>53</v>
      </c>
      <c r="H14" s="22"/>
      <c r="I14" s="22">
        <v>60822.839999999982</v>
      </c>
      <c r="J14" s="22"/>
      <c r="K14" s="22">
        <v>60822.839999999982</v>
      </c>
    </row>
    <row r="15" spans="1:48" x14ac:dyDescent="0.25">
      <c r="B15" s="14"/>
      <c r="C15" s="14"/>
      <c r="D15" s="14"/>
      <c r="E15" s="14">
        <v>110262</v>
      </c>
      <c r="F15" s="14" t="s">
        <v>5</v>
      </c>
      <c r="G15" s="14" t="s">
        <v>53</v>
      </c>
      <c r="H15" s="22"/>
      <c r="I15" s="22">
        <v>34420.99</v>
      </c>
      <c r="J15" s="22"/>
      <c r="K15" s="22">
        <v>34420.99</v>
      </c>
    </row>
    <row r="16" spans="1:48" x14ac:dyDescent="0.25">
      <c r="B16" s="14"/>
      <c r="C16" s="14"/>
      <c r="D16" s="14"/>
      <c r="E16" s="14">
        <v>110462</v>
      </c>
      <c r="F16" s="14" t="s">
        <v>55</v>
      </c>
      <c r="G16" s="14" t="s">
        <v>56</v>
      </c>
      <c r="H16" s="22"/>
      <c r="I16" s="22">
        <v>580861.25</v>
      </c>
      <c r="J16" s="22"/>
      <c r="K16" s="22">
        <v>580861.25</v>
      </c>
    </row>
    <row r="17" spans="2:12" x14ac:dyDescent="0.25">
      <c r="B17" s="14"/>
      <c r="C17" s="14"/>
      <c r="D17" s="14"/>
      <c r="E17" s="14">
        <v>110513</v>
      </c>
      <c r="F17" s="14" t="s">
        <v>57</v>
      </c>
      <c r="G17" s="14" t="s">
        <v>52</v>
      </c>
      <c r="H17" s="22"/>
      <c r="I17" s="22">
        <v>72910.649999999994</v>
      </c>
      <c r="J17" s="22"/>
      <c r="K17" s="22">
        <v>72910.649999999994</v>
      </c>
    </row>
    <row r="18" spans="2:12" x14ac:dyDescent="0.25">
      <c r="B18" s="14"/>
      <c r="C18" s="14"/>
      <c r="D18" s="14"/>
      <c r="E18" s="14">
        <v>110514</v>
      </c>
      <c r="F18" s="14" t="s">
        <v>58</v>
      </c>
      <c r="G18" s="14" t="s">
        <v>52</v>
      </c>
      <c r="H18" s="22"/>
      <c r="I18" s="22">
        <v>55075.9</v>
      </c>
      <c r="J18" s="22"/>
      <c r="K18" s="22">
        <v>55075.9</v>
      </c>
    </row>
    <row r="19" spans="2:12" x14ac:dyDescent="0.25">
      <c r="B19" s="14"/>
      <c r="C19" s="14"/>
      <c r="D19" s="14"/>
      <c r="E19" s="14">
        <v>110522</v>
      </c>
      <c r="F19" s="14" t="s">
        <v>59</v>
      </c>
      <c r="G19" s="14" t="s">
        <v>60</v>
      </c>
      <c r="H19" s="22">
        <v>20880.46</v>
      </c>
      <c r="I19" s="22">
        <v>537351.07999999996</v>
      </c>
      <c r="J19" s="22"/>
      <c r="K19" s="22">
        <v>558231.53999999992</v>
      </c>
    </row>
    <row r="20" spans="2:12" x14ac:dyDescent="0.25">
      <c r="B20" s="14"/>
      <c r="C20" s="14"/>
      <c r="D20" s="14" t="s">
        <v>61</v>
      </c>
      <c r="E20" s="14"/>
      <c r="F20" s="14"/>
      <c r="G20" s="14"/>
      <c r="H20" s="22">
        <v>58181.689999999995</v>
      </c>
      <c r="I20" s="22">
        <v>3609194.17</v>
      </c>
      <c r="J20" s="22"/>
      <c r="K20" s="22">
        <v>3667375.8600000003</v>
      </c>
    </row>
    <row r="21" spans="2:12" ht="15.75" thickBot="1" x14ac:dyDescent="0.3">
      <c r="B21" s="14"/>
      <c r="C21" s="23" t="s">
        <v>62</v>
      </c>
      <c r="D21" s="23"/>
      <c r="E21" s="24"/>
      <c r="F21" s="24"/>
      <c r="G21" s="24"/>
      <c r="H21" s="25">
        <v>79164.359999999986</v>
      </c>
      <c r="I21" s="25">
        <v>13816318.99</v>
      </c>
      <c r="J21" s="25">
        <v>128775.95000000001</v>
      </c>
      <c r="K21" s="25">
        <v>14024259.299999999</v>
      </c>
    </row>
    <row r="22" spans="2:12" x14ac:dyDescent="0.25">
      <c r="B22" s="14"/>
      <c r="C22" s="14" t="s">
        <v>63</v>
      </c>
      <c r="D22" s="26" t="s">
        <v>64</v>
      </c>
      <c r="E22" s="27">
        <v>110006</v>
      </c>
      <c r="F22" s="28" t="s">
        <v>26</v>
      </c>
      <c r="G22" s="28" t="s">
        <v>53</v>
      </c>
      <c r="H22" s="29"/>
      <c r="I22" s="29">
        <v>835598.45</v>
      </c>
      <c r="J22" s="29">
        <v>62434.209999999992</v>
      </c>
      <c r="K22" s="30">
        <v>898032.65999999992</v>
      </c>
      <c r="L22" s="21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 x14ac:dyDescent="0.25">
      <c r="B23" s="14"/>
      <c r="C23" s="14"/>
      <c r="D23" s="26"/>
      <c r="E23" s="31">
        <v>110021</v>
      </c>
      <c r="F23" s="23" t="s">
        <v>27</v>
      </c>
      <c r="G23" s="23" t="s">
        <v>53</v>
      </c>
      <c r="H23" s="32"/>
      <c r="I23" s="32">
        <v>1359137.57</v>
      </c>
      <c r="J23" s="32">
        <v>513769.41000000003</v>
      </c>
      <c r="K23" s="33">
        <v>1872906.98</v>
      </c>
      <c r="L23" s="21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.75" thickBot="1" x14ac:dyDescent="0.3">
      <c r="B24" s="14"/>
      <c r="C24" s="14"/>
      <c r="D24" s="26"/>
      <c r="E24" s="34">
        <v>110022</v>
      </c>
      <c r="F24" s="35" t="s">
        <v>28</v>
      </c>
      <c r="G24" s="35" t="s">
        <v>53</v>
      </c>
      <c r="H24" s="36">
        <v>123767.79999999999</v>
      </c>
      <c r="I24" s="36">
        <v>2768350.1299999994</v>
      </c>
      <c r="J24" s="36">
        <v>4941843.3600000003</v>
      </c>
      <c r="K24" s="37">
        <v>7833961.2899999991</v>
      </c>
      <c r="L24" s="21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8" customFormat="1" x14ac:dyDescent="0.25">
      <c r="B25" s="39"/>
      <c r="C25" s="39"/>
      <c r="D25" s="39"/>
      <c r="E25" s="40">
        <v>110023</v>
      </c>
      <c r="F25" s="40" t="s">
        <v>25</v>
      </c>
      <c r="G25" s="40" t="s">
        <v>53</v>
      </c>
      <c r="H25" s="41">
        <v>2034939.95</v>
      </c>
      <c r="I25" s="41">
        <v>-993564.30999999947</v>
      </c>
      <c r="J25" s="41"/>
      <c r="K25" s="41">
        <v>1041375.6400000005</v>
      </c>
      <c r="L25" s="42"/>
    </row>
    <row r="26" spans="2:12" s="38" customFormat="1" x14ac:dyDescent="0.25">
      <c r="B26" s="39"/>
      <c r="C26" s="39"/>
      <c r="D26" s="39"/>
      <c r="E26" s="39">
        <v>110042</v>
      </c>
      <c r="F26" s="39" t="s">
        <v>29</v>
      </c>
      <c r="G26" s="39" t="s">
        <v>53</v>
      </c>
      <c r="H26" s="43"/>
      <c r="I26" s="43">
        <v>726255.11</v>
      </c>
      <c r="J26" s="43">
        <v>444294.3</v>
      </c>
      <c r="K26" s="43">
        <v>1170549.4099999999</v>
      </c>
      <c r="L26" s="42"/>
    </row>
    <row r="27" spans="2:12" s="38" customFormat="1" x14ac:dyDescent="0.25">
      <c r="B27" s="39"/>
      <c r="C27" s="39"/>
      <c r="D27" s="39"/>
      <c r="E27" s="39">
        <v>110056</v>
      </c>
      <c r="F27" s="39" t="s">
        <v>24</v>
      </c>
      <c r="G27" s="39" t="s">
        <v>53</v>
      </c>
      <c r="H27" s="43">
        <v>738877.95000000007</v>
      </c>
      <c r="I27" s="43">
        <v>52615.410000000498</v>
      </c>
      <c r="J27" s="43">
        <v>1391794.19</v>
      </c>
      <c r="K27" s="43">
        <v>2183287.5500000007</v>
      </c>
      <c r="L27" s="42"/>
    </row>
    <row r="28" spans="2:12" s="38" customFormat="1" x14ac:dyDescent="0.25">
      <c r="B28" s="39"/>
      <c r="C28" s="39"/>
      <c r="D28" s="39"/>
      <c r="E28" s="39">
        <v>110084</v>
      </c>
      <c r="F28" s="39" t="s">
        <v>23</v>
      </c>
      <c r="G28" s="39" t="s">
        <v>53</v>
      </c>
      <c r="H28" s="43">
        <v>880611.69</v>
      </c>
      <c r="I28" s="43">
        <v>2715497.14</v>
      </c>
      <c r="J28" s="43">
        <v>2351411.2499999991</v>
      </c>
      <c r="K28" s="43">
        <v>5947520.0799999991</v>
      </c>
      <c r="L28" s="42"/>
    </row>
    <row r="29" spans="2:12" x14ac:dyDescent="0.25">
      <c r="B29" s="14"/>
      <c r="C29" s="14"/>
      <c r="D29" s="14"/>
      <c r="E29" s="14">
        <v>110117</v>
      </c>
      <c r="F29" s="14" t="s">
        <v>0</v>
      </c>
      <c r="G29" s="14" t="s">
        <v>53</v>
      </c>
      <c r="H29" s="22">
        <v>1039795.3499999997</v>
      </c>
      <c r="I29" s="44">
        <v>-7563159.8299999954</v>
      </c>
      <c r="J29" s="22">
        <v>4368160.1199999992</v>
      </c>
      <c r="K29" s="22">
        <v>-2155204.3599999966</v>
      </c>
    </row>
    <row r="30" spans="2:12" s="38" customFormat="1" x14ac:dyDescent="0.25">
      <c r="B30" s="39"/>
      <c r="C30" s="39"/>
      <c r="D30" s="39"/>
      <c r="E30" s="39">
        <v>110257</v>
      </c>
      <c r="F30" s="39" t="s">
        <v>12</v>
      </c>
      <c r="G30" s="39" t="s">
        <v>53</v>
      </c>
      <c r="H30" s="43">
        <v>1299838.4700000002</v>
      </c>
      <c r="I30" s="43">
        <v>153888.89999999979</v>
      </c>
      <c r="J30" s="43">
        <v>1079550.3800000001</v>
      </c>
      <c r="K30" s="43">
        <v>2533277.75</v>
      </c>
      <c r="L30" s="42"/>
    </row>
    <row r="31" spans="2:12" s="38" customFormat="1" x14ac:dyDescent="0.25">
      <c r="B31" s="39"/>
      <c r="C31" s="39"/>
      <c r="D31" s="39"/>
      <c r="E31" s="39">
        <v>110258</v>
      </c>
      <c r="F31" s="39" t="s">
        <v>11</v>
      </c>
      <c r="G31" s="39" t="s">
        <v>53</v>
      </c>
      <c r="H31" s="43">
        <v>2336008.2400000002</v>
      </c>
      <c r="I31" s="43">
        <v>10764432.67</v>
      </c>
      <c r="J31" s="43">
        <v>2784547.5499999984</v>
      </c>
      <c r="K31" s="43">
        <v>15884988.459999999</v>
      </c>
      <c r="L31" s="42"/>
    </row>
    <row r="32" spans="2:12" s="38" customFormat="1" x14ac:dyDescent="0.25">
      <c r="B32" s="39"/>
      <c r="C32" s="39"/>
      <c r="D32" s="39"/>
      <c r="E32" s="39">
        <v>110259</v>
      </c>
      <c r="F32" s="39" t="s">
        <v>4</v>
      </c>
      <c r="G32" s="39" t="s">
        <v>53</v>
      </c>
      <c r="H32" s="43">
        <v>657592.02</v>
      </c>
      <c r="I32" s="43">
        <v>7314251</v>
      </c>
      <c r="J32" s="43">
        <v>8088739.6900000013</v>
      </c>
      <c r="K32" s="43">
        <v>16060582.710000001</v>
      </c>
      <c r="L32" s="42"/>
    </row>
    <row r="33" spans="2:12" s="38" customFormat="1" x14ac:dyDescent="0.25">
      <c r="B33" s="39"/>
      <c r="C33" s="39"/>
      <c r="D33" s="39"/>
      <c r="E33" s="39">
        <v>110260</v>
      </c>
      <c r="F33" s="39" t="s">
        <v>54</v>
      </c>
      <c r="G33" s="39" t="s">
        <v>53</v>
      </c>
      <c r="H33" s="43">
        <v>10078768.02</v>
      </c>
      <c r="I33" s="43">
        <v>37295612.369999997</v>
      </c>
      <c r="J33" s="43">
        <v>21511010.049999978</v>
      </c>
      <c r="K33" s="43">
        <v>68885390.439999983</v>
      </c>
      <c r="L33" s="42"/>
    </row>
    <row r="34" spans="2:12" s="38" customFormat="1" x14ac:dyDescent="0.25">
      <c r="B34" s="39"/>
      <c r="C34" s="39"/>
      <c r="D34" s="39"/>
      <c r="E34" s="39">
        <v>110261</v>
      </c>
      <c r="F34" s="39" t="s">
        <v>6</v>
      </c>
      <c r="G34" s="39" t="s">
        <v>53</v>
      </c>
      <c r="H34" s="43">
        <v>4369300.93</v>
      </c>
      <c r="I34" s="43">
        <v>13915935.380000003</v>
      </c>
      <c r="J34" s="43">
        <v>5005259.7400000021</v>
      </c>
      <c r="K34" s="43">
        <v>23290496.050000004</v>
      </c>
      <c r="L34" s="42"/>
    </row>
    <row r="35" spans="2:12" s="38" customFormat="1" x14ac:dyDescent="0.25">
      <c r="B35" s="39"/>
      <c r="C35" s="39"/>
      <c r="D35" s="39"/>
      <c r="E35" s="39">
        <v>110262</v>
      </c>
      <c r="F35" s="39" t="s">
        <v>5</v>
      </c>
      <c r="G35" s="39" t="s">
        <v>53</v>
      </c>
      <c r="H35" s="43">
        <v>3985747.61</v>
      </c>
      <c r="I35" s="43">
        <v>10944433.720000003</v>
      </c>
      <c r="J35" s="43">
        <v>3314182.6699999985</v>
      </c>
      <c r="K35" s="43">
        <v>18244364</v>
      </c>
      <c r="L35" s="42"/>
    </row>
    <row r="36" spans="2:12" s="38" customFormat="1" x14ac:dyDescent="0.25">
      <c r="B36" s="39"/>
      <c r="C36" s="39"/>
      <c r="D36" s="39"/>
      <c r="E36" s="39">
        <v>110432</v>
      </c>
      <c r="F36" s="39" t="s">
        <v>22</v>
      </c>
      <c r="G36" s="39" t="s">
        <v>53</v>
      </c>
      <c r="H36" s="43">
        <v>2308040.2999999998</v>
      </c>
      <c r="I36" s="43">
        <v>3220672.91</v>
      </c>
      <c r="J36" s="43">
        <v>13123926.029999999</v>
      </c>
      <c r="K36" s="43">
        <v>18652639.239999998</v>
      </c>
      <c r="L36" s="42"/>
    </row>
    <row r="37" spans="2:12" s="38" customFormat="1" x14ac:dyDescent="0.25">
      <c r="B37" s="39"/>
      <c r="C37" s="39"/>
      <c r="D37" s="39"/>
      <c r="E37" s="39">
        <v>110440</v>
      </c>
      <c r="F37" s="39" t="s">
        <v>21</v>
      </c>
      <c r="G37" s="39" t="s">
        <v>53</v>
      </c>
      <c r="H37" s="43">
        <v>3110395.4699999997</v>
      </c>
      <c r="I37" s="43">
        <v>4162890.4399999995</v>
      </c>
      <c r="J37" s="43">
        <v>6851073.2900000019</v>
      </c>
      <c r="K37" s="43">
        <v>14124359.200000001</v>
      </c>
      <c r="L37" s="42"/>
    </row>
    <row r="38" spans="2:12" s="38" customFormat="1" x14ac:dyDescent="0.25">
      <c r="B38" s="39"/>
      <c r="C38" s="39"/>
      <c r="D38" s="39"/>
      <c r="E38" s="39">
        <v>110441</v>
      </c>
      <c r="F38" s="39" t="s">
        <v>20</v>
      </c>
      <c r="G38" s="39" t="s">
        <v>53</v>
      </c>
      <c r="H38" s="43">
        <v>4372120.1899999995</v>
      </c>
      <c r="I38" s="43">
        <v>25730995.820000004</v>
      </c>
      <c r="J38" s="43">
        <v>3724513.6699999995</v>
      </c>
      <c r="K38" s="43">
        <v>33827629.680000007</v>
      </c>
      <c r="L38" s="42"/>
    </row>
    <row r="39" spans="2:12" x14ac:dyDescent="0.25">
      <c r="B39" s="14"/>
      <c r="C39" s="14"/>
      <c r="D39" s="14"/>
      <c r="E39" s="23">
        <v>110442</v>
      </c>
      <c r="F39" s="14" t="s">
        <v>2</v>
      </c>
      <c r="G39" s="14" t="s">
        <v>53</v>
      </c>
      <c r="H39" s="32">
        <v>1644982.74</v>
      </c>
      <c r="I39" s="32">
        <v>845187.09999999963</v>
      </c>
      <c r="J39" s="32">
        <v>2616336.9999999995</v>
      </c>
      <c r="K39" s="32">
        <v>5106506.84</v>
      </c>
      <c r="L39" s="45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8" customFormat="1" x14ac:dyDescent="0.25">
      <c r="B40" s="39"/>
      <c r="C40" s="39"/>
      <c r="D40" s="39"/>
      <c r="E40" s="39">
        <v>110467</v>
      </c>
      <c r="F40" s="39" t="s">
        <v>10</v>
      </c>
      <c r="G40" s="39" t="s">
        <v>53</v>
      </c>
      <c r="H40" s="43">
        <v>940065.04</v>
      </c>
      <c r="I40" s="43">
        <v>2673776.4000000022</v>
      </c>
      <c r="J40" s="43">
        <v>183731.70999999926</v>
      </c>
      <c r="K40" s="43">
        <v>3797573.1500000013</v>
      </c>
      <c r="L40" s="42"/>
    </row>
    <row r="41" spans="2:12" s="38" customFormat="1" x14ac:dyDescent="0.25">
      <c r="B41" s="39"/>
      <c r="C41" s="39"/>
      <c r="D41" s="39"/>
      <c r="E41" s="39">
        <v>110492</v>
      </c>
      <c r="F41" s="39" t="s">
        <v>19</v>
      </c>
      <c r="G41" s="39" t="s">
        <v>53</v>
      </c>
      <c r="H41" s="43">
        <v>857367.7</v>
      </c>
      <c r="I41" s="43">
        <v>2366689.0000000037</v>
      </c>
      <c r="J41" s="43">
        <v>833227.0199999999</v>
      </c>
      <c r="K41" s="43">
        <v>4057283.7200000039</v>
      </c>
      <c r="L41" s="42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 x14ac:dyDescent="0.25">
      <c r="B42" s="14"/>
      <c r="C42" s="14"/>
      <c r="D42" s="14"/>
      <c r="E42" s="14">
        <v>110521</v>
      </c>
      <c r="F42" s="23" t="s">
        <v>1</v>
      </c>
      <c r="G42" s="23" t="s">
        <v>53</v>
      </c>
      <c r="H42" s="32">
        <v>84327.09</v>
      </c>
      <c r="I42" s="32">
        <v>-75606.52</v>
      </c>
      <c r="J42" s="32">
        <v>81474.459999999992</v>
      </c>
      <c r="K42" s="32">
        <v>90195.029999999984</v>
      </c>
      <c r="L42" s="45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 x14ac:dyDescent="0.25">
      <c r="B43" s="14"/>
      <c r="C43" s="14"/>
      <c r="D43" s="14"/>
      <c r="E43" s="14">
        <v>110537</v>
      </c>
      <c r="F43" s="23" t="s">
        <v>9</v>
      </c>
      <c r="G43" s="23" t="s">
        <v>53</v>
      </c>
      <c r="H43" s="32"/>
      <c r="I43" s="32">
        <v>868653.8</v>
      </c>
      <c r="J43" s="32">
        <v>15092.379999999997</v>
      </c>
      <c r="K43" s="32">
        <v>883746.18</v>
      </c>
      <c r="L43" s="45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 x14ac:dyDescent="0.25">
      <c r="B44" s="14"/>
      <c r="C44" s="14"/>
      <c r="D44" s="14"/>
      <c r="E44" s="14">
        <v>110647</v>
      </c>
      <c r="F44" s="23" t="s">
        <v>30</v>
      </c>
      <c r="G44" s="23" t="s">
        <v>53</v>
      </c>
      <c r="H44" s="32">
        <v>199940.87</v>
      </c>
      <c r="I44" s="32">
        <v>4485368.7299999995</v>
      </c>
      <c r="J44" s="32"/>
      <c r="K44" s="32">
        <v>4685309.5999999996</v>
      </c>
      <c r="L44" s="45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 x14ac:dyDescent="0.25">
      <c r="B45" s="14"/>
      <c r="C45" s="14"/>
      <c r="D45" s="14" t="s">
        <v>65</v>
      </c>
      <c r="E45" s="14"/>
      <c r="F45" s="14"/>
      <c r="G45" s="14"/>
      <c r="H45" s="46">
        <v>41062487.430000007</v>
      </c>
      <c r="I45" s="46">
        <v>124567911.39000002</v>
      </c>
      <c r="J45" s="46">
        <v>83286372.479999959</v>
      </c>
      <c r="K45" s="46">
        <v>248916771.30000001</v>
      </c>
    </row>
    <row r="46" spans="2:12" x14ac:dyDescent="0.25">
      <c r="B46" s="14"/>
      <c r="C46" s="14"/>
      <c r="D46" s="14" t="s">
        <v>66</v>
      </c>
      <c r="E46" s="14">
        <v>110000</v>
      </c>
      <c r="F46" s="14" t="s">
        <v>67</v>
      </c>
      <c r="G46" s="14" t="s">
        <v>68</v>
      </c>
      <c r="H46" s="22"/>
      <c r="I46" s="22">
        <v>11264.860000000008</v>
      </c>
      <c r="J46" s="22"/>
      <c r="K46" s="22">
        <v>11264.860000000008</v>
      </c>
    </row>
    <row r="47" spans="2:12" x14ac:dyDescent="0.25">
      <c r="B47" s="14"/>
      <c r="C47" s="14"/>
      <c r="D47" s="14"/>
      <c r="E47" s="14">
        <v>110008</v>
      </c>
      <c r="F47" s="14" t="s">
        <v>69</v>
      </c>
      <c r="G47" s="14" t="s">
        <v>68</v>
      </c>
      <c r="H47" s="22"/>
      <c r="I47" s="22">
        <v>4854729.2499999981</v>
      </c>
      <c r="J47" s="22"/>
      <c r="K47" s="22">
        <v>4854729.2499999981</v>
      </c>
    </row>
    <row r="48" spans="2:12" x14ac:dyDescent="0.25">
      <c r="B48" s="14"/>
      <c r="C48" s="14"/>
      <c r="D48" s="14"/>
      <c r="E48" s="14">
        <v>110011</v>
      </c>
      <c r="F48" s="14" t="s">
        <v>70</v>
      </c>
      <c r="G48" s="14" t="s">
        <v>68</v>
      </c>
      <c r="H48" s="22">
        <v>173506.54</v>
      </c>
      <c r="I48" s="22">
        <v>-14554.529999999999</v>
      </c>
      <c r="J48" s="22"/>
      <c r="K48" s="22">
        <v>158952.01</v>
      </c>
    </row>
    <row r="49" spans="2:13" x14ac:dyDescent="0.25">
      <c r="B49" s="14"/>
      <c r="C49" s="14"/>
      <c r="D49" s="14"/>
      <c r="E49" s="14">
        <v>110012</v>
      </c>
      <c r="F49" s="14" t="s">
        <v>71</v>
      </c>
      <c r="G49" s="14" t="s">
        <v>68</v>
      </c>
      <c r="H49" s="22">
        <v>1918596.92</v>
      </c>
      <c r="I49" s="22">
        <v>22969501.800000004</v>
      </c>
      <c r="J49" s="22"/>
      <c r="K49" s="22">
        <v>24888098.720000006</v>
      </c>
    </row>
    <row r="50" spans="2:13" x14ac:dyDescent="0.25">
      <c r="B50" s="14"/>
      <c r="C50" s="14"/>
      <c r="D50" s="14"/>
      <c r="E50" s="14">
        <v>110013</v>
      </c>
      <c r="F50" s="14" t="s">
        <v>72</v>
      </c>
      <c r="G50" s="14" t="s">
        <v>68</v>
      </c>
      <c r="H50" s="22"/>
      <c r="I50" s="22">
        <v>519906.99</v>
      </c>
      <c r="J50" s="22"/>
      <c r="K50" s="22">
        <v>519906.99</v>
      </c>
    </row>
    <row r="51" spans="2:13" x14ac:dyDescent="0.25">
      <c r="B51" s="14"/>
      <c r="C51" s="14"/>
      <c r="D51" s="14"/>
      <c r="E51" s="14">
        <v>110016</v>
      </c>
      <c r="F51" s="14" t="s">
        <v>73</v>
      </c>
      <c r="G51" s="14" t="s">
        <v>68</v>
      </c>
      <c r="H51" s="22"/>
      <c r="I51" s="22">
        <v>27251.55</v>
      </c>
      <c r="J51" s="22"/>
      <c r="K51" s="22">
        <v>27251.55</v>
      </c>
    </row>
    <row r="52" spans="2:13" x14ac:dyDescent="0.25">
      <c r="B52" s="14"/>
      <c r="C52" s="14"/>
      <c r="D52" s="14"/>
      <c r="E52" s="14">
        <v>110017</v>
      </c>
      <c r="F52" s="14" t="s">
        <v>74</v>
      </c>
      <c r="G52" s="14" t="s">
        <v>68</v>
      </c>
      <c r="H52" s="46"/>
      <c r="I52" s="22">
        <v>117078.77</v>
      </c>
      <c r="J52" s="22"/>
      <c r="K52" s="22">
        <v>117078.77</v>
      </c>
    </row>
    <row r="53" spans="2:13" x14ac:dyDescent="0.25">
      <c r="B53" s="14"/>
      <c r="C53" s="14"/>
      <c r="D53" s="14"/>
      <c r="E53" s="14">
        <v>110019</v>
      </c>
      <c r="F53" s="14" t="s">
        <v>75</v>
      </c>
      <c r="G53" s="14" t="s">
        <v>68</v>
      </c>
      <c r="H53" s="22"/>
      <c r="I53" s="22">
        <v>-115.72</v>
      </c>
      <c r="J53" s="22"/>
      <c r="K53" s="22">
        <v>-115.72</v>
      </c>
    </row>
    <row r="54" spans="2:13" x14ac:dyDescent="0.25">
      <c r="B54" s="14"/>
      <c r="C54" s="14"/>
      <c r="D54" s="14"/>
      <c r="E54" s="14">
        <v>110040</v>
      </c>
      <c r="F54" s="14" t="s">
        <v>76</v>
      </c>
      <c r="G54" s="14" t="s">
        <v>68</v>
      </c>
      <c r="H54" s="22">
        <v>61365.05</v>
      </c>
      <c r="I54" s="22">
        <v>-322.72000000000003</v>
      </c>
      <c r="J54" s="22"/>
      <c r="K54" s="22">
        <v>61042.33</v>
      </c>
    </row>
    <row r="55" spans="2:13" x14ac:dyDescent="0.25">
      <c r="B55" s="14"/>
      <c r="C55" s="14"/>
      <c r="D55" s="14"/>
      <c r="E55" s="14">
        <v>110041</v>
      </c>
      <c r="F55" s="14" t="s">
        <v>77</v>
      </c>
      <c r="G55" s="14" t="s">
        <v>68</v>
      </c>
      <c r="H55" s="22"/>
      <c r="I55" s="22">
        <v>1214467.3799999999</v>
      </c>
      <c r="J55" s="22"/>
      <c r="K55" s="22">
        <v>1214467.3799999999</v>
      </c>
    </row>
    <row r="56" spans="2:13" x14ac:dyDescent="0.25">
      <c r="B56" s="14"/>
      <c r="C56" s="14"/>
      <c r="D56" s="14"/>
      <c r="E56" s="14">
        <v>110428</v>
      </c>
      <c r="F56" s="14" t="s">
        <v>78</v>
      </c>
      <c r="G56" s="14" t="s">
        <v>68</v>
      </c>
      <c r="H56" s="22">
        <v>94128.39</v>
      </c>
      <c r="I56" s="22">
        <v>21053.54</v>
      </c>
      <c r="J56" s="22"/>
      <c r="K56" s="22">
        <v>115181.93</v>
      </c>
    </row>
    <row r="57" spans="2:13" x14ac:dyDescent="0.25">
      <c r="B57" s="14"/>
      <c r="C57" s="14"/>
      <c r="D57" s="14"/>
      <c r="E57" s="14">
        <v>110434</v>
      </c>
      <c r="F57" s="14" t="s">
        <v>79</v>
      </c>
      <c r="G57" s="14" t="s">
        <v>68</v>
      </c>
      <c r="H57" s="22"/>
      <c r="I57" s="22">
        <v>-365126.7699999999</v>
      </c>
      <c r="J57" s="22"/>
      <c r="K57" s="22">
        <v>-365126.7699999999</v>
      </c>
    </row>
    <row r="58" spans="2:13" x14ac:dyDescent="0.25">
      <c r="B58" s="14"/>
      <c r="C58" s="14"/>
      <c r="D58" s="14"/>
      <c r="E58" s="14">
        <v>110518</v>
      </c>
      <c r="F58" s="14" t="s">
        <v>80</v>
      </c>
      <c r="G58" s="14" t="s">
        <v>68</v>
      </c>
      <c r="H58" s="22">
        <v>1260922.93</v>
      </c>
      <c r="I58" s="22">
        <v>15327883.549999999</v>
      </c>
      <c r="J58" s="22"/>
      <c r="K58" s="22">
        <v>16588806.479999999</v>
      </c>
    </row>
    <row r="59" spans="2:13" x14ac:dyDescent="0.25">
      <c r="B59" s="14"/>
      <c r="C59" s="14"/>
      <c r="D59" s="14"/>
      <c r="E59" s="14">
        <v>110687</v>
      </c>
      <c r="F59" s="14" t="s">
        <v>81</v>
      </c>
      <c r="G59" s="14" t="s">
        <v>68</v>
      </c>
      <c r="H59" s="22">
        <v>72287.149999999994</v>
      </c>
      <c r="I59" s="22"/>
      <c r="J59" s="22"/>
      <c r="K59" s="22">
        <v>72287.149999999994</v>
      </c>
    </row>
    <row r="60" spans="2:13" x14ac:dyDescent="0.25">
      <c r="B60" s="14"/>
      <c r="C60" s="14"/>
      <c r="D60" s="14"/>
      <c r="E60" s="14">
        <v>600183</v>
      </c>
      <c r="F60" s="14" t="s">
        <v>82</v>
      </c>
      <c r="G60" s="14" t="s">
        <v>68</v>
      </c>
      <c r="H60" s="22">
        <v>445701.51</v>
      </c>
      <c r="I60" s="22">
        <v>73341.279999999999</v>
      </c>
      <c r="J60" s="22"/>
      <c r="K60" s="22">
        <v>519042.79000000004</v>
      </c>
      <c r="M60" s="47"/>
    </row>
    <row r="61" spans="2:13" x14ac:dyDescent="0.25">
      <c r="B61" s="14"/>
      <c r="C61" s="14"/>
      <c r="D61" s="14" t="s">
        <v>83</v>
      </c>
      <c r="E61" s="14"/>
      <c r="F61" s="14"/>
      <c r="G61" s="14"/>
      <c r="H61" s="46">
        <v>4026508.49</v>
      </c>
      <c r="I61" s="46">
        <v>44756359.230000004</v>
      </c>
      <c r="J61" s="46"/>
      <c r="K61" s="46">
        <v>48782867.719999999</v>
      </c>
      <c r="M61" s="47"/>
    </row>
    <row r="62" spans="2:13" x14ac:dyDescent="0.25">
      <c r="B62" s="14"/>
      <c r="C62" s="14"/>
      <c r="D62" s="14" t="s">
        <v>84</v>
      </c>
      <c r="E62" s="14">
        <v>110021</v>
      </c>
      <c r="F62" s="14" t="s">
        <v>27</v>
      </c>
      <c r="G62" s="14" t="s">
        <v>85</v>
      </c>
      <c r="H62" s="22"/>
      <c r="I62" s="22"/>
      <c r="J62" s="22">
        <v>367975.5</v>
      </c>
      <c r="K62" s="22">
        <v>367975.5</v>
      </c>
      <c r="M62" s="47"/>
    </row>
    <row r="63" spans="2:13" x14ac:dyDescent="0.25">
      <c r="B63" s="14"/>
      <c r="C63" s="14"/>
      <c r="D63" s="14"/>
      <c r="E63" s="14">
        <v>110023</v>
      </c>
      <c r="F63" s="14" t="s">
        <v>25</v>
      </c>
      <c r="G63" s="14" t="s">
        <v>86</v>
      </c>
      <c r="H63" s="22">
        <v>3272.67</v>
      </c>
      <c r="I63" s="22"/>
      <c r="J63" s="22"/>
      <c r="K63" s="22">
        <v>3272.67</v>
      </c>
      <c r="M63" s="47"/>
    </row>
    <row r="64" spans="2:13" x14ac:dyDescent="0.25">
      <c r="B64" s="14"/>
      <c r="C64" s="14"/>
      <c r="D64" s="14"/>
      <c r="E64" s="14">
        <v>110042</v>
      </c>
      <c r="F64" s="14" t="s">
        <v>29</v>
      </c>
      <c r="G64" s="14" t="s">
        <v>87</v>
      </c>
      <c r="H64" s="22">
        <v>64995.13</v>
      </c>
      <c r="I64" s="22">
        <v>2819481.06</v>
      </c>
      <c r="J64" s="22"/>
      <c r="K64" s="22">
        <v>2884476.19</v>
      </c>
      <c r="M64" s="47"/>
    </row>
    <row r="65" spans="2:13" x14ac:dyDescent="0.25">
      <c r="B65" s="14"/>
      <c r="C65" s="14"/>
      <c r="D65" s="14"/>
      <c r="E65" s="14">
        <v>110070</v>
      </c>
      <c r="F65" s="14" t="s">
        <v>50</v>
      </c>
      <c r="G65" s="14" t="s">
        <v>85</v>
      </c>
      <c r="H65" s="22"/>
      <c r="I65" s="22">
        <v>-1142.1199999999999</v>
      </c>
      <c r="J65" s="22">
        <v>28720.560000000001</v>
      </c>
      <c r="K65" s="22">
        <v>27578.440000000002</v>
      </c>
      <c r="M65" s="47"/>
    </row>
    <row r="66" spans="2:13" x14ac:dyDescent="0.25">
      <c r="B66" s="14"/>
      <c r="C66" s="14"/>
      <c r="D66" s="14"/>
      <c r="E66" s="14">
        <v>110111</v>
      </c>
      <c r="F66" s="14" t="s">
        <v>88</v>
      </c>
      <c r="G66" s="14" t="s">
        <v>89</v>
      </c>
      <c r="H66" s="22"/>
      <c r="I66" s="22">
        <v>267565.05000000005</v>
      </c>
      <c r="J66" s="22">
        <v>8362.39</v>
      </c>
      <c r="K66" s="22">
        <v>275927.44000000006</v>
      </c>
      <c r="M66" s="47"/>
    </row>
    <row r="67" spans="2:13" x14ac:dyDescent="0.25">
      <c r="B67" s="14"/>
      <c r="C67" s="14"/>
      <c r="D67" s="14"/>
      <c r="E67" s="14">
        <v>110117</v>
      </c>
      <c r="F67" s="14" t="s">
        <v>0</v>
      </c>
      <c r="G67" s="14" t="s">
        <v>53</v>
      </c>
      <c r="H67" s="22"/>
      <c r="I67" s="22">
        <v>613856.98</v>
      </c>
      <c r="J67" s="22">
        <v>14326.289999999999</v>
      </c>
      <c r="K67" s="22">
        <v>628183.27</v>
      </c>
      <c r="M67" s="47"/>
    </row>
    <row r="68" spans="2:13" x14ac:dyDescent="0.25">
      <c r="B68" s="14"/>
      <c r="C68" s="14"/>
      <c r="D68" s="14"/>
      <c r="E68" s="14"/>
      <c r="F68" s="14"/>
      <c r="G68" s="14" t="s">
        <v>86</v>
      </c>
      <c r="H68" s="22"/>
      <c r="I68" s="22">
        <v>25788.880000000001</v>
      </c>
      <c r="J68" s="22"/>
      <c r="K68" s="22">
        <v>25788.880000000001</v>
      </c>
      <c r="M68" s="47"/>
    </row>
    <row r="69" spans="2:13" x14ac:dyDescent="0.25">
      <c r="B69" s="14"/>
      <c r="C69" s="14"/>
      <c r="D69" s="14"/>
      <c r="E69" s="14">
        <v>110132</v>
      </c>
      <c r="F69" s="14" t="s">
        <v>90</v>
      </c>
      <c r="G69" s="14" t="s">
        <v>49</v>
      </c>
      <c r="H69" s="22">
        <v>25533.31</v>
      </c>
      <c r="I69" s="22">
        <v>162863.69999999998</v>
      </c>
      <c r="J69" s="22"/>
      <c r="K69" s="22">
        <v>188397.00999999998</v>
      </c>
      <c r="M69" s="47"/>
    </row>
    <row r="70" spans="2:13" x14ac:dyDescent="0.25">
      <c r="B70" s="14"/>
      <c r="C70" s="14"/>
      <c r="D70" s="14"/>
      <c r="E70" s="14">
        <v>110418</v>
      </c>
      <c r="F70" s="14" t="s">
        <v>91</v>
      </c>
      <c r="G70" s="14" t="s">
        <v>92</v>
      </c>
      <c r="H70" s="22"/>
      <c r="I70" s="22">
        <v>187500</v>
      </c>
      <c r="J70" s="22"/>
      <c r="K70" s="22">
        <v>187500</v>
      </c>
      <c r="M70" s="47"/>
    </row>
    <row r="71" spans="2:13" x14ac:dyDescent="0.25">
      <c r="B71" s="14"/>
      <c r="C71" s="14"/>
      <c r="D71" s="14"/>
      <c r="E71" s="14">
        <v>110448</v>
      </c>
      <c r="F71" s="14" t="s">
        <v>93</v>
      </c>
      <c r="G71" s="14" t="s">
        <v>53</v>
      </c>
      <c r="H71" s="22"/>
      <c r="I71" s="22">
        <v>189112.00999999998</v>
      </c>
      <c r="J71" s="22"/>
      <c r="K71" s="22">
        <v>189112.00999999998</v>
      </c>
      <c r="M71" s="47"/>
    </row>
    <row r="72" spans="2:13" x14ac:dyDescent="0.25">
      <c r="B72" s="14"/>
      <c r="C72" s="14"/>
      <c r="D72" s="14"/>
      <c r="E72" s="14">
        <v>110502</v>
      </c>
      <c r="F72" s="14" t="s">
        <v>94</v>
      </c>
      <c r="G72" s="14" t="s">
        <v>95</v>
      </c>
      <c r="H72" s="22">
        <v>7839.13</v>
      </c>
      <c r="I72" s="22"/>
      <c r="J72" s="22"/>
      <c r="K72" s="22">
        <v>7839.13</v>
      </c>
      <c r="M72" s="47"/>
    </row>
    <row r="73" spans="2:13" x14ac:dyDescent="0.25">
      <c r="B73" s="14"/>
      <c r="C73" s="14"/>
      <c r="D73" s="14"/>
      <c r="E73" s="14">
        <v>110517</v>
      </c>
      <c r="F73" s="14" t="s">
        <v>96</v>
      </c>
      <c r="G73" s="14" t="s">
        <v>53</v>
      </c>
      <c r="H73" s="22"/>
      <c r="I73" s="22">
        <v>433074.80999999982</v>
      </c>
      <c r="J73" s="22">
        <v>390298.35000000003</v>
      </c>
      <c r="K73" s="22">
        <v>823373.15999999992</v>
      </c>
      <c r="M73" s="47"/>
    </row>
    <row r="74" spans="2:13" x14ac:dyDescent="0.25">
      <c r="B74" s="14"/>
      <c r="C74" s="14"/>
      <c r="D74" s="14"/>
      <c r="E74" s="14">
        <v>110557</v>
      </c>
      <c r="F74" s="14" t="s">
        <v>97</v>
      </c>
      <c r="G74" s="14" t="s">
        <v>85</v>
      </c>
      <c r="H74" s="22"/>
      <c r="I74" s="22"/>
      <c r="J74" s="22">
        <v>10547.95</v>
      </c>
      <c r="K74" s="22">
        <v>10547.95</v>
      </c>
      <c r="M74" s="47"/>
    </row>
    <row r="75" spans="2:13" x14ac:dyDescent="0.25">
      <c r="B75" s="14"/>
      <c r="C75" s="14"/>
      <c r="D75" s="14"/>
      <c r="E75" s="14">
        <v>110597</v>
      </c>
      <c r="F75" s="14" t="s">
        <v>98</v>
      </c>
      <c r="G75" s="14" t="s">
        <v>85</v>
      </c>
      <c r="H75" s="22"/>
      <c r="I75" s="22"/>
      <c r="J75" s="22">
        <v>5806.5</v>
      </c>
      <c r="K75" s="22">
        <v>5806.5</v>
      </c>
      <c r="M75" s="47"/>
    </row>
    <row r="76" spans="2:13" x14ac:dyDescent="0.25">
      <c r="B76" s="14"/>
      <c r="C76" s="14"/>
      <c r="D76" s="14"/>
      <c r="E76" s="14">
        <v>110612</v>
      </c>
      <c r="F76" s="14" t="s">
        <v>99</v>
      </c>
      <c r="G76" s="14" t="s">
        <v>85</v>
      </c>
      <c r="H76" s="22"/>
      <c r="I76" s="22"/>
      <c r="J76" s="22">
        <v>990.28</v>
      </c>
      <c r="K76" s="22">
        <v>990.28</v>
      </c>
      <c r="M76" s="47"/>
    </row>
    <row r="77" spans="2:13" x14ac:dyDescent="0.25">
      <c r="B77" s="14"/>
      <c r="C77" s="14"/>
      <c r="D77" s="14" t="s">
        <v>100</v>
      </c>
      <c r="E77" s="14"/>
      <c r="F77" s="14"/>
      <c r="G77" s="14"/>
      <c r="H77" s="22">
        <v>101640.24</v>
      </c>
      <c r="I77" s="22">
        <v>4698100.37</v>
      </c>
      <c r="J77" s="22">
        <v>827027.82000000007</v>
      </c>
      <c r="K77" s="22">
        <v>5626768.4299999997</v>
      </c>
      <c r="M77" s="47"/>
    </row>
    <row r="78" spans="2:13" x14ac:dyDescent="0.25">
      <c r="B78" s="14"/>
      <c r="C78" s="14"/>
      <c r="D78" s="14" t="s">
        <v>101</v>
      </c>
      <c r="E78" s="14">
        <v>110090</v>
      </c>
      <c r="F78" s="14" t="s">
        <v>102</v>
      </c>
      <c r="G78" s="14" t="s">
        <v>68</v>
      </c>
      <c r="H78" s="22"/>
      <c r="I78" s="22">
        <v>87252892.090000004</v>
      </c>
      <c r="J78" s="22"/>
      <c r="K78" s="22">
        <v>87252892.090000004</v>
      </c>
      <c r="M78" s="47"/>
    </row>
    <row r="79" spans="2:13" x14ac:dyDescent="0.25">
      <c r="B79" s="14"/>
      <c r="C79" s="14"/>
      <c r="D79" s="14"/>
      <c r="E79" s="14">
        <v>110433</v>
      </c>
      <c r="F79" s="14" t="s">
        <v>103</v>
      </c>
      <c r="G79" s="14" t="s">
        <v>68</v>
      </c>
      <c r="H79" s="22">
        <v>4290036.5699999994</v>
      </c>
      <c r="I79" s="22">
        <v>148590684.70000002</v>
      </c>
      <c r="J79" s="22"/>
      <c r="K79" s="22">
        <v>152880721.27000001</v>
      </c>
      <c r="M79" s="47"/>
    </row>
    <row r="80" spans="2:13" x14ac:dyDescent="0.25">
      <c r="B80" s="14"/>
      <c r="C80" s="14"/>
      <c r="D80" s="14" t="s">
        <v>104</v>
      </c>
      <c r="E80" s="14"/>
      <c r="F80" s="14"/>
      <c r="G80" s="14"/>
      <c r="H80" s="22">
        <v>4290036.5699999994</v>
      </c>
      <c r="I80" s="22">
        <v>235843576.79000002</v>
      </c>
      <c r="J80" s="22"/>
      <c r="K80" s="22">
        <v>240133613.36000001</v>
      </c>
      <c r="M80" s="47"/>
    </row>
    <row r="81" spans="1:48" x14ac:dyDescent="0.25">
      <c r="B81" s="14"/>
      <c r="C81" s="23" t="s">
        <v>105</v>
      </c>
      <c r="D81" s="23"/>
      <c r="E81" s="23"/>
      <c r="F81" s="23"/>
      <c r="G81" s="23"/>
      <c r="H81" s="32">
        <v>49480672.730000012</v>
      </c>
      <c r="I81" s="32">
        <v>409865947.78000003</v>
      </c>
      <c r="J81" s="32">
        <v>84113400.299999967</v>
      </c>
      <c r="K81" s="32">
        <v>543460020.80999994</v>
      </c>
      <c r="M81" s="47"/>
    </row>
    <row r="82" spans="1:48" x14ac:dyDescent="0.25">
      <c r="B82" s="48" t="s">
        <v>106</v>
      </c>
      <c r="C82" s="48"/>
      <c r="D82" s="48"/>
      <c r="E82" s="48"/>
      <c r="F82" s="48"/>
      <c r="G82" s="48"/>
      <c r="H82" s="49">
        <v>49559837.090000011</v>
      </c>
      <c r="I82" s="49">
        <v>423682266.7700001</v>
      </c>
      <c r="J82" s="49">
        <v>84242176.24999997</v>
      </c>
      <c r="K82" s="49">
        <v>557484280.1099999</v>
      </c>
      <c r="M82" s="50"/>
    </row>
    <row r="83" spans="1:48" s="8" customFormat="1" x14ac:dyDescent="0.25">
      <c r="A83" s="15"/>
      <c r="B83" s="14" t="s">
        <v>41</v>
      </c>
      <c r="C83" s="14"/>
      <c r="D83" s="14"/>
      <c r="E83" s="14"/>
      <c r="F83" s="14"/>
      <c r="G83" s="14"/>
      <c r="H83" s="22">
        <v>49559837.090000011</v>
      </c>
      <c r="I83" s="22">
        <v>423682266.7700001</v>
      </c>
      <c r="J83" s="22">
        <v>84242176.24999997</v>
      </c>
      <c r="K83" s="22">
        <v>557484280.1099999</v>
      </c>
      <c r="L83" s="17"/>
      <c r="M83" s="51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</row>
    <row r="84" spans="1:48" x14ac:dyDescent="0.25">
      <c r="C84"/>
      <c r="D84"/>
      <c r="E84"/>
      <c r="F84"/>
      <c r="G84"/>
      <c r="H84"/>
      <c r="I84"/>
      <c r="J84"/>
      <c r="K84"/>
      <c r="M84" s="47"/>
    </row>
    <row r="85" spans="1:48" x14ac:dyDescent="0.25">
      <c r="C85"/>
      <c r="D85"/>
      <c r="E85"/>
      <c r="F85"/>
      <c r="G85"/>
      <c r="H85"/>
      <c r="I85"/>
      <c r="J85"/>
      <c r="K85"/>
      <c r="M85" s="47"/>
    </row>
    <row r="86" spans="1:48" x14ac:dyDescent="0.25">
      <c r="C86"/>
      <c r="D86"/>
      <c r="E86"/>
      <c r="F86"/>
      <c r="G86"/>
      <c r="H86"/>
      <c r="I86"/>
      <c r="J86"/>
      <c r="K86"/>
      <c r="M86" s="47"/>
    </row>
    <row r="87" spans="1:48" x14ac:dyDescent="0.25">
      <c r="C87"/>
      <c r="D87"/>
      <c r="E87"/>
      <c r="F87"/>
      <c r="G87"/>
      <c r="H87"/>
      <c r="I87"/>
      <c r="J87"/>
      <c r="K87"/>
      <c r="M87" s="47"/>
    </row>
    <row r="88" spans="1:48" x14ac:dyDescent="0.25">
      <c r="C88"/>
      <c r="D88"/>
      <c r="E88"/>
      <c r="F88"/>
      <c r="G88"/>
      <c r="H88"/>
      <c r="I88"/>
      <c r="J88"/>
      <c r="K88"/>
      <c r="M88" s="47"/>
    </row>
    <row r="89" spans="1:48" x14ac:dyDescent="0.25">
      <c r="C89"/>
      <c r="D89"/>
      <c r="E89"/>
      <c r="F89"/>
      <c r="G89"/>
      <c r="H89"/>
      <c r="I89"/>
      <c r="J89"/>
      <c r="K89"/>
      <c r="M89" s="47"/>
    </row>
    <row r="90" spans="1:48" x14ac:dyDescent="0.25">
      <c r="C90"/>
      <c r="D90"/>
      <c r="E90"/>
      <c r="F90"/>
      <c r="G90"/>
      <c r="H90"/>
      <c r="I90"/>
      <c r="J90"/>
      <c r="K90"/>
      <c r="M90" s="47"/>
    </row>
    <row r="91" spans="1:48" x14ac:dyDescent="0.25">
      <c r="C91"/>
      <c r="D91"/>
      <c r="E91"/>
      <c r="F91"/>
      <c r="G91"/>
      <c r="H91"/>
      <c r="I91"/>
      <c r="J91"/>
      <c r="K91"/>
      <c r="M91" s="47"/>
    </row>
    <row r="92" spans="1:48" x14ac:dyDescent="0.25">
      <c r="C92"/>
      <c r="D92"/>
      <c r="E92"/>
      <c r="F92"/>
      <c r="G92"/>
      <c r="H92"/>
      <c r="I92"/>
      <c r="J92"/>
      <c r="K92"/>
      <c r="M92" s="47"/>
    </row>
    <row r="93" spans="1:48" x14ac:dyDescent="0.25">
      <c r="C93"/>
      <c r="D93"/>
      <c r="E93"/>
      <c r="F93"/>
      <c r="G93"/>
      <c r="H93"/>
      <c r="I93"/>
      <c r="J93"/>
      <c r="K93"/>
      <c r="M93" s="47"/>
    </row>
    <row r="94" spans="1:48" x14ac:dyDescent="0.25">
      <c r="C94"/>
      <c r="D94"/>
      <c r="E94"/>
      <c r="F94"/>
      <c r="G94"/>
      <c r="H94"/>
      <c r="I94"/>
      <c r="J94"/>
      <c r="K94"/>
      <c r="M94" s="47"/>
    </row>
    <row r="95" spans="1:48" x14ac:dyDescent="0.25">
      <c r="C95"/>
      <c r="D95"/>
      <c r="E95"/>
      <c r="F95"/>
      <c r="G95"/>
      <c r="H95"/>
      <c r="I95"/>
      <c r="J95"/>
      <c r="K95"/>
      <c r="M95" s="47"/>
    </row>
    <row r="96" spans="1:48" x14ac:dyDescent="0.25">
      <c r="C96"/>
      <c r="D96"/>
      <c r="E96"/>
      <c r="F96"/>
      <c r="G96"/>
      <c r="H96"/>
      <c r="I96"/>
      <c r="J96"/>
      <c r="K96"/>
      <c r="M96" s="47"/>
    </row>
    <row r="97" spans="1:48" x14ac:dyDescent="0.25">
      <c r="C97"/>
      <c r="D97"/>
      <c r="E97"/>
      <c r="F97"/>
      <c r="G97"/>
      <c r="H97"/>
      <c r="I97"/>
      <c r="J97"/>
      <c r="K97"/>
      <c r="M97" s="47"/>
    </row>
    <row r="98" spans="1:48" x14ac:dyDescent="0.25">
      <c r="C98"/>
      <c r="D98"/>
      <c r="E98"/>
      <c r="F98"/>
      <c r="G98"/>
      <c r="H98"/>
      <c r="I98"/>
      <c r="J98"/>
      <c r="K98"/>
      <c r="M98" s="47"/>
    </row>
    <row r="99" spans="1:48" s="8" customFormat="1" x14ac:dyDescent="0.25">
      <c r="A99" s="15"/>
      <c r="B99"/>
      <c r="C99"/>
      <c r="D99"/>
      <c r="E99"/>
      <c r="F99"/>
      <c r="G99"/>
      <c r="H99"/>
      <c r="I99"/>
      <c r="J99"/>
      <c r="K99"/>
      <c r="L99" s="17"/>
      <c r="M99" s="51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</row>
    <row r="100" spans="1:48" x14ac:dyDescent="0.25">
      <c r="C100"/>
      <c r="D100"/>
      <c r="E100"/>
      <c r="F100"/>
      <c r="G100"/>
      <c r="H100"/>
      <c r="I100"/>
      <c r="J100"/>
      <c r="K100"/>
      <c r="M100" s="47"/>
    </row>
    <row r="101" spans="1:48" x14ac:dyDescent="0.25">
      <c r="C101"/>
      <c r="D101"/>
      <c r="E101"/>
      <c r="F101"/>
      <c r="G101"/>
      <c r="H101"/>
      <c r="I101"/>
      <c r="J101"/>
      <c r="K101"/>
      <c r="M101" s="47"/>
    </row>
    <row r="102" spans="1:48" x14ac:dyDescent="0.25">
      <c r="C102"/>
      <c r="D102"/>
      <c r="E102"/>
      <c r="F102"/>
      <c r="G102"/>
      <c r="H102"/>
      <c r="I102"/>
      <c r="J102"/>
      <c r="K102"/>
      <c r="M102" s="47"/>
    </row>
    <row r="103" spans="1:48" x14ac:dyDescent="0.25">
      <c r="C103"/>
      <c r="D103"/>
      <c r="E103"/>
      <c r="F103"/>
      <c r="G103"/>
      <c r="H103"/>
      <c r="I103"/>
      <c r="J103"/>
      <c r="K103"/>
      <c r="M103" s="47"/>
    </row>
    <row r="104" spans="1:48" x14ac:dyDescent="0.25">
      <c r="C104"/>
      <c r="D104"/>
      <c r="E104"/>
      <c r="F104"/>
      <c r="G104"/>
      <c r="H104"/>
      <c r="I104"/>
      <c r="J104"/>
      <c r="K104"/>
      <c r="M104" s="47"/>
    </row>
    <row r="105" spans="1:48" x14ac:dyDescent="0.25">
      <c r="C105"/>
      <c r="D105"/>
      <c r="E105"/>
      <c r="F105"/>
      <c r="G105"/>
      <c r="H105"/>
      <c r="I105"/>
      <c r="J105"/>
      <c r="K105"/>
      <c r="M105" s="47"/>
    </row>
    <row r="106" spans="1:48" x14ac:dyDescent="0.25">
      <c r="C106"/>
      <c r="D106"/>
      <c r="E106"/>
      <c r="F106"/>
      <c r="G106"/>
      <c r="H106"/>
      <c r="I106"/>
      <c r="J106"/>
      <c r="K106"/>
      <c r="M106" s="47"/>
    </row>
    <row r="107" spans="1:48" x14ac:dyDescent="0.25">
      <c r="C107"/>
      <c r="D107"/>
      <c r="E107"/>
      <c r="F107"/>
      <c r="G107"/>
      <c r="H107"/>
      <c r="I107"/>
      <c r="J107"/>
      <c r="K107"/>
      <c r="M107" s="47"/>
    </row>
    <row r="108" spans="1:48" x14ac:dyDescent="0.25">
      <c r="C108"/>
      <c r="D108"/>
      <c r="E108"/>
      <c r="F108"/>
      <c r="G108"/>
      <c r="H108"/>
      <c r="I108"/>
      <c r="J108"/>
      <c r="K108"/>
      <c r="M108" s="47"/>
    </row>
    <row r="109" spans="1:48" x14ac:dyDescent="0.25">
      <c r="C109"/>
      <c r="D109"/>
      <c r="E109"/>
      <c r="F109"/>
      <c r="G109"/>
      <c r="H109"/>
      <c r="I109"/>
      <c r="J109"/>
      <c r="K109"/>
      <c r="M109" s="47"/>
    </row>
    <row r="110" spans="1:48" x14ac:dyDescent="0.25">
      <c r="C110"/>
      <c r="D110"/>
      <c r="E110"/>
      <c r="F110"/>
      <c r="G110"/>
      <c r="H110"/>
      <c r="I110"/>
      <c r="J110"/>
      <c r="K110"/>
      <c r="M110" s="47"/>
    </row>
    <row r="111" spans="1:48" x14ac:dyDescent="0.25">
      <c r="C111"/>
      <c r="D111"/>
      <c r="E111"/>
      <c r="F111"/>
      <c r="G111"/>
      <c r="H111"/>
      <c r="I111"/>
      <c r="J111"/>
      <c r="K111"/>
      <c r="M111" s="47"/>
    </row>
    <row r="112" spans="1:48" x14ac:dyDescent="0.25">
      <c r="C112"/>
      <c r="D112"/>
      <c r="E112"/>
      <c r="F112"/>
      <c r="G112"/>
      <c r="H112"/>
      <c r="I112"/>
      <c r="J112"/>
      <c r="K112"/>
      <c r="M112" s="47"/>
    </row>
    <row r="113" spans="1:48" x14ac:dyDescent="0.25">
      <c r="C113"/>
      <c r="D113"/>
      <c r="E113"/>
      <c r="F113"/>
      <c r="G113"/>
      <c r="H113"/>
      <c r="I113"/>
      <c r="J113"/>
      <c r="K113"/>
      <c r="M113" s="47"/>
    </row>
    <row r="114" spans="1:48" s="8" customFormat="1" x14ac:dyDescent="0.25">
      <c r="A114" s="15"/>
      <c r="B114"/>
      <c r="C114"/>
      <c r="D114"/>
      <c r="E114"/>
      <c r="F114"/>
      <c r="G114"/>
      <c r="H114"/>
      <c r="I114"/>
      <c r="J114"/>
      <c r="K114"/>
      <c r="L114" s="17"/>
      <c r="M114" s="51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</row>
    <row r="115" spans="1:48" x14ac:dyDescent="0.25">
      <c r="C115"/>
      <c r="D115"/>
      <c r="E115"/>
      <c r="F115"/>
      <c r="G115"/>
      <c r="H115"/>
      <c r="I115"/>
      <c r="J115"/>
      <c r="K115"/>
      <c r="M115" s="47"/>
    </row>
    <row r="116" spans="1:48" x14ac:dyDescent="0.25">
      <c r="C116"/>
      <c r="D116"/>
      <c r="E116"/>
      <c r="F116"/>
      <c r="G116"/>
      <c r="H116"/>
      <c r="I116"/>
      <c r="J116"/>
      <c r="K116"/>
      <c r="M116" s="47"/>
    </row>
    <row r="117" spans="1:48" s="8" customFormat="1" x14ac:dyDescent="0.25">
      <c r="A117" s="15"/>
      <c r="B117"/>
      <c r="C117"/>
      <c r="D117"/>
      <c r="E117"/>
      <c r="F117"/>
      <c r="G117"/>
      <c r="H117"/>
      <c r="I117"/>
      <c r="J117"/>
      <c r="K117"/>
      <c r="L117" s="17"/>
      <c r="M117" s="51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</row>
    <row r="118" spans="1:48" x14ac:dyDescent="0.25">
      <c r="C118"/>
      <c r="D118"/>
      <c r="E118"/>
      <c r="F118"/>
      <c r="G118"/>
      <c r="H118"/>
      <c r="I118"/>
      <c r="J118"/>
      <c r="K118"/>
      <c r="M118" s="47"/>
    </row>
    <row r="119" spans="1:48" s="18" customFormat="1" x14ac:dyDescent="0.25">
      <c r="B119"/>
      <c r="C119"/>
      <c r="D119"/>
      <c r="E119"/>
      <c r="F119"/>
      <c r="G119"/>
      <c r="H119"/>
      <c r="I119"/>
      <c r="J119"/>
      <c r="K119"/>
      <c r="L119" s="21"/>
      <c r="M119" s="47"/>
    </row>
    <row r="120" spans="1:48" s="18" customFormat="1" x14ac:dyDescent="0.25">
      <c r="B120"/>
      <c r="C120"/>
      <c r="D120"/>
      <c r="E120"/>
      <c r="F120"/>
      <c r="G120"/>
      <c r="H120"/>
      <c r="I120"/>
      <c r="J120"/>
      <c r="K120"/>
      <c r="L120" s="21"/>
      <c r="M120" s="47"/>
    </row>
    <row r="121" spans="1:48" s="18" customFormat="1" x14ac:dyDescent="0.25">
      <c r="B121"/>
      <c r="C121"/>
      <c r="D121"/>
      <c r="E121"/>
      <c r="F121"/>
      <c r="G121"/>
      <c r="H121"/>
      <c r="I121"/>
      <c r="J121"/>
      <c r="K121"/>
      <c r="L121" s="21"/>
    </row>
    <row r="122" spans="1:48" s="18" customFormat="1" x14ac:dyDescent="0.25">
      <c r="B122"/>
      <c r="C122"/>
      <c r="D122"/>
      <c r="E122"/>
      <c r="F122"/>
      <c r="G122"/>
      <c r="H122"/>
      <c r="I122"/>
      <c r="J122"/>
      <c r="K122"/>
      <c r="L122" s="21"/>
    </row>
    <row r="123" spans="1:48" s="18" customFormat="1" x14ac:dyDescent="0.25">
      <c r="B123"/>
      <c r="C123"/>
      <c r="D123"/>
      <c r="E123"/>
      <c r="F123"/>
      <c r="G123"/>
      <c r="H123"/>
      <c r="I123"/>
      <c r="J123"/>
      <c r="K123"/>
      <c r="L123" s="21"/>
    </row>
    <row r="124" spans="1:48" s="18" customFormat="1" x14ac:dyDescent="0.25">
      <c r="B124"/>
      <c r="C124"/>
      <c r="D124"/>
      <c r="E124"/>
      <c r="F124"/>
      <c r="G124"/>
      <c r="H124"/>
      <c r="I124"/>
      <c r="J124"/>
      <c r="K124"/>
      <c r="L124" s="21"/>
    </row>
    <row r="125" spans="1:48" s="18" customFormat="1" x14ac:dyDescent="0.25">
      <c r="B125"/>
      <c r="C125"/>
      <c r="D125"/>
      <c r="E125"/>
      <c r="F125"/>
      <c r="G125"/>
      <c r="H125"/>
      <c r="I125"/>
      <c r="J125"/>
      <c r="K125"/>
      <c r="L125" s="21"/>
    </row>
    <row r="126" spans="1:48" s="18" customFormat="1" x14ac:dyDescent="0.25">
      <c r="B126"/>
      <c r="C126"/>
      <c r="D126"/>
      <c r="E126"/>
      <c r="F126"/>
      <c r="G126"/>
      <c r="H126"/>
      <c r="I126"/>
      <c r="J126"/>
      <c r="K126"/>
      <c r="L126" s="21"/>
    </row>
    <row r="127" spans="1:48" s="18" customFormat="1" x14ac:dyDescent="0.25">
      <c r="B127"/>
      <c r="C127"/>
      <c r="D127"/>
      <c r="E127"/>
      <c r="F127"/>
      <c r="G127"/>
      <c r="H127"/>
      <c r="I127"/>
      <c r="J127"/>
      <c r="K127"/>
      <c r="L127" s="21"/>
    </row>
    <row r="128" spans="1:48" s="18" customFormat="1" x14ac:dyDescent="0.25">
      <c r="B128"/>
      <c r="C128"/>
      <c r="D128"/>
      <c r="E128"/>
      <c r="F128"/>
      <c r="G128"/>
      <c r="H128"/>
      <c r="I128"/>
      <c r="J128"/>
      <c r="K128"/>
      <c r="L128" s="21"/>
    </row>
    <row r="129" spans="2:12" s="18" customFormat="1" x14ac:dyDescent="0.25">
      <c r="B129"/>
      <c r="C129"/>
      <c r="D129"/>
      <c r="E129"/>
      <c r="F129"/>
      <c r="G129"/>
      <c r="H129"/>
      <c r="I129"/>
      <c r="J129"/>
      <c r="K129"/>
      <c r="L129" s="21"/>
    </row>
    <row r="130" spans="2:12" s="18" customFormat="1" x14ac:dyDescent="0.25">
      <c r="B130"/>
      <c r="C130"/>
      <c r="D130"/>
      <c r="E130"/>
      <c r="F130"/>
      <c r="G130"/>
      <c r="H130"/>
      <c r="I130"/>
      <c r="J130"/>
      <c r="K130"/>
      <c r="L130" s="21"/>
    </row>
    <row r="131" spans="2:12" s="18" customFormat="1" x14ac:dyDescent="0.25">
      <c r="B131"/>
      <c r="C131"/>
      <c r="D131"/>
      <c r="E131"/>
      <c r="F131"/>
      <c r="G131"/>
      <c r="H131"/>
      <c r="I131"/>
      <c r="J131"/>
      <c r="K131"/>
      <c r="L131" s="21"/>
    </row>
    <row r="132" spans="2:12" s="18" customFormat="1" x14ac:dyDescent="0.25">
      <c r="B132"/>
      <c r="C132"/>
      <c r="D132"/>
      <c r="E132"/>
      <c r="F132"/>
      <c r="G132"/>
      <c r="H132"/>
      <c r="I132"/>
      <c r="J132"/>
      <c r="K132"/>
      <c r="L132" s="21"/>
    </row>
    <row r="133" spans="2:12" s="18" customFormat="1" x14ac:dyDescent="0.25">
      <c r="B133"/>
      <c r="C133"/>
      <c r="D133"/>
      <c r="E133"/>
      <c r="F133"/>
      <c r="G133"/>
      <c r="H133"/>
      <c r="I133"/>
      <c r="J133"/>
      <c r="K133"/>
      <c r="L133" s="21"/>
    </row>
    <row r="134" spans="2:12" s="18" customFormat="1" x14ac:dyDescent="0.25">
      <c r="B134"/>
      <c r="C134"/>
      <c r="D134"/>
      <c r="E134"/>
      <c r="F134"/>
      <c r="G134"/>
      <c r="H134"/>
      <c r="I134"/>
      <c r="J134"/>
      <c r="K134"/>
      <c r="L134" s="21"/>
    </row>
    <row r="135" spans="2:12" s="18" customFormat="1" x14ac:dyDescent="0.25">
      <c r="B135"/>
      <c r="C135"/>
      <c r="D135"/>
      <c r="E135"/>
      <c r="F135"/>
      <c r="G135"/>
      <c r="H135"/>
      <c r="I135"/>
      <c r="J135"/>
      <c r="K135"/>
      <c r="L135" s="21"/>
    </row>
    <row r="136" spans="2:12" s="18" customFormat="1" x14ac:dyDescent="0.25">
      <c r="B136"/>
      <c r="C136"/>
      <c r="D136"/>
      <c r="E136"/>
      <c r="F136"/>
      <c r="G136"/>
      <c r="H136"/>
      <c r="I136"/>
      <c r="J136"/>
      <c r="K136"/>
      <c r="L136" s="21"/>
    </row>
    <row r="137" spans="2:12" s="18" customFormat="1" hidden="1" x14ac:dyDescent="0.25">
      <c r="B137"/>
      <c r="C137"/>
      <c r="D137"/>
      <c r="E137"/>
      <c r="F137"/>
      <c r="G137"/>
      <c r="H137"/>
      <c r="I137"/>
      <c r="J137"/>
      <c r="K137"/>
      <c r="L137" s="21"/>
    </row>
    <row r="138" spans="2:12" s="18" customFormat="1" hidden="1" x14ac:dyDescent="0.25">
      <c r="B138"/>
      <c r="C138"/>
      <c r="D138"/>
      <c r="E138"/>
      <c r="F138"/>
      <c r="G138"/>
      <c r="H138"/>
      <c r="I138"/>
      <c r="J138"/>
      <c r="K138"/>
      <c r="L138" s="21"/>
    </row>
    <row r="139" spans="2:12" s="18" customFormat="1" hidden="1" x14ac:dyDescent="0.25">
      <c r="B139"/>
      <c r="C139"/>
      <c r="D139"/>
      <c r="E139"/>
      <c r="F139"/>
      <c r="G139"/>
      <c r="H139"/>
      <c r="I139"/>
      <c r="J139"/>
      <c r="K139"/>
      <c r="L139" s="21"/>
    </row>
    <row r="140" spans="2:12" s="18" customFormat="1" hidden="1" x14ac:dyDescent="0.25">
      <c r="B140"/>
      <c r="C140"/>
      <c r="D140"/>
      <c r="E140"/>
      <c r="F140"/>
      <c r="G140"/>
      <c r="H140"/>
      <c r="I140"/>
      <c r="J140"/>
      <c r="K140"/>
      <c r="L140" s="21"/>
    </row>
    <row r="141" spans="2:12" s="18" customFormat="1" hidden="1" x14ac:dyDescent="0.25">
      <c r="B141"/>
      <c r="C141"/>
      <c r="D141"/>
      <c r="E141"/>
      <c r="F141"/>
      <c r="G141"/>
      <c r="H141"/>
      <c r="I141"/>
      <c r="J141"/>
      <c r="K141"/>
      <c r="L141" s="21"/>
    </row>
    <row r="142" spans="2:12" s="18" customFormat="1" hidden="1" x14ac:dyDescent="0.25">
      <c r="B142"/>
      <c r="C142"/>
      <c r="D142"/>
      <c r="E142"/>
      <c r="F142"/>
      <c r="G142"/>
      <c r="H142"/>
      <c r="I142"/>
      <c r="J142"/>
      <c r="K142"/>
      <c r="L142" s="21"/>
    </row>
    <row r="143" spans="2:12" s="18" customFormat="1" hidden="1" x14ac:dyDescent="0.25">
      <c r="B143"/>
      <c r="C143"/>
      <c r="D143"/>
      <c r="E143"/>
      <c r="F143"/>
      <c r="G143"/>
      <c r="H143"/>
      <c r="I143"/>
      <c r="J143"/>
      <c r="K143"/>
      <c r="L143" s="21"/>
    </row>
    <row r="144" spans="2:12" s="18" customFormat="1" hidden="1" x14ac:dyDescent="0.25">
      <c r="B144"/>
      <c r="C144"/>
      <c r="D144"/>
      <c r="E144"/>
      <c r="F144"/>
      <c r="G144"/>
      <c r="H144"/>
      <c r="I144"/>
      <c r="J144"/>
      <c r="K144"/>
      <c r="L144" s="21"/>
    </row>
    <row r="145" spans="2:12" s="18" customFormat="1" hidden="1" x14ac:dyDescent="0.25">
      <c r="B145"/>
      <c r="C145"/>
      <c r="D145"/>
      <c r="E145"/>
      <c r="F145"/>
      <c r="G145"/>
      <c r="H145"/>
      <c r="I145"/>
      <c r="J145"/>
      <c r="K145"/>
      <c r="L145" s="21"/>
    </row>
    <row r="146" spans="2:12" s="18" customFormat="1" hidden="1" x14ac:dyDescent="0.25">
      <c r="B146"/>
      <c r="C146"/>
      <c r="D146"/>
      <c r="E146"/>
      <c r="F146"/>
      <c r="G146"/>
      <c r="H146"/>
      <c r="I146"/>
      <c r="J146"/>
      <c r="K146"/>
      <c r="L146" s="21"/>
    </row>
    <row r="147" spans="2:12" s="18" customFormat="1" hidden="1" x14ac:dyDescent="0.25">
      <c r="B147"/>
      <c r="C147"/>
      <c r="D147"/>
      <c r="E147"/>
      <c r="F147"/>
      <c r="G147"/>
      <c r="H147"/>
      <c r="I147"/>
      <c r="J147"/>
      <c r="K147"/>
      <c r="L147" s="21"/>
    </row>
    <row r="148" spans="2:12" s="18" customFormat="1" hidden="1" x14ac:dyDescent="0.25">
      <c r="B148"/>
      <c r="C148"/>
      <c r="D148"/>
      <c r="E148"/>
      <c r="F148"/>
      <c r="G148"/>
      <c r="H148"/>
      <c r="I148"/>
      <c r="J148"/>
      <c r="K148"/>
      <c r="L148" s="21"/>
    </row>
    <row r="149" spans="2:12" s="18" customFormat="1" hidden="1" x14ac:dyDescent="0.25">
      <c r="B149"/>
      <c r="C149"/>
      <c r="D149"/>
      <c r="E149"/>
      <c r="F149"/>
      <c r="G149"/>
      <c r="H149"/>
      <c r="I149"/>
      <c r="J149"/>
      <c r="K149"/>
      <c r="L149" s="21"/>
    </row>
    <row r="150" spans="2:12" s="18" customFormat="1" hidden="1" x14ac:dyDescent="0.25">
      <c r="B150"/>
      <c r="C150"/>
      <c r="D150"/>
      <c r="E150"/>
      <c r="F150"/>
      <c r="G150"/>
      <c r="H150"/>
      <c r="I150"/>
      <c r="J150"/>
      <c r="K150"/>
      <c r="L150" s="21"/>
    </row>
    <row r="151" spans="2:12" s="18" customFormat="1" hidden="1" x14ac:dyDescent="0.25">
      <c r="B151"/>
      <c r="C151"/>
      <c r="D151"/>
      <c r="E151"/>
      <c r="F151"/>
      <c r="G151"/>
      <c r="H151"/>
      <c r="I151"/>
      <c r="J151"/>
      <c r="K151"/>
      <c r="L151" s="21"/>
    </row>
    <row r="152" spans="2:12" s="18" customFormat="1" hidden="1" x14ac:dyDescent="0.25">
      <c r="B152"/>
      <c r="C152"/>
      <c r="D152"/>
      <c r="E152"/>
      <c r="F152"/>
      <c r="G152"/>
      <c r="H152"/>
      <c r="I152"/>
      <c r="J152"/>
      <c r="K152"/>
      <c r="L152" s="21"/>
    </row>
    <row r="153" spans="2:12" s="18" customFormat="1" hidden="1" x14ac:dyDescent="0.25">
      <c r="B153"/>
      <c r="C153"/>
      <c r="D153"/>
      <c r="E153"/>
      <c r="F153"/>
      <c r="G153"/>
      <c r="H153"/>
      <c r="I153"/>
      <c r="J153"/>
      <c r="K153"/>
      <c r="L153" s="21"/>
    </row>
    <row r="154" spans="2:12" s="18" customFormat="1" hidden="1" x14ac:dyDescent="0.25">
      <c r="B154"/>
      <c r="C154"/>
      <c r="D154"/>
      <c r="E154"/>
      <c r="F154"/>
      <c r="G154"/>
      <c r="H154"/>
      <c r="I154"/>
      <c r="J154"/>
      <c r="K154"/>
      <c r="L154" s="21"/>
    </row>
    <row r="155" spans="2:12" s="18" customFormat="1" hidden="1" x14ac:dyDescent="0.25">
      <c r="B155"/>
      <c r="C155"/>
      <c r="D155"/>
      <c r="E155"/>
      <c r="F155"/>
      <c r="G155"/>
      <c r="H155"/>
      <c r="I155"/>
      <c r="J155"/>
      <c r="K155"/>
      <c r="L155" s="21"/>
    </row>
    <row r="156" spans="2:12" s="18" customFormat="1" hidden="1" x14ac:dyDescent="0.25">
      <c r="B156"/>
      <c r="C156"/>
      <c r="D156"/>
      <c r="E156"/>
      <c r="F156"/>
      <c r="G156"/>
      <c r="H156"/>
      <c r="I156"/>
      <c r="J156"/>
      <c r="K156"/>
      <c r="L156" s="21"/>
    </row>
    <row r="157" spans="2:12" s="18" customFormat="1" hidden="1" x14ac:dyDescent="0.25">
      <c r="B157"/>
      <c r="C157"/>
      <c r="D157"/>
      <c r="E157"/>
      <c r="F157"/>
      <c r="G157"/>
      <c r="H157"/>
      <c r="I157"/>
      <c r="J157"/>
      <c r="K157"/>
      <c r="L157" s="21"/>
    </row>
    <row r="158" spans="2:12" s="18" customFormat="1" hidden="1" x14ac:dyDescent="0.25">
      <c r="B158"/>
      <c r="C158"/>
      <c r="D158"/>
      <c r="E158"/>
      <c r="F158"/>
      <c r="G158"/>
      <c r="H158"/>
      <c r="I158"/>
      <c r="J158"/>
      <c r="K158"/>
      <c r="L158" s="21"/>
    </row>
    <row r="159" spans="2:12" s="18" customFormat="1" hidden="1" x14ac:dyDescent="0.25">
      <c r="B159"/>
      <c r="C159"/>
      <c r="D159"/>
      <c r="E159"/>
      <c r="F159"/>
      <c r="G159"/>
      <c r="H159"/>
      <c r="I159"/>
      <c r="J159"/>
      <c r="K159"/>
      <c r="L159" s="21"/>
    </row>
    <row r="160" spans="2:12" s="18" customFormat="1" hidden="1" x14ac:dyDescent="0.25">
      <c r="B160"/>
      <c r="C160"/>
      <c r="D160"/>
      <c r="E160"/>
      <c r="F160"/>
      <c r="G160"/>
      <c r="H160"/>
      <c r="I160"/>
      <c r="J160"/>
      <c r="K160"/>
      <c r="L160" s="21"/>
    </row>
    <row r="161" spans="2:12" s="18" customFormat="1" hidden="1" x14ac:dyDescent="0.25">
      <c r="B161"/>
      <c r="C161"/>
      <c r="D161"/>
      <c r="E161"/>
      <c r="F161"/>
      <c r="G161"/>
      <c r="H161"/>
      <c r="I161"/>
      <c r="J161"/>
      <c r="K161"/>
      <c r="L161" s="21"/>
    </row>
    <row r="162" spans="2:12" s="18" customFormat="1" hidden="1" x14ac:dyDescent="0.25">
      <c r="B162"/>
      <c r="C162"/>
      <c r="D162"/>
      <c r="E162"/>
      <c r="F162"/>
      <c r="G162"/>
      <c r="H162"/>
      <c r="I162"/>
      <c r="J162"/>
      <c r="K162"/>
      <c r="L162" s="21"/>
    </row>
    <row r="163" spans="2:12" s="18" customFormat="1" hidden="1" x14ac:dyDescent="0.25">
      <c r="B163"/>
      <c r="C163"/>
      <c r="D163"/>
      <c r="E163"/>
      <c r="F163"/>
      <c r="G163"/>
      <c r="H163"/>
      <c r="I163"/>
      <c r="J163"/>
      <c r="K163"/>
      <c r="L163" s="21"/>
    </row>
    <row r="164" spans="2:12" s="18" customFormat="1" hidden="1" x14ac:dyDescent="0.25">
      <c r="B164"/>
      <c r="C164"/>
      <c r="D164"/>
      <c r="E164"/>
      <c r="F164"/>
      <c r="G164"/>
      <c r="H164"/>
      <c r="I164"/>
      <c r="J164"/>
      <c r="K164"/>
      <c r="L164" s="21"/>
    </row>
    <row r="165" spans="2:12" s="18" customFormat="1" hidden="1" x14ac:dyDescent="0.25">
      <c r="B165"/>
      <c r="C165"/>
      <c r="D165"/>
      <c r="E165"/>
      <c r="F165"/>
      <c r="G165"/>
      <c r="H165"/>
      <c r="I165"/>
      <c r="J165"/>
      <c r="K165"/>
      <c r="L165" s="21"/>
    </row>
    <row r="166" spans="2:12" s="18" customFormat="1" hidden="1" x14ac:dyDescent="0.25">
      <c r="B166"/>
      <c r="C166"/>
      <c r="D166"/>
      <c r="E166"/>
      <c r="F166"/>
      <c r="G166"/>
      <c r="H166"/>
      <c r="I166"/>
      <c r="J166"/>
      <c r="K166"/>
      <c r="L166" s="21"/>
    </row>
    <row r="167" spans="2:12" s="18" customFormat="1" hidden="1" x14ac:dyDescent="0.25">
      <c r="B167"/>
      <c r="C167"/>
      <c r="D167"/>
      <c r="E167"/>
      <c r="F167"/>
      <c r="G167"/>
      <c r="H167"/>
      <c r="I167"/>
      <c r="J167"/>
      <c r="K167"/>
      <c r="L167" s="21"/>
    </row>
    <row r="168" spans="2:12" s="18" customFormat="1" hidden="1" x14ac:dyDescent="0.25">
      <c r="B168"/>
      <c r="C168"/>
      <c r="D168"/>
      <c r="E168"/>
      <c r="F168"/>
      <c r="G168"/>
      <c r="H168"/>
      <c r="I168"/>
      <c r="J168"/>
      <c r="K168"/>
      <c r="L168" s="21"/>
    </row>
    <row r="169" spans="2:12" s="18" customFormat="1" hidden="1" x14ac:dyDescent="0.25">
      <c r="B169"/>
      <c r="C169"/>
      <c r="D169"/>
      <c r="E169"/>
      <c r="F169"/>
      <c r="G169"/>
      <c r="H169"/>
      <c r="I169"/>
      <c r="J169"/>
      <c r="K169"/>
      <c r="L169" s="21"/>
    </row>
    <row r="170" spans="2:12" s="18" customFormat="1" hidden="1" x14ac:dyDescent="0.25">
      <c r="B170"/>
      <c r="C170"/>
      <c r="D170"/>
      <c r="E170"/>
      <c r="F170"/>
      <c r="G170"/>
      <c r="H170"/>
      <c r="I170"/>
      <c r="J170"/>
      <c r="K170"/>
      <c r="L170" s="21"/>
    </row>
    <row r="171" spans="2:12" s="18" customFormat="1" hidden="1" x14ac:dyDescent="0.25">
      <c r="B171"/>
      <c r="C171"/>
      <c r="D171"/>
      <c r="E171"/>
      <c r="F171"/>
      <c r="G171"/>
      <c r="H171"/>
      <c r="I171"/>
      <c r="J171"/>
      <c r="K171"/>
      <c r="L171" s="21"/>
    </row>
    <row r="172" spans="2:12" s="18" customFormat="1" hidden="1" x14ac:dyDescent="0.25">
      <c r="B172"/>
      <c r="C172"/>
      <c r="D172"/>
      <c r="E172"/>
      <c r="F172"/>
      <c r="G172"/>
      <c r="H172"/>
      <c r="I172"/>
      <c r="J172"/>
      <c r="K172"/>
      <c r="L172" s="21"/>
    </row>
    <row r="173" spans="2:12" s="18" customFormat="1" hidden="1" x14ac:dyDescent="0.25">
      <c r="B173"/>
      <c r="C173"/>
      <c r="D173"/>
      <c r="E173"/>
      <c r="F173"/>
      <c r="G173"/>
      <c r="H173"/>
      <c r="I173"/>
      <c r="J173"/>
      <c r="K173"/>
      <c r="L173" s="21"/>
    </row>
    <row r="174" spans="2:12" s="18" customFormat="1" hidden="1" x14ac:dyDescent="0.25">
      <c r="B174"/>
      <c r="C174"/>
      <c r="D174"/>
      <c r="E174"/>
      <c r="F174"/>
      <c r="G174"/>
      <c r="H174"/>
      <c r="I174"/>
      <c r="J174"/>
      <c r="K174"/>
      <c r="L174" s="21"/>
    </row>
    <row r="175" spans="2:12" s="18" customFormat="1" hidden="1" x14ac:dyDescent="0.25">
      <c r="B175"/>
      <c r="C175"/>
      <c r="D175"/>
      <c r="E175"/>
      <c r="F175"/>
      <c r="G175"/>
      <c r="H175"/>
      <c r="I175"/>
      <c r="J175"/>
      <c r="K175"/>
      <c r="L175" s="21"/>
    </row>
    <row r="176" spans="2:12" s="18" customFormat="1" hidden="1" x14ac:dyDescent="0.25">
      <c r="B176"/>
      <c r="C176"/>
      <c r="D176"/>
      <c r="E176"/>
      <c r="F176"/>
      <c r="G176"/>
      <c r="H176"/>
      <c r="I176"/>
      <c r="J176"/>
      <c r="K176"/>
      <c r="L176" s="21"/>
    </row>
    <row r="177" spans="2:12" s="18" customFormat="1" hidden="1" x14ac:dyDescent="0.25">
      <c r="B177"/>
      <c r="C177"/>
      <c r="D177"/>
      <c r="E177"/>
      <c r="F177"/>
      <c r="G177"/>
      <c r="H177"/>
      <c r="I177"/>
      <c r="J177"/>
      <c r="K177"/>
      <c r="L177" s="21"/>
    </row>
    <row r="178" spans="2:12" s="18" customFormat="1" hidden="1" x14ac:dyDescent="0.25">
      <c r="B178"/>
      <c r="C178"/>
      <c r="D178"/>
      <c r="E178"/>
      <c r="F178"/>
      <c r="G178"/>
      <c r="H178"/>
      <c r="I178"/>
      <c r="J178"/>
      <c r="K178"/>
      <c r="L178" s="21"/>
    </row>
    <row r="179" spans="2:12" s="18" customFormat="1" hidden="1" x14ac:dyDescent="0.25">
      <c r="B179"/>
      <c r="C179"/>
      <c r="D179"/>
      <c r="E179"/>
      <c r="F179"/>
      <c r="G179"/>
      <c r="H179"/>
      <c r="I179"/>
      <c r="J179"/>
      <c r="K179"/>
      <c r="L179" s="21"/>
    </row>
    <row r="180" spans="2:12" s="18" customFormat="1" hidden="1" x14ac:dyDescent="0.25">
      <c r="B180"/>
      <c r="C180"/>
      <c r="D180"/>
      <c r="E180"/>
      <c r="F180"/>
      <c r="G180"/>
      <c r="H180"/>
      <c r="I180"/>
      <c r="J180"/>
      <c r="K180"/>
      <c r="L180" s="21"/>
    </row>
    <row r="181" spans="2:12" s="18" customFormat="1" hidden="1" x14ac:dyDescent="0.25">
      <c r="B181"/>
      <c r="C181"/>
      <c r="D181"/>
      <c r="E181"/>
      <c r="F181"/>
      <c r="G181"/>
      <c r="H181"/>
      <c r="I181"/>
      <c r="J181"/>
      <c r="K181"/>
      <c r="L181" s="21"/>
    </row>
    <row r="182" spans="2:12" s="18" customFormat="1" hidden="1" x14ac:dyDescent="0.25">
      <c r="B182"/>
      <c r="C182"/>
      <c r="D182"/>
      <c r="E182"/>
      <c r="F182"/>
      <c r="G182"/>
      <c r="H182"/>
      <c r="I182"/>
      <c r="J182"/>
      <c r="K182"/>
      <c r="L182" s="21"/>
    </row>
    <row r="183" spans="2:12" s="18" customFormat="1" hidden="1" x14ac:dyDescent="0.25">
      <c r="B183"/>
      <c r="C183"/>
      <c r="D183"/>
      <c r="E183"/>
      <c r="F183"/>
      <c r="G183"/>
      <c r="H183"/>
      <c r="I183"/>
      <c r="J183"/>
      <c r="K183"/>
      <c r="L183" s="21"/>
    </row>
    <row r="184" spans="2:12" s="18" customFormat="1" hidden="1" x14ac:dyDescent="0.25">
      <c r="B184"/>
      <c r="C184"/>
      <c r="D184"/>
      <c r="E184"/>
      <c r="F184"/>
      <c r="G184"/>
      <c r="H184"/>
      <c r="I184"/>
      <c r="J184"/>
      <c r="K184"/>
      <c r="L184" s="21"/>
    </row>
    <row r="185" spans="2:12" s="18" customFormat="1" hidden="1" x14ac:dyDescent="0.25">
      <c r="B185"/>
      <c r="C185"/>
      <c r="D185"/>
      <c r="E185"/>
      <c r="F185"/>
      <c r="G185"/>
      <c r="H185"/>
      <c r="I185"/>
      <c r="J185"/>
      <c r="K185"/>
      <c r="L185" s="21"/>
    </row>
    <row r="186" spans="2:12" s="18" customFormat="1" hidden="1" x14ac:dyDescent="0.25">
      <c r="B186"/>
      <c r="C186"/>
      <c r="D186"/>
      <c r="E186"/>
      <c r="F186"/>
      <c r="G186"/>
      <c r="H186"/>
      <c r="I186"/>
      <c r="J186"/>
      <c r="K186"/>
      <c r="L186" s="21"/>
    </row>
    <row r="187" spans="2:12" s="18" customFormat="1" hidden="1" x14ac:dyDescent="0.25">
      <c r="B187"/>
      <c r="C187"/>
      <c r="D187"/>
      <c r="E187"/>
      <c r="F187"/>
      <c r="G187"/>
      <c r="H187"/>
      <c r="I187"/>
      <c r="J187"/>
      <c r="K187"/>
      <c r="L187" s="21"/>
    </row>
    <row r="188" spans="2:12" s="18" customFormat="1" hidden="1" x14ac:dyDescent="0.25">
      <c r="B188"/>
      <c r="C188"/>
      <c r="D188"/>
      <c r="E188"/>
      <c r="F188"/>
      <c r="G188"/>
      <c r="H188"/>
      <c r="I188"/>
      <c r="J188"/>
      <c r="K188"/>
      <c r="L188" s="21"/>
    </row>
    <row r="189" spans="2:12" s="18" customFormat="1" hidden="1" x14ac:dyDescent="0.25">
      <c r="B189"/>
      <c r="C189"/>
      <c r="D189"/>
      <c r="E189"/>
      <c r="F189"/>
      <c r="G189"/>
      <c r="H189"/>
      <c r="I189"/>
      <c r="J189"/>
      <c r="K189"/>
      <c r="L189" s="21"/>
    </row>
    <row r="190" spans="2:12" s="18" customFormat="1" hidden="1" x14ac:dyDescent="0.25">
      <c r="B190"/>
      <c r="C190"/>
      <c r="D190"/>
      <c r="E190"/>
      <c r="F190"/>
      <c r="G190"/>
      <c r="H190"/>
      <c r="I190"/>
      <c r="J190"/>
      <c r="K190"/>
      <c r="L190" s="21"/>
    </row>
    <row r="191" spans="2:12" s="18" customFormat="1" hidden="1" x14ac:dyDescent="0.25">
      <c r="B191"/>
      <c r="C191"/>
      <c r="D191"/>
      <c r="E191"/>
      <c r="F191"/>
      <c r="G191"/>
      <c r="H191"/>
      <c r="I191"/>
      <c r="J191"/>
      <c r="K191"/>
      <c r="L191" s="21"/>
    </row>
    <row r="192" spans="2:12" s="18" customFormat="1" hidden="1" x14ac:dyDescent="0.25">
      <c r="B192"/>
      <c r="C192"/>
      <c r="D192"/>
      <c r="E192"/>
      <c r="F192"/>
      <c r="G192"/>
      <c r="H192"/>
      <c r="I192"/>
      <c r="J192"/>
      <c r="K192"/>
      <c r="L192" s="21"/>
    </row>
    <row r="193" spans="2:12" s="18" customFormat="1" hidden="1" x14ac:dyDescent="0.25">
      <c r="B193"/>
      <c r="C193"/>
      <c r="D193"/>
      <c r="E193"/>
      <c r="F193"/>
      <c r="G193"/>
      <c r="H193"/>
      <c r="I193"/>
      <c r="J193"/>
      <c r="K193"/>
      <c r="L193" s="21"/>
    </row>
    <row r="194" spans="2:12" s="18" customFormat="1" hidden="1" x14ac:dyDescent="0.25">
      <c r="B194"/>
      <c r="C194"/>
      <c r="D194"/>
      <c r="E194"/>
      <c r="F194"/>
      <c r="G194"/>
      <c r="H194"/>
      <c r="I194"/>
      <c r="J194"/>
      <c r="K194"/>
      <c r="L194" s="21"/>
    </row>
    <row r="195" spans="2:12" s="18" customFormat="1" hidden="1" x14ac:dyDescent="0.25">
      <c r="B195"/>
      <c r="C195"/>
      <c r="D195"/>
      <c r="E195"/>
      <c r="F195"/>
      <c r="G195"/>
      <c r="H195"/>
      <c r="I195"/>
      <c r="J195"/>
      <c r="K195"/>
      <c r="L195" s="21"/>
    </row>
    <row r="196" spans="2:12" s="18" customFormat="1" hidden="1" x14ac:dyDescent="0.25">
      <c r="B196"/>
      <c r="C196"/>
      <c r="D196"/>
      <c r="E196"/>
      <c r="F196"/>
      <c r="G196"/>
      <c r="H196"/>
      <c r="I196"/>
      <c r="J196"/>
      <c r="K196"/>
      <c r="L196" s="21"/>
    </row>
    <row r="197" spans="2:12" s="18" customFormat="1" hidden="1" x14ac:dyDescent="0.25">
      <c r="B197"/>
      <c r="C197"/>
      <c r="D197"/>
      <c r="E197"/>
      <c r="F197"/>
      <c r="G197"/>
      <c r="H197"/>
      <c r="I197"/>
      <c r="J197"/>
      <c r="K197"/>
      <c r="L197" s="21"/>
    </row>
    <row r="198" spans="2:12" s="18" customFormat="1" hidden="1" x14ac:dyDescent="0.25">
      <c r="B198"/>
      <c r="C198"/>
      <c r="D198"/>
      <c r="E198"/>
      <c r="F198"/>
      <c r="G198"/>
      <c r="H198"/>
      <c r="I198"/>
      <c r="J198"/>
      <c r="K198"/>
      <c r="L198" s="21"/>
    </row>
    <row r="199" spans="2:12" s="18" customFormat="1" hidden="1" x14ac:dyDescent="0.25">
      <c r="B199"/>
      <c r="C199"/>
      <c r="D199"/>
      <c r="E199"/>
      <c r="F199"/>
      <c r="G199"/>
      <c r="H199"/>
      <c r="I199"/>
      <c r="J199"/>
      <c r="K199"/>
      <c r="L199" s="21"/>
    </row>
    <row r="200" spans="2:12" s="18" customFormat="1" hidden="1" x14ac:dyDescent="0.25">
      <c r="B200"/>
      <c r="C200"/>
      <c r="D200"/>
      <c r="E200"/>
      <c r="F200"/>
      <c r="G200"/>
      <c r="H200"/>
      <c r="I200"/>
      <c r="J200"/>
      <c r="K200"/>
      <c r="L200" s="21"/>
    </row>
    <row r="201" spans="2:12" s="18" customFormat="1" hidden="1" x14ac:dyDescent="0.25">
      <c r="B201"/>
      <c r="C201"/>
      <c r="D201"/>
      <c r="E201"/>
      <c r="F201"/>
      <c r="G201"/>
      <c r="H201"/>
      <c r="I201"/>
      <c r="J201"/>
      <c r="K201"/>
      <c r="L201" s="21"/>
    </row>
    <row r="202" spans="2:12" s="18" customFormat="1" hidden="1" x14ac:dyDescent="0.25">
      <c r="B202"/>
      <c r="C202"/>
      <c r="D202"/>
      <c r="E202"/>
      <c r="F202"/>
      <c r="G202"/>
      <c r="H202"/>
      <c r="I202"/>
      <c r="J202"/>
      <c r="K202"/>
      <c r="L202" s="21"/>
    </row>
    <row r="203" spans="2:12" s="18" customFormat="1" hidden="1" x14ac:dyDescent="0.25">
      <c r="B203"/>
      <c r="C203"/>
      <c r="D203"/>
      <c r="E203"/>
      <c r="F203"/>
      <c r="G203"/>
      <c r="H203"/>
      <c r="I203"/>
      <c r="J203"/>
      <c r="K203"/>
      <c r="L203" s="21"/>
    </row>
    <row r="204" spans="2:12" s="18" customFormat="1" hidden="1" x14ac:dyDescent="0.25">
      <c r="B204"/>
      <c r="C204"/>
      <c r="D204"/>
      <c r="E204"/>
      <c r="F204"/>
      <c r="G204"/>
      <c r="H204"/>
      <c r="I204"/>
      <c r="J204"/>
      <c r="K204"/>
      <c r="L204" s="21"/>
    </row>
    <row r="205" spans="2:12" s="18" customFormat="1" hidden="1" x14ac:dyDescent="0.25">
      <c r="B205"/>
      <c r="C205"/>
      <c r="D205"/>
      <c r="E205"/>
      <c r="F205"/>
      <c r="G205"/>
      <c r="H205"/>
      <c r="I205"/>
      <c r="J205"/>
      <c r="K205"/>
      <c r="L205" s="21"/>
    </row>
    <row r="206" spans="2:12" s="18" customFormat="1" x14ac:dyDescent="0.25">
      <c r="B206"/>
      <c r="C206"/>
      <c r="D206"/>
      <c r="E206"/>
      <c r="F206"/>
      <c r="G206"/>
      <c r="H206"/>
      <c r="I206"/>
      <c r="J206"/>
      <c r="K206"/>
      <c r="L206" s="21"/>
    </row>
    <row r="207" spans="2:12" s="18" customFormat="1" x14ac:dyDescent="0.25">
      <c r="B207"/>
      <c r="C207"/>
      <c r="D207"/>
      <c r="E207"/>
      <c r="F207"/>
      <c r="G207"/>
      <c r="H207"/>
      <c r="I207"/>
      <c r="J207"/>
      <c r="K207"/>
      <c r="L207" s="21"/>
    </row>
    <row r="208" spans="2:12" s="18" customFormat="1" x14ac:dyDescent="0.25">
      <c r="B208"/>
      <c r="C208"/>
      <c r="D208"/>
      <c r="E208"/>
      <c r="F208"/>
      <c r="G208"/>
      <c r="H208"/>
      <c r="I208"/>
      <c r="J208"/>
      <c r="K208"/>
      <c r="L208" s="21"/>
    </row>
    <row r="209" spans="2:12" s="18" customFormat="1" x14ac:dyDescent="0.25">
      <c r="B209"/>
      <c r="C209"/>
      <c r="D209"/>
      <c r="E209"/>
      <c r="F209"/>
      <c r="G209"/>
      <c r="H209"/>
      <c r="I209"/>
      <c r="J209"/>
      <c r="K209"/>
      <c r="L209" s="21"/>
    </row>
    <row r="210" spans="2:12" s="18" customFormat="1" x14ac:dyDescent="0.25">
      <c r="B210"/>
      <c r="C210"/>
      <c r="D210"/>
      <c r="E210"/>
      <c r="F210"/>
      <c r="G210"/>
      <c r="H210"/>
      <c r="I210"/>
      <c r="J210"/>
      <c r="K210"/>
      <c r="L210" s="21"/>
    </row>
    <row r="211" spans="2:12" s="18" customFormat="1" x14ac:dyDescent="0.25">
      <c r="B211"/>
      <c r="C211"/>
      <c r="D211"/>
      <c r="E211"/>
      <c r="F211"/>
      <c r="G211"/>
      <c r="H211"/>
      <c r="I211"/>
      <c r="J211"/>
      <c r="K211"/>
      <c r="L211" s="21"/>
    </row>
    <row r="212" spans="2:12" s="18" customFormat="1" x14ac:dyDescent="0.25">
      <c r="B212"/>
      <c r="C212"/>
      <c r="D212"/>
      <c r="E212"/>
      <c r="F212"/>
      <c r="G212"/>
      <c r="H212"/>
      <c r="I212"/>
      <c r="J212"/>
      <c r="K212"/>
      <c r="L212" s="21"/>
    </row>
    <row r="213" spans="2:12" s="18" customFormat="1" x14ac:dyDescent="0.25">
      <c r="B213"/>
      <c r="C213"/>
      <c r="D213"/>
      <c r="E213"/>
      <c r="F213"/>
      <c r="G213"/>
      <c r="H213"/>
      <c r="I213"/>
      <c r="J213"/>
      <c r="K213"/>
      <c r="L213" s="21"/>
    </row>
    <row r="214" spans="2:12" s="18" customFormat="1" x14ac:dyDescent="0.25">
      <c r="B214"/>
      <c r="C214"/>
      <c r="D214"/>
      <c r="E214"/>
      <c r="F214"/>
      <c r="G214"/>
      <c r="H214"/>
      <c r="I214"/>
      <c r="J214"/>
      <c r="K214"/>
      <c r="L214" s="21"/>
    </row>
    <row r="215" spans="2:12" s="18" customFormat="1" x14ac:dyDescent="0.25">
      <c r="B215"/>
      <c r="C215"/>
      <c r="D215"/>
      <c r="E215"/>
      <c r="F215"/>
      <c r="G215"/>
      <c r="H215"/>
      <c r="I215"/>
      <c r="J215"/>
      <c r="K215"/>
      <c r="L215" s="21"/>
    </row>
    <row r="216" spans="2:12" s="18" customFormat="1" x14ac:dyDescent="0.25">
      <c r="B216"/>
      <c r="C216"/>
      <c r="D216"/>
      <c r="E216"/>
      <c r="F216"/>
      <c r="G216"/>
      <c r="H216"/>
      <c r="I216"/>
      <c r="J216"/>
      <c r="K216"/>
      <c r="L216" s="21"/>
    </row>
    <row r="217" spans="2:12" s="18" customFormat="1" x14ac:dyDescent="0.25">
      <c r="B217"/>
      <c r="C217"/>
      <c r="D217"/>
      <c r="E217"/>
      <c r="F217"/>
      <c r="G217"/>
      <c r="H217"/>
      <c r="I217"/>
      <c r="J217"/>
      <c r="K217"/>
      <c r="L217" s="21"/>
    </row>
    <row r="218" spans="2:12" s="18" customFormat="1" x14ac:dyDescent="0.25">
      <c r="B218"/>
      <c r="C218"/>
      <c r="D218"/>
      <c r="E218"/>
      <c r="F218"/>
      <c r="G218"/>
      <c r="H218"/>
      <c r="I218"/>
      <c r="J218"/>
      <c r="K218"/>
      <c r="L218" s="21"/>
    </row>
    <row r="219" spans="2:12" s="18" customFormat="1" x14ac:dyDescent="0.25">
      <c r="B219"/>
      <c r="C219"/>
      <c r="D219"/>
      <c r="E219"/>
      <c r="F219"/>
      <c r="G219"/>
      <c r="H219"/>
      <c r="I219"/>
      <c r="J219"/>
      <c r="K219"/>
      <c r="L219" s="21"/>
    </row>
    <row r="220" spans="2:12" s="18" customFormat="1" x14ac:dyDescent="0.25">
      <c r="B220"/>
      <c r="C220"/>
      <c r="D220"/>
      <c r="E220"/>
      <c r="F220"/>
      <c r="G220"/>
      <c r="H220"/>
      <c r="I220"/>
      <c r="J220"/>
      <c r="K220"/>
      <c r="L220" s="21"/>
    </row>
    <row r="221" spans="2:12" s="18" customFormat="1" x14ac:dyDescent="0.25">
      <c r="B221"/>
      <c r="C221"/>
      <c r="D221"/>
      <c r="E221"/>
      <c r="F221"/>
      <c r="G221"/>
      <c r="H221"/>
      <c r="I221"/>
      <c r="J221"/>
      <c r="K221"/>
      <c r="L221" s="21"/>
    </row>
    <row r="222" spans="2:12" s="18" customFormat="1" x14ac:dyDescent="0.25">
      <c r="B222"/>
      <c r="C222"/>
      <c r="D222"/>
      <c r="E222"/>
      <c r="F222"/>
      <c r="G222"/>
      <c r="H222"/>
      <c r="I222"/>
      <c r="J222"/>
      <c r="K222"/>
      <c r="L222" s="21"/>
    </row>
    <row r="223" spans="2:12" s="18" customFormat="1" x14ac:dyDescent="0.25">
      <c r="B223"/>
      <c r="C223"/>
      <c r="D223"/>
      <c r="E223"/>
      <c r="F223"/>
      <c r="G223"/>
      <c r="H223"/>
      <c r="I223"/>
      <c r="J223"/>
      <c r="K223"/>
      <c r="L223" s="21"/>
    </row>
    <row r="224" spans="2:12" s="18" customFormat="1" x14ac:dyDescent="0.25">
      <c r="B224"/>
      <c r="C224"/>
      <c r="D224"/>
      <c r="E224"/>
      <c r="F224"/>
      <c r="G224"/>
      <c r="H224"/>
      <c r="I224"/>
      <c r="J224"/>
      <c r="K224"/>
      <c r="L224" s="21"/>
    </row>
    <row r="225" spans="2:12" s="18" customFormat="1" x14ac:dyDescent="0.25">
      <c r="B225"/>
      <c r="C225"/>
      <c r="D225"/>
      <c r="E225"/>
      <c r="F225"/>
      <c r="G225"/>
      <c r="H225"/>
      <c r="I225"/>
      <c r="J225"/>
      <c r="K225"/>
      <c r="L225" s="21"/>
    </row>
    <row r="226" spans="2:12" s="18" customFormat="1" x14ac:dyDescent="0.25">
      <c r="B226"/>
      <c r="C226"/>
      <c r="D226"/>
      <c r="E226"/>
      <c r="F226"/>
      <c r="G226"/>
      <c r="H226"/>
      <c r="I226"/>
      <c r="J226"/>
      <c r="K226"/>
      <c r="L226" s="21"/>
    </row>
    <row r="227" spans="2:12" s="18" customFormat="1" x14ac:dyDescent="0.25">
      <c r="B227"/>
      <c r="C227"/>
      <c r="D227"/>
      <c r="E227"/>
      <c r="F227"/>
      <c r="G227"/>
      <c r="H227"/>
      <c r="I227"/>
      <c r="J227"/>
      <c r="K227"/>
      <c r="L227" s="21"/>
    </row>
    <row r="228" spans="2:12" s="18" customFormat="1" x14ac:dyDescent="0.25">
      <c r="B228"/>
      <c r="C228"/>
      <c r="D228"/>
      <c r="E228"/>
      <c r="F228"/>
      <c r="G228"/>
      <c r="H228"/>
      <c r="I228"/>
      <c r="J228"/>
      <c r="K228"/>
      <c r="L228" s="21"/>
    </row>
    <row r="229" spans="2:12" s="18" customFormat="1" x14ac:dyDescent="0.25">
      <c r="B229"/>
      <c r="C229"/>
      <c r="D229"/>
      <c r="E229"/>
      <c r="F229"/>
      <c r="G229"/>
      <c r="H229"/>
      <c r="I229"/>
      <c r="J229"/>
      <c r="K229"/>
      <c r="L229" s="21"/>
    </row>
    <row r="230" spans="2:12" s="18" customFormat="1" x14ac:dyDescent="0.25">
      <c r="B230"/>
      <c r="C230"/>
      <c r="D230"/>
      <c r="E230"/>
      <c r="F230"/>
      <c r="G230"/>
      <c r="H230"/>
      <c r="I230"/>
      <c r="J230"/>
      <c r="K230"/>
      <c r="L230" s="21"/>
    </row>
    <row r="231" spans="2:12" s="18" customFormat="1" x14ac:dyDescent="0.25">
      <c r="B231"/>
      <c r="C231"/>
      <c r="D231"/>
      <c r="E231"/>
      <c r="F231"/>
      <c r="G231"/>
      <c r="H231"/>
      <c r="I231"/>
      <c r="J231"/>
      <c r="K231"/>
      <c r="L231" s="21"/>
    </row>
    <row r="232" spans="2:12" s="18" customFormat="1" x14ac:dyDescent="0.25">
      <c r="B232"/>
      <c r="C232"/>
      <c r="D232"/>
      <c r="E232"/>
      <c r="F232"/>
      <c r="G232"/>
      <c r="H232"/>
      <c r="I232"/>
      <c r="J232"/>
      <c r="K232"/>
      <c r="L232" s="21"/>
    </row>
    <row r="233" spans="2:12" s="18" customFormat="1" x14ac:dyDescent="0.25">
      <c r="C233" s="21"/>
      <c r="D233" s="21"/>
      <c r="E233" s="21"/>
      <c r="F233" s="21"/>
      <c r="G233" s="21"/>
      <c r="H233" s="21"/>
      <c r="I233" s="21"/>
      <c r="J233" s="21"/>
      <c r="L233" s="21"/>
    </row>
    <row r="234" spans="2:12" s="18" customFormat="1" x14ac:dyDescent="0.25">
      <c r="C234" s="21"/>
      <c r="D234" s="21"/>
      <c r="E234" s="21"/>
      <c r="F234" s="21"/>
      <c r="G234" s="21"/>
      <c r="H234" s="21"/>
      <c r="I234" s="21"/>
      <c r="J234" s="21"/>
      <c r="L234" s="21"/>
    </row>
    <row r="235" spans="2:12" s="18" customFormat="1" x14ac:dyDescent="0.25">
      <c r="C235" s="21"/>
      <c r="D235" s="21"/>
      <c r="E235" s="21"/>
      <c r="F235" s="21"/>
      <c r="G235" s="21"/>
      <c r="H235" s="21"/>
      <c r="I235" s="21"/>
      <c r="J235" s="21"/>
      <c r="L235" s="21"/>
    </row>
    <row r="236" spans="2:12" s="18" customFormat="1" x14ac:dyDescent="0.25">
      <c r="C236" s="21"/>
      <c r="D236" s="21"/>
      <c r="E236" s="21"/>
      <c r="F236" s="21"/>
      <c r="G236" s="21"/>
      <c r="H236" s="21"/>
      <c r="I236" s="21"/>
      <c r="J236" s="21"/>
      <c r="L236" s="21"/>
    </row>
    <row r="237" spans="2:12" s="18" customFormat="1" x14ac:dyDescent="0.25">
      <c r="C237" s="21"/>
      <c r="D237" s="21"/>
      <c r="E237" s="21"/>
      <c r="F237" s="21"/>
      <c r="G237" s="21"/>
      <c r="H237" s="21"/>
      <c r="I237" s="21"/>
      <c r="J237" s="21"/>
      <c r="L237" s="21"/>
    </row>
    <row r="238" spans="2:12" s="18" customFormat="1" x14ac:dyDescent="0.25">
      <c r="C238" s="21"/>
      <c r="D238" s="21"/>
      <c r="E238" s="21"/>
      <c r="F238" s="21"/>
      <c r="G238" s="21"/>
      <c r="H238" s="21"/>
      <c r="I238" s="21"/>
      <c r="J238" s="21"/>
      <c r="L238" s="21"/>
    </row>
    <row r="239" spans="2:12" s="18" customFormat="1" x14ac:dyDescent="0.25">
      <c r="C239" s="21"/>
      <c r="D239" s="21"/>
      <c r="E239" s="21"/>
      <c r="F239" s="21"/>
      <c r="G239" s="21"/>
      <c r="H239" s="21"/>
      <c r="I239" s="21"/>
      <c r="J239" s="21"/>
      <c r="L239" s="21"/>
    </row>
    <row r="240" spans="2:12" s="18" customFormat="1" x14ac:dyDescent="0.25">
      <c r="C240" s="21"/>
      <c r="D240" s="21"/>
      <c r="E240" s="21"/>
      <c r="F240" s="21"/>
      <c r="G240" s="21"/>
      <c r="H240" s="21"/>
      <c r="I240" s="21"/>
      <c r="J240" s="21"/>
      <c r="L240" s="21"/>
    </row>
    <row r="241" spans="3:12" s="18" customFormat="1" x14ac:dyDescent="0.25">
      <c r="C241" s="21"/>
      <c r="D241" s="21"/>
      <c r="E241" s="21"/>
      <c r="F241" s="21"/>
      <c r="G241" s="21"/>
      <c r="H241" s="21"/>
      <c r="I241" s="21"/>
      <c r="J241" s="21"/>
      <c r="L241" s="21"/>
    </row>
    <row r="242" spans="3:12" s="18" customFormat="1" x14ac:dyDescent="0.25">
      <c r="C242" s="21"/>
      <c r="D242" s="21"/>
      <c r="E242" s="21"/>
      <c r="F242" s="21"/>
      <c r="G242" s="21"/>
      <c r="H242" s="21"/>
      <c r="I242" s="21"/>
      <c r="J242" s="21"/>
      <c r="L242" s="21"/>
    </row>
    <row r="243" spans="3:12" s="18" customFormat="1" x14ac:dyDescent="0.25">
      <c r="C243" s="21"/>
      <c r="D243" s="21"/>
      <c r="E243" s="21"/>
      <c r="F243" s="21"/>
      <c r="G243" s="21"/>
      <c r="H243" s="21"/>
      <c r="I243" s="21"/>
      <c r="J243" s="21"/>
      <c r="L243" s="21"/>
    </row>
    <row r="244" spans="3:12" s="18" customFormat="1" x14ac:dyDescent="0.25">
      <c r="C244" s="21"/>
      <c r="D244" s="21"/>
      <c r="E244" s="21"/>
      <c r="F244" s="21"/>
      <c r="G244" s="21"/>
      <c r="H244" s="21"/>
      <c r="I244" s="21"/>
      <c r="J244" s="21"/>
      <c r="L244" s="21"/>
    </row>
    <row r="245" spans="3:12" s="18" customFormat="1" x14ac:dyDescent="0.25">
      <c r="C245" s="21"/>
      <c r="D245" s="21"/>
      <c r="E245" s="21"/>
      <c r="F245" s="21"/>
      <c r="G245" s="21"/>
      <c r="H245" s="21"/>
      <c r="I245" s="21"/>
      <c r="J245" s="21"/>
      <c r="L245" s="21"/>
    </row>
    <row r="246" spans="3:12" s="18" customFormat="1" x14ac:dyDescent="0.25">
      <c r="C246" s="21"/>
      <c r="D246" s="21"/>
      <c r="E246" s="21"/>
      <c r="F246" s="21"/>
      <c r="G246" s="21"/>
      <c r="H246" s="21"/>
      <c r="I246" s="21"/>
      <c r="J246" s="21"/>
      <c r="L246" s="21"/>
    </row>
    <row r="247" spans="3:12" s="18" customFormat="1" x14ac:dyDescent="0.25">
      <c r="C247" s="21"/>
      <c r="D247" s="21"/>
      <c r="E247" s="21"/>
      <c r="F247" s="21"/>
      <c r="G247" s="21"/>
      <c r="H247" s="21"/>
      <c r="I247" s="21"/>
      <c r="J247" s="21"/>
      <c r="L247" s="21"/>
    </row>
    <row r="248" spans="3:12" s="18" customFormat="1" x14ac:dyDescent="0.25">
      <c r="C248" s="21"/>
      <c r="D248" s="21"/>
      <c r="E248" s="21"/>
      <c r="F248" s="21"/>
      <c r="G248" s="21"/>
      <c r="H248" s="21"/>
      <c r="I248" s="21"/>
      <c r="J248" s="21"/>
      <c r="L248" s="21"/>
    </row>
    <row r="249" spans="3:12" s="18" customFormat="1" x14ac:dyDescent="0.25">
      <c r="C249" s="21"/>
      <c r="D249" s="21"/>
      <c r="E249" s="21"/>
      <c r="F249" s="21"/>
      <c r="G249" s="21"/>
      <c r="H249" s="21"/>
      <c r="I249" s="21"/>
      <c r="J249" s="21"/>
      <c r="L249" s="21"/>
    </row>
    <row r="250" spans="3:12" s="18" customFormat="1" x14ac:dyDescent="0.25">
      <c r="C250" s="21"/>
      <c r="D250" s="21"/>
      <c r="E250" s="21"/>
      <c r="F250" s="21"/>
      <c r="G250" s="21"/>
      <c r="H250" s="21"/>
      <c r="I250" s="21"/>
      <c r="J250" s="21"/>
      <c r="L250" s="21"/>
    </row>
    <row r="251" spans="3:12" s="18" customFormat="1" x14ac:dyDescent="0.25">
      <c r="C251" s="21"/>
      <c r="D251" s="21"/>
      <c r="E251" s="21"/>
      <c r="F251" s="21"/>
      <c r="G251" s="21"/>
      <c r="H251" s="21"/>
      <c r="I251" s="21"/>
      <c r="J251" s="21"/>
      <c r="L251" s="21"/>
    </row>
    <row r="252" spans="3:12" s="18" customFormat="1" x14ac:dyDescent="0.25">
      <c r="C252" s="21"/>
      <c r="D252" s="21"/>
      <c r="E252" s="21"/>
      <c r="F252" s="21"/>
      <c r="G252" s="21"/>
      <c r="H252" s="21"/>
      <c r="I252" s="21"/>
      <c r="J252" s="21"/>
      <c r="L252" s="21"/>
    </row>
    <row r="253" spans="3:12" s="18" customFormat="1" x14ac:dyDescent="0.25">
      <c r="C253" s="21"/>
      <c r="D253" s="21"/>
      <c r="E253" s="21"/>
      <c r="F253" s="21"/>
      <c r="G253" s="21"/>
      <c r="H253" s="21"/>
      <c r="I253" s="21"/>
      <c r="J253" s="21"/>
      <c r="L253" s="21"/>
    </row>
    <row r="254" spans="3:12" s="18" customFormat="1" x14ac:dyDescent="0.25">
      <c r="C254" s="21"/>
      <c r="D254" s="21"/>
      <c r="E254" s="21"/>
      <c r="F254" s="21"/>
      <c r="G254" s="21"/>
      <c r="H254" s="21"/>
      <c r="I254" s="21"/>
      <c r="J254" s="21"/>
      <c r="L254" s="21"/>
    </row>
    <row r="255" spans="3:12" s="18" customFormat="1" x14ac:dyDescent="0.25">
      <c r="C255" s="21"/>
      <c r="D255" s="21"/>
      <c r="E255" s="21"/>
      <c r="F255" s="21"/>
      <c r="G255" s="21"/>
      <c r="H255" s="21"/>
      <c r="I255" s="21"/>
      <c r="J255" s="21"/>
      <c r="L255" s="21"/>
    </row>
    <row r="256" spans="3:12" s="18" customFormat="1" x14ac:dyDescent="0.25">
      <c r="C256" s="21"/>
      <c r="D256" s="21"/>
      <c r="E256" s="21"/>
      <c r="F256" s="21"/>
      <c r="G256" s="21"/>
      <c r="H256" s="21"/>
      <c r="I256" s="21"/>
      <c r="J256" s="21"/>
      <c r="L256" s="21"/>
    </row>
    <row r="257" spans="3:12" s="18" customFormat="1" x14ac:dyDescent="0.25">
      <c r="C257" s="21"/>
      <c r="D257" s="21"/>
      <c r="E257" s="21"/>
      <c r="F257" s="21"/>
      <c r="G257" s="21"/>
      <c r="H257" s="21"/>
      <c r="I257" s="21"/>
      <c r="J257" s="21"/>
      <c r="L257" s="21"/>
    </row>
    <row r="258" spans="3:12" s="18" customFormat="1" x14ac:dyDescent="0.25">
      <c r="C258" s="21"/>
      <c r="D258" s="21"/>
      <c r="E258" s="21"/>
      <c r="F258" s="21"/>
      <c r="G258" s="21"/>
      <c r="H258" s="21"/>
      <c r="I258" s="21"/>
      <c r="J258" s="21"/>
      <c r="L258" s="21"/>
    </row>
    <row r="259" spans="3:12" s="18" customFormat="1" x14ac:dyDescent="0.25">
      <c r="C259" s="21"/>
      <c r="D259" s="21"/>
      <c r="E259" s="21"/>
      <c r="F259" s="21"/>
      <c r="G259" s="21"/>
      <c r="H259" s="21"/>
      <c r="I259" s="21"/>
      <c r="J259" s="21"/>
      <c r="L259" s="21"/>
    </row>
    <row r="260" spans="3:12" s="18" customFormat="1" x14ac:dyDescent="0.25">
      <c r="C260" s="21"/>
      <c r="D260" s="21"/>
      <c r="E260" s="21"/>
      <c r="F260" s="21"/>
      <c r="G260" s="21"/>
      <c r="H260" s="21"/>
      <c r="I260" s="21"/>
      <c r="J260" s="21"/>
      <c r="L260" s="21"/>
    </row>
    <row r="261" spans="3:12" s="18" customFormat="1" x14ac:dyDescent="0.25">
      <c r="C261" s="21"/>
      <c r="D261" s="21"/>
      <c r="E261" s="21"/>
      <c r="F261" s="21"/>
      <c r="G261" s="21"/>
      <c r="H261" s="21"/>
      <c r="I261" s="21"/>
      <c r="J261" s="21"/>
      <c r="L261" s="21"/>
    </row>
    <row r="262" spans="3:12" s="18" customFormat="1" x14ac:dyDescent="0.25">
      <c r="C262" s="21"/>
      <c r="D262" s="21"/>
      <c r="E262" s="21"/>
      <c r="F262" s="21"/>
      <c r="G262" s="21"/>
      <c r="H262" s="21"/>
      <c r="I262" s="21"/>
      <c r="J262" s="21"/>
      <c r="L262" s="21"/>
    </row>
    <row r="263" spans="3:12" s="18" customFormat="1" x14ac:dyDescent="0.25">
      <c r="C263" s="21"/>
      <c r="D263" s="21"/>
      <c r="E263" s="21"/>
      <c r="F263" s="21"/>
      <c r="G263" s="21"/>
      <c r="H263" s="21"/>
      <c r="I263" s="21"/>
      <c r="J263" s="21"/>
      <c r="L263" s="21"/>
    </row>
    <row r="264" spans="3:12" s="18" customFormat="1" x14ac:dyDescent="0.25">
      <c r="C264" s="21"/>
      <c r="D264" s="21"/>
      <c r="E264" s="21"/>
      <c r="F264" s="21"/>
      <c r="G264" s="21"/>
      <c r="H264" s="21"/>
      <c r="I264" s="21"/>
      <c r="J264" s="21"/>
      <c r="L264" s="21"/>
    </row>
    <row r="265" spans="3:12" s="18" customFormat="1" x14ac:dyDescent="0.25">
      <c r="C265" s="21"/>
      <c r="D265" s="21"/>
      <c r="E265" s="21"/>
      <c r="F265" s="21"/>
      <c r="G265" s="21"/>
      <c r="H265" s="21"/>
      <c r="I265" s="21"/>
      <c r="J265" s="21"/>
      <c r="L265" s="21"/>
    </row>
    <row r="266" spans="3:12" s="18" customFormat="1" x14ac:dyDescent="0.25">
      <c r="C266" s="21"/>
      <c r="D266" s="21"/>
      <c r="E266" s="21"/>
      <c r="F266" s="21"/>
      <c r="G266" s="21"/>
      <c r="H266" s="21"/>
      <c r="I266" s="21"/>
      <c r="J266" s="21"/>
      <c r="L266" s="21"/>
    </row>
    <row r="267" spans="3:12" s="18" customFormat="1" x14ac:dyDescent="0.25">
      <c r="C267" s="21"/>
      <c r="D267" s="21"/>
      <c r="E267" s="21"/>
      <c r="F267" s="21"/>
      <c r="G267" s="21"/>
      <c r="H267" s="21"/>
      <c r="I267" s="21"/>
      <c r="J267" s="21"/>
      <c r="L267" s="21"/>
    </row>
    <row r="268" spans="3:12" s="18" customFormat="1" x14ac:dyDescent="0.25">
      <c r="C268" s="21"/>
      <c r="D268" s="21"/>
      <c r="E268" s="21"/>
      <c r="F268" s="21"/>
      <c r="G268" s="21"/>
      <c r="H268" s="21"/>
      <c r="I268" s="21"/>
      <c r="J268" s="21"/>
      <c r="L268" s="21"/>
    </row>
    <row r="269" spans="3:12" s="18" customFormat="1" x14ac:dyDescent="0.25">
      <c r="C269" s="21"/>
      <c r="D269" s="21"/>
      <c r="E269" s="21"/>
      <c r="F269" s="21"/>
      <c r="G269" s="21"/>
      <c r="H269" s="21"/>
      <c r="I269" s="21"/>
      <c r="J269" s="21"/>
      <c r="L269" s="21"/>
    </row>
    <row r="270" spans="3:12" s="18" customFormat="1" x14ac:dyDescent="0.25">
      <c r="C270" s="21"/>
      <c r="D270" s="21"/>
      <c r="E270" s="21"/>
      <c r="F270" s="21"/>
      <c r="G270" s="21"/>
      <c r="H270" s="21"/>
      <c r="I270" s="21"/>
      <c r="J270" s="21"/>
      <c r="L270" s="21"/>
    </row>
    <row r="271" spans="3:12" s="18" customFormat="1" x14ac:dyDescent="0.25">
      <c r="C271" s="21"/>
      <c r="D271" s="21"/>
      <c r="E271" s="21"/>
      <c r="F271" s="21"/>
      <c r="G271" s="21"/>
      <c r="H271" s="21"/>
      <c r="I271" s="21"/>
      <c r="J271" s="21"/>
      <c r="L271" s="21"/>
    </row>
    <row r="272" spans="3:12" s="18" customFormat="1" x14ac:dyDescent="0.25">
      <c r="C272" s="21"/>
      <c r="D272" s="21"/>
      <c r="E272" s="21"/>
      <c r="F272" s="21"/>
      <c r="G272" s="21"/>
      <c r="H272" s="21"/>
      <c r="I272" s="21"/>
      <c r="J272" s="21"/>
      <c r="L272" s="21"/>
    </row>
    <row r="273" spans="3:12" s="18" customFormat="1" x14ac:dyDescent="0.25">
      <c r="C273" s="21"/>
      <c r="D273" s="21"/>
      <c r="E273" s="21"/>
      <c r="F273" s="21"/>
      <c r="G273" s="21"/>
      <c r="H273" s="21"/>
      <c r="I273" s="21"/>
      <c r="J273" s="21"/>
      <c r="L273" s="21"/>
    </row>
    <row r="274" spans="3:12" s="18" customFormat="1" x14ac:dyDescent="0.25">
      <c r="C274" s="21"/>
      <c r="D274" s="21"/>
      <c r="E274" s="21"/>
      <c r="F274" s="21"/>
      <c r="G274" s="21"/>
      <c r="H274" s="21"/>
      <c r="I274" s="21"/>
      <c r="J274" s="21"/>
      <c r="L274" s="21"/>
    </row>
    <row r="275" spans="3:12" s="18" customFormat="1" x14ac:dyDescent="0.25">
      <c r="C275" s="21"/>
      <c r="D275" s="21"/>
      <c r="E275" s="21"/>
      <c r="F275" s="21"/>
      <c r="G275" s="21"/>
      <c r="H275" s="21"/>
      <c r="I275" s="21"/>
      <c r="J275" s="21"/>
      <c r="L275" s="21"/>
    </row>
    <row r="276" spans="3:12" s="18" customFormat="1" x14ac:dyDescent="0.25">
      <c r="C276" s="21"/>
      <c r="D276" s="21"/>
      <c r="E276" s="21"/>
      <c r="F276" s="21"/>
      <c r="G276" s="21"/>
      <c r="H276" s="21"/>
      <c r="I276" s="21"/>
      <c r="J276" s="21"/>
      <c r="L276" s="21"/>
    </row>
    <row r="277" spans="3:12" s="18" customFormat="1" x14ac:dyDescent="0.25">
      <c r="C277" s="21"/>
      <c r="D277" s="21"/>
      <c r="E277" s="21"/>
      <c r="F277" s="21"/>
      <c r="G277" s="21"/>
      <c r="H277" s="21"/>
      <c r="I277" s="21"/>
      <c r="J277" s="21"/>
      <c r="L277" s="21"/>
    </row>
    <row r="278" spans="3:12" s="18" customFormat="1" x14ac:dyDescent="0.25">
      <c r="C278" s="21"/>
      <c r="D278" s="21"/>
      <c r="E278" s="21"/>
      <c r="F278" s="21"/>
      <c r="G278" s="21"/>
      <c r="H278" s="21"/>
      <c r="I278" s="21"/>
      <c r="J278" s="21"/>
      <c r="L278" s="21"/>
    </row>
    <row r="279" spans="3:12" s="18" customFormat="1" x14ac:dyDescent="0.25">
      <c r="C279" s="21"/>
      <c r="D279" s="21"/>
      <c r="E279" s="21"/>
      <c r="F279" s="21"/>
      <c r="G279" s="21"/>
      <c r="H279" s="21"/>
      <c r="I279" s="21"/>
      <c r="J279" s="21"/>
      <c r="L279" s="21"/>
    </row>
    <row r="280" spans="3:12" s="18" customFormat="1" x14ac:dyDescent="0.25">
      <c r="C280" s="21"/>
      <c r="D280" s="21"/>
      <c r="E280" s="21"/>
      <c r="F280" s="21"/>
      <c r="G280" s="21"/>
      <c r="H280" s="21"/>
      <c r="I280" s="21"/>
      <c r="J280" s="21"/>
      <c r="L280" s="21"/>
    </row>
    <row r="281" spans="3:12" s="18" customFormat="1" x14ac:dyDescent="0.25">
      <c r="C281" s="21"/>
      <c r="D281" s="21"/>
      <c r="E281" s="21"/>
      <c r="F281" s="21"/>
      <c r="G281" s="21"/>
      <c r="H281" s="21"/>
      <c r="I281" s="21"/>
      <c r="J281" s="21"/>
      <c r="L281" s="21"/>
    </row>
    <row r="282" spans="3:12" s="18" customFormat="1" x14ac:dyDescent="0.25">
      <c r="C282" s="21"/>
      <c r="D282" s="21"/>
      <c r="E282" s="21"/>
      <c r="F282" s="21"/>
      <c r="G282" s="21"/>
      <c r="H282" s="21"/>
      <c r="I282" s="21"/>
      <c r="J282" s="21"/>
      <c r="L282" s="21"/>
    </row>
    <row r="283" spans="3:12" s="18" customFormat="1" x14ac:dyDescent="0.25">
      <c r="C283" s="21"/>
      <c r="D283" s="21"/>
      <c r="E283" s="21"/>
      <c r="F283" s="21"/>
      <c r="G283" s="21"/>
      <c r="H283" s="21"/>
      <c r="I283" s="21"/>
      <c r="J283" s="21"/>
      <c r="L283" s="21"/>
    </row>
    <row r="284" spans="3:12" s="18" customFormat="1" x14ac:dyDescent="0.25">
      <c r="C284" s="21"/>
      <c r="D284" s="21"/>
      <c r="E284" s="21"/>
      <c r="F284" s="21"/>
      <c r="G284" s="21"/>
      <c r="H284" s="21"/>
      <c r="I284" s="21"/>
      <c r="J284" s="21"/>
      <c r="L284" s="21"/>
    </row>
    <row r="285" spans="3:12" s="18" customFormat="1" x14ac:dyDescent="0.25">
      <c r="C285" s="21"/>
      <c r="D285" s="21"/>
      <c r="E285" s="21"/>
      <c r="F285" s="21"/>
      <c r="G285" s="21"/>
      <c r="H285" s="21"/>
      <c r="I285" s="21"/>
      <c r="J285" s="21"/>
      <c r="L285" s="21"/>
    </row>
    <row r="286" spans="3:12" s="18" customFormat="1" x14ac:dyDescent="0.25">
      <c r="C286" s="21"/>
      <c r="D286" s="21"/>
      <c r="E286" s="21"/>
      <c r="F286" s="21"/>
      <c r="G286" s="21"/>
      <c r="H286" s="21"/>
      <c r="I286" s="21"/>
      <c r="J286" s="21"/>
      <c r="L286" s="21"/>
    </row>
    <row r="287" spans="3:12" s="18" customFormat="1" x14ac:dyDescent="0.25">
      <c r="C287" s="21"/>
      <c r="D287" s="21"/>
      <c r="E287" s="21"/>
      <c r="F287" s="21"/>
      <c r="G287" s="21"/>
      <c r="H287" s="21"/>
      <c r="I287" s="21"/>
      <c r="J287" s="21"/>
      <c r="L287" s="21"/>
    </row>
    <row r="288" spans="3:12" s="18" customFormat="1" x14ac:dyDescent="0.25">
      <c r="C288" s="21"/>
      <c r="D288" s="21"/>
      <c r="E288" s="21"/>
      <c r="F288" s="21"/>
      <c r="G288" s="21"/>
      <c r="H288" s="21"/>
      <c r="I288" s="21"/>
      <c r="J288" s="21"/>
      <c r="L288" s="21"/>
    </row>
    <row r="289" spans="3:12" s="18" customFormat="1" x14ac:dyDescent="0.25">
      <c r="C289" s="21"/>
      <c r="D289" s="21"/>
      <c r="E289" s="21"/>
      <c r="F289" s="21"/>
      <c r="G289" s="21"/>
      <c r="H289" s="21"/>
      <c r="I289" s="21"/>
      <c r="J289" s="21"/>
      <c r="L289" s="21"/>
    </row>
    <row r="290" spans="3:12" s="18" customFormat="1" x14ac:dyDescent="0.25">
      <c r="C290" s="21"/>
      <c r="D290" s="21"/>
      <c r="E290" s="21"/>
      <c r="F290" s="21"/>
      <c r="G290" s="21"/>
      <c r="H290" s="21"/>
      <c r="I290" s="21"/>
      <c r="J290" s="21"/>
      <c r="L290" s="21"/>
    </row>
    <row r="291" spans="3:12" s="18" customFormat="1" x14ac:dyDescent="0.25">
      <c r="C291" s="21"/>
      <c r="D291" s="21"/>
      <c r="E291" s="21"/>
      <c r="F291" s="21"/>
      <c r="G291" s="21"/>
      <c r="H291" s="21"/>
      <c r="I291" s="21"/>
      <c r="J291" s="21"/>
      <c r="L291" s="21"/>
    </row>
    <row r="292" spans="3:12" s="18" customFormat="1" x14ac:dyDescent="0.25">
      <c r="C292" s="21"/>
      <c r="D292" s="21"/>
      <c r="E292" s="21"/>
      <c r="F292" s="21"/>
      <c r="G292" s="21"/>
      <c r="H292" s="21"/>
      <c r="I292" s="21"/>
      <c r="J292" s="21"/>
      <c r="L292" s="21"/>
    </row>
    <row r="293" spans="3:12" s="18" customFormat="1" x14ac:dyDescent="0.25">
      <c r="C293" s="21"/>
      <c r="D293" s="21"/>
      <c r="E293" s="21"/>
      <c r="F293" s="21"/>
      <c r="G293" s="21"/>
      <c r="H293" s="21"/>
      <c r="I293" s="21"/>
      <c r="J293" s="21"/>
      <c r="L293" s="21"/>
    </row>
    <row r="294" spans="3:12" s="18" customFormat="1" x14ac:dyDescent="0.25">
      <c r="C294" s="21"/>
      <c r="D294" s="21"/>
      <c r="E294" s="21"/>
      <c r="F294" s="21"/>
      <c r="G294" s="21"/>
      <c r="H294" s="21"/>
      <c r="I294" s="21"/>
      <c r="J294" s="21"/>
      <c r="L294" s="21"/>
    </row>
    <row r="295" spans="3:12" s="18" customFormat="1" x14ac:dyDescent="0.25">
      <c r="C295" s="21"/>
      <c r="D295" s="21"/>
      <c r="E295" s="21"/>
      <c r="F295" s="21"/>
      <c r="G295" s="21"/>
      <c r="H295" s="21"/>
      <c r="I295" s="21"/>
      <c r="J295" s="21"/>
      <c r="L295" s="21"/>
    </row>
    <row r="296" spans="3:12" s="18" customFormat="1" x14ac:dyDescent="0.25">
      <c r="C296" s="21"/>
      <c r="D296" s="21"/>
      <c r="E296" s="21"/>
      <c r="F296" s="21"/>
      <c r="G296" s="21"/>
      <c r="H296" s="21"/>
      <c r="I296" s="21"/>
      <c r="J296" s="21"/>
      <c r="L296" s="21"/>
    </row>
    <row r="297" spans="3:12" s="18" customFormat="1" x14ac:dyDescent="0.25">
      <c r="C297" s="21"/>
      <c r="D297" s="21"/>
      <c r="E297" s="21"/>
      <c r="F297" s="21"/>
      <c r="G297" s="21"/>
      <c r="H297" s="21"/>
      <c r="I297" s="21"/>
      <c r="J297" s="21"/>
      <c r="L297" s="21"/>
    </row>
    <row r="298" spans="3:12" s="18" customFormat="1" x14ac:dyDescent="0.25">
      <c r="C298" s="21"/>
      <c r="D298" s="21"/>
      <c r="E298" s="21"/>
      <c r="F298" s="21"/>
      <c r="G298" s="21"/>
      <c r="H298" s="21"/>
      <c r="I298" s="21"/>
      <c r="J298" s="21"/>
      <c r="L298" s="21"/>
    </row>
    <row r="299" spans="3:12" s="18" customFormat="1" x14ac:dyDescent="0.25">
      <c r="C299" s="21"/>
      <c r="D299" s="21"/>
      <c r="E299" s="21"/>
      <c r="F299" s="21"/>
      <c r="G299" s="21"/>
      <c r="H299" s="21"/>
      <c r="I299" s="21"/>
      <c r="J299" s="21"/>
      <c r="L299" s="21"/>
    </row>
    <row r="300" spans="3:12" s="18" customFormat="1" x14ac:dyDescent="0.25">
      <c r="C300" s="21"/>
      <c r="D300" s="21"/>
      <c r="E300" s="21"/>
      <c r="F300" s="21"/>
      <c r="G300" s="21"/>
      <c r="H300" s="21"/>
      <c r="I300" s="21"/>
      <c r="J300" s="21"/>
      <c r="L300" s="21"/>
    </row>
    <row r="301" spans="3:12" s="18" customFormat="1" x14ac:dyDescent="0.25">
      <c r="C301" s="21"/>
      <c r="D301" s="21"/>
      <c r="E301" s="21"/>
      <c r="F301" s="21"/>
      <c r="G301" s="21"/>
      <c r="H301" s="21"/>
      <c r="I301" s="21"/>
      <c r="J301" s="21"/>
      <c r="L301" s="21"/>
    </row>
    <row r="302" spans="3:12" s="18" customFormat="1" x14ac:dyDescent="0.25">
      <c r="C302" s="21"/>
      <c r="D302" s="21"/>
      <c r="E302" s="21"/>
      <c r="F302" s="21"/>
      <c r="G302" s="21"/>
      <c r="H302" s="21"/>
      <c r="I302" s="21"/>
      <c r="J302" s="21"/>
      <c r="L302" s="21"/>
    </row>
    <row r="303" spans="3:12" s="18" customFormat="1" x14ac:dyDescent="0.25">
      <c r="C303" s="21"/>
      <c r="D303" s="21"/>
      <c r="E303" s="21"/>
      <c r="F303" s="21"/>
      <c r="G303" s="21"/>
      <c r="H303" s="21"/>
      <c r="I303" s="21"/>
      <c r="J303" s="21"/>
      <c r="L303" s="21"/>
    </row>
    <row r="304" spans="3:12" s="18" customFormat="1" x14ac:dyDescent="0.25">
      <c r="C304" s="21"/>
      <c r="D304" s="21"/>
      <c r="E304" s="21"/>
      <c r="F304" s="21"/>
      <c r="G304" s="21"/>
      <c r="H304" s="21"/>
      <c r="I304" s="21"/>
      <c r="J304" s="21"/>
      <c r="L304" s="21"/>
    </row>
    <row r="305" spans="3:12" s="18" customFormat="1" x14ac:dyDescent="0.25">
      <c r="C305" s="21"/>
      <c r="D305" s="21"/>
      <c r="E305" s="21"/>
      <c r="F305" s="21"/>
      <c r="G305" s="21"/>
      <c r="H305" s="21"/>
      <c r="I305" s="21"/>
      <c r="J305" s="21"/>
      <c r="L305" s="21"/>
    </row>
    <row r="306" spans="3:12" s="18" customFormat="1" x14ac:dyDescent="0.25">
      <c r="C306" s="21"/>
      <c r="D306" s="21"/>
      <c r="E306" s="21"/>
      <c r="F306" s="21"/>
      <c r="G306" s="21"/>
      <c r="H306" s="21"/>
      <c r="I306" s="21"/>
      <c r="J306" s="21"/>
      <c r="L306" s="21"/>
    </row>
    <row r="307" spans="3:12" s="18" customFormat="1" x14ac:dyDescent="0.25">
      <c r="C307" s="21"/>
      <c r="D307" s="21"/>
      <c r="E307" s="21"/>
      <c r="F307" s="21"/>
      <c r="G307" s="21"/>
      <c r="H307" s="21"/>
      <c r="I307" s="21"/>
      <c r="J307" s="21"/>
      <c r="L307" s="21"/>
    </row>
    <row r="308" spans="3:12" s="18" customFormat="1" x14ac:dyDescent="0.25">
      <c r="C308" s="21"/>
      <c r="D308" s="21"/>
      <c r="E308" s="21"/>
      <c r="F308" s="21"/>
      <c r="G308" s="21"/>
      <c r="H308" s="21"/>
      <c r="I308" s="21"/>
      <c r="J308" s="21"/>
      <c r="L308" s="21"/>
    </row>
    <row r="309" spans="3:12" s="18" customFormat="1" x14ac:dyDescent="0.25">
      <c r="C309" s="21"/>
      <c r="D309" s="21"/>
      <c r="E309" s="21"/>
      <c r="F309" s="21"/>
      <c r="G309" s="21"/>
      <c r="H309" s="21"/>
      <c r="I309" s="21"/>
      <c r="J309" s="21"/>
      <c r="L309" s="21"/>
    </row>
    <row r="310" spans="3:12" s="18" customFormat="1" x14ac:dyDescent="0.25">
      <c r="C310" s="21"/>
      <c r="D310" s="21"/>
      <c r="E310" s="21"/>
      <c r="F310" s="21"/>
      <c r="G310" s="21"/>
      <c r="H310" s="21"/>
      <c r="I310" s="21"/>
      <c r="J310" s="21"/>
      <c r="L310" s="21"/>
    </row>
    <row r="311" spans="3:12" s="18" customFormat="1" x14ac:dyDescent="0.25">
      <c r="C311" s="21"/>
      <c r="D311" s="21"/>
      <c r="E311" s="21"/>
      <c r="F311" s="21"/>
      <c r="G311" s="21"/>
      <c r="H311" s="21"/>
      <c r="I311" s="21"/>
      <c r="J311" s="21"/>
      <c r="L311" s="21"/>
    </row>
    <row r="312" spans="3:12" s="18" customFormat="1" x14ac:dyDescent="0.25">
      <c r="C312" s="21"/>
      <c r="D312" s="21"/>
      <c r="E312" s="21"/>
      <c r="F312" s="21"/>
      <c r="G312" s="21"/>
      <c r="H312" s="21"/>
      <c r="I312" s="21"/>
      <c r="J312" s="21"/>
      <c r="L312" s="21"/>
    </row>
    <row r="313" spans="3:12" s="18" customFormat="1" x14ac:dyDescent="0.25">
      <c r="C313" s="21"/>
      <c r="D313" s="21"/>
      <c r="E313" s="21"/>
      <c r="F313" s="21"/>
      <c r="G313" s="21"/>
      <c r="H313" s="21"/>
      <c r="I313" s="21"/>
      <c r="J313" s="21"/>
      <c r="L313" s="21"/>
    </row>
    <row r="314" spans="3:12" s="18" customFormat="1" x14ac:dyDescent="0.25">
      <c r="C314" s="21"/>
      <c r="D314" s="21"/>
      <c r="E314" s="21"/>
      <c r="F314" s="21"/>
      <c r="G314" s="21"/>
      <c r="H314" s="21"/>
      <c r="I314" s="21"/>
      <c r="J314" s="21"/>
      <c r="L314" s="21"/>
    </row>
    <row r="315" spans="3:12" s="18" customFormat="1" x14ac:dyDescent="0.25">
      <c r="C315" s="21"/>
      <c r="D315" s="21"/>
      <c r="E315" s="21"/>
      <c r="F315" s="21"/>
      <c r="G315" s="21"/>
      <c r="H315" s="21"/>
      <c r="I315" s="21"/>
      <c r="J315" s="21"/>
      <c r="L315" s="21"/>
    </row>
    <row r="316" spans="3:12" s="18" customFormat="1" x14ac:dyDescent="0.25">
      <c r="C316" s="21"/>
      <c r="D316" s="21"/>
      <c r="E316" s="21"/>
      <c r="F316" s="21"/>
      <c r="G316" s="21"/>
      <c r="H316" s="21"/>
      <c r="I316" s="21"/>
      <c r="J316" s="21"/>
      <c r="L316" s="21"/>
    </row>
    <row r="317" spans="3:12" s="18" customFormat="1" x14ac:dyDescent="0.25">
      <c r="C317" s="21"/>
      <c r="D317" s="21"/>
      <c r="E317" s="21"/>
      <c r="F317" s="21"/>
      <c r="G317" s="21"/>
      <c r="H317" s="21"/>
      <c r="I317" s="21"/>
      <c r="J317" s="21"/>
      <c r="L317" s="21"/>
    </row>
    <row r="318" spans="3:12" s="18" customFormat="1" x14ac:dyDescent="0.25">
      <c r="C318" s="21"/>
      <c r="D318" s="21"/>
      <c r="E318" s="21"/>
      <c r="F318" s="21"/>
      <c r="G318" s="21"/>
      <c r="H318" s="21"/>
      <c r="I318" s="21"/>
      <c r="J318" s="21"/>
      <c r="L318" s="21"/>
    </row>
    <row r="319" spans="3:12" s="18" customFormat="1" x14ac:dyDescent="0.25">
      <c r="C319" s="21"/>
      <c r="D319" s="21"/>
      <c r="E319" s="21"/>
      <c r="F319" s="21"/>
      <c r="G319" s="21"/>
      <c r="H319" s="21"/>
      <c r="I319" s="21"/>
      <c r="J319" s="21"/>
      <c r="L319" s="21"/>
    </row>
    <row r="320" spans="3:12" s="18" customFormat="1" x14ac:dyDescent="0.25">
      <c r="C320" s="21"/>
      <c r="D320" s="21"/>
      <c r="E320" s="21"/>
      <c r="F320" s="21"/>
      <c r="G320" s="21"/>
      <c r="H320" s="21"/>
      <c r="I320" s="21"/>
      <c r="J320" s="21"/>
      <c r="L320" s="21"/>
    </row>
    <row r="321" spans="3:12" s="18" customFormat="1" x14ac:dyDescent="0.25">
      <c r="C321" s="21"/>
      <c r="D321" s="21"/>
      <c r="E321" s="21"/>
      <c r="F321" s="21"/>
      <c r="G321" s="21"/>
      <c r="H321" s="21"/>
      <c r="I321" s="21"/>
      <c r="J321" s="21"/>
      <c r="L321" s="21"/>
    </row>
    <row r="322" spans="3:12" s="18" customFormat="1" x14ac:dyDescent="0.25">
      <c r="C322" s="21"/>
      <c r="D322" s="21"/>
      <c r="E322" s="21"/>
      <c r="F322" s="21"/>
      <c r="G322" s="21"/>
      <c r="H322" s="21"/>
      <c r="I322" s="21"/>
      <c r="J322" s="21"/>
      <c r="L322" s="21"/>
    </row>
    <row r="323" spans="3:12" s="18" customFormat="1" x14ac:dyDescent="0.25">
      <c r="C323" s="21"/>
      <c r="D323" s="21"/>
      <c r="E323" s="21"/>
      <c r="F323" s="21"/>
      <c r="G323" s="21"/>
      <c r="H323" s="21"/>
      <c r="I323" s="21"/>
      <c r="J323" s="21"/>
      <c r="L323" s="21"/>
    </row>
    <row r="324" spans="3:12" s="18" customFormat="1" x14ac:dyDescent="0.25">
      <c r="C324" s="21"/>
      <c r="D324" s="21"/>
      <c r="E324" s="21"/>
      <c r="F324" s="21"/>
      <c r="G324" s="21"/>
      <c r="H324" s="21"/>
      <c r="I324" s="21"/>
      <c r="J324" s="21"/>
      <c r="L324" s="21"/>
    </row>
    <row r="325" spans="3:12" s="18" customFormat="1" x14ac:dyDescent="0.25">
      <c r="C325" s="21"/>
      <c r="D325" s="21"/>
      <c r="E325" s="21"/>
      <c r="F325" s="21"/>
      <c r="G325" s="21"/>
      <c r="H325" s="21"/>
      <c r="I325" s="21"/>
      <c r="J325" s="21"/>
      <c r="L325" s="21"/>
    </row>
    <row r="326" spans="3:12" s="18" customFormat="1" x14ac:dyDescent="0.25">
      <c r="C326" s="21"/>
      <c r="D326" s="21"/>
      <c r="E326" s="21"/>
      <c r="F326" s="21"/>
      <c r="G326" s="21"/>
      <c r="H326" s="21"/>
      <c r="I326" s="21"/>
      <c r="J326" s="21"/>
      <c r="L326" s="21"/>
    </row>
    <row r="327" spans="3:12" s="18" customFormat="1" x14ac:dyDescent="0.25">
      <c r="C327" s="21"/>
      <c r="D327" s="21"/>
      <c r="E327" s="21"/>
      <c r="F327" s="21"/>
      <c r="G327" s="21"/>
      <c r="H327" s="21"/>
      <c r="I327" s="21"/>
      <c r="J327" s="21"/>
      <c r="L327" s="21"/>
    </row>
    <row r="328" spans="3:12" s="18" customFormat="1" x14ac:dyDescent="0.25">
      <c r="C328" s="21"/>
      <c r="D328" s="21"/>
      <c r="E328" s="21"/>
      <c r="F328" s="21"/>
      <c r="G328" s="21"/>
      <c r="H328" s="21"/>
      <c r="I328" s="21"/>
      <c r="J328" s="21"/>
      <c r="L328" s="21"/>
    </row>
    <row r="329" spans="3:12" s="18" customFormat="1" x14ac:dyDescent="0.25">
      <c r="C329" s="21"/>
      <c r="D329" s="21"/>
      <c r="E329" s="21"/>
      <c r="F329" s="21"/>
      <c r="G329" s="21"/>
      <c r="H329" s="21"/>
      <c r="I329" s="21"/>
      <c r="J329" s="21"/>
      <c r="L329" s="21"/>
    </row>
    <row r="330" spans="3:12" s="18" customFormat="1" x14ac:dyDescent="0.25">
      <c r="C330" s="21"/>
      <c r="D330" s="21"/>
      <c r="E330" s="21"/>
      <c r="F330" s="21"/>
      <c r="G330" s="21"/>
      <c r="H330" s="21"/>
      <c r="I330" s="21"/>
      <c r="J330" s="21"/>
      <c r="L330" s="21"/>
    </row>
    <row r="331" spans="3:12" s="18" customFormat="1" x14ac:dyDescent="0.25">
      <c r="C331" s="21"/>
      <c r="D331" s="21"/>
      <c r="E331" s="21"/>
      <c r="F331" s="21"/>
      <c r="G331" s="21"/>
      <c r="H331" s="21"/>
      <c r="I331" s="21"/>
      <c r="J331" s="21"/>
      <c r="L331" s="21"/>
    </row>
    <row r="332" spans="3:12" s="18" customFormat="1" x14ac:dyDescent="0.25">
      <c r="C332" s="21"/>
      <c r="D332" s="21"/>
      <c r="E332" s="21"/>
      <c r="F332" s="21"/>
      <c r="G332" s="21"/>
      <c r="H332" s="21"/>
      <c r="I332" s="21"/>
      <c r="J332" s="21"/>
      <c r="L332" s="21"/>
    </row>
    <row r="333" spans="3:12" s="18" customFormat="1" x14ac:dyDescent="0.25">
      <c r="C333" s="21"/>
      <c r="D333" s="21"/>
      <c r="E333" s="21"/>
      <c r="F333" s="21"/>
      <c r="G333" s="21"/>
      <c r="H333" s="21"/>
      <c r="I333" s="21"/>
      <c r="J333" s="21"/>
      <c r="L333" s="21"/>
    </row>
    <row r="334" spans="3:12" s="18" customFormat="1" x14ac:dyDescent="0.25">
      <c r="C334" s="21"/>
      <c r="D334" s="21"/>
      <c r="E334" s="21"/>
      <c r="F334" s="21"/>
      <c r="G334" s="21"/>
      <c r="H334" s="21"/>
      <c r="I334" s="21"/>
      <c r="J334" s="21"/>
      <c r="L334" s="21"/>
    </row>
    <row r="335" spans="3:12" s="18" customFormat="1" x14ac:dyDescent="0.25">
      <c r="C335" s="21"/>
      <c r="D335" s="21"/>
      <c r="E335" s="21"/>
      <c r="F335" s="21"/>
      <c r="G335" s="21"/>
      <c r="H335" s="21"/>
      <c r="I335" s="21"/>
      <c r="J335" s="21"/>
      <c r="L335" s="21"/>
    </row>
    <row r="336" spans="3:12" s="18" customFormat="1" x14ac:dyDescent="0.25">
      <c r="C336" s="21"/>
      <c r="D336" s="21"/>
      <c r="E336" s="21"/>
      <c r="F336" s="21"/>
      <c r="G336" s="21"/>
      <c r="H336" s="21"/>
      <c r="I336" s="21"/>
      <c r="J336" s="21"/>
      <c r="L336" s="21"/>
    </row>
    <row r="337" spans="3:12" s="18" customFormat="1" x14ac:dyDescent="0.25">
      <c r="C337" s="21"/>
      <c r="D337" s="21"/>
      <c r="E337" s="21"/>
      <c r="F337" s="21"/>
      <c r="G337" s="21"/>
      <c r="H337" s="21"/>
      <c r="I337" s="21"/>
      <c r="J337" s="21"/>
      <c r="L337" s="21"/>
    </row>
    <row r="338" spans="3:12" s="18" customFormat="1" x14ac:dyDescent="0.25">
      <c r="C338" s="21"/>
      <c r="D338" s="21"/>
      <c r="E338" s="21"/>
      <c r="F338" s="21"/>
      <c r="G338" s="21"/>
      <c r="H338" s="21"/>
      <c r="I338" s="21"/>
      <c r="J338" s="21"/>
      <c r="L338" s="21"/>
    </row>
    <row r="339" spans="3:12" s="18" customFormat="1" x14ac:dyDescent="0.25">
      <c r="C339" s="21"/>
      <c r="D339" s="21"/>
      <c r="E339" s="21"/>
      <c r="F339" s="21"/>
      <c r="G339" s="21"/>
      <c r="H339" s="21"/>
      <c r="I339" s="21"/>
      <c r="J339" s="21"/>
      <c r="L339" s="21"/>
    </row>
    <row r="340" spans="3:12" s="18" customFormat="1" x14ac:dyDescent="0.25">
      <c r="C340" s="21"/>
      <c r="D340" s="21"/>
      <c r="E340" s="21"/>
      <c r="F340" s="21"/>
      <c r="G340" s="21"/>
      <c r="H340" s="21"/>
      <c r="I340" s="21"/>
      <c r="J340" s="21"/>
      <c r="L340" s="21"/>
    </row>
    <row r="341" spans="3:12" s="18" customFormat="1" x14ac:dyDescent="0.25">
      <c r="C341" s="21"/>
      <c r="D341" s="21"/>
      <c r="E341" s="21"/>
      <c r="F341" s="21"/>
      <c r="G341" s="21"/>
      <c r="H341" s="21"/>
      <c r="I341" s="21"/>
      <c r="J341" s="21"/>
      <c r="L341" s="21"/>
    </row>
    <row r="342" spans="3:12" s="18" customFormat="1" x14ac:dyDescent="0.25">
      <c r="C342" s="21"/>
      <c r="D342" s="21"/>
      <c r="E342" s="21"/>
      <c r="F342" s="21"/>
      <c r="G342" s="21"/>
      <c r="H342" s="21"/>
      <c r="I342" s="21"/>
      <c r="J342" s="21"/>
      <c r="L342" s="21"/>
    </row>
    <row r="343" spans="3:12" s="18" customFormat="1" x14ac:dyDescent="0.25">
      <c r="C343" s="21"/>
      <c r="D343" s="21"/>
      <c r="E343" s="21"/>
      <c r="F343" s="21"/>
      <c r="G343" s="21"/>
      <c r="H343" s="21"/>
      <c r="I343" s="21"/>
      <c r="J343" s="21"/>
      <c r="L343" s="21"/>
    </row>
    <row r="344" spans="3:12" s="18" customFormat="1" x14ac:dyDescent="0.25">
      <c r="C344" s="21"/>
      <c r="D344" s="21"/>
      <c r="E344" s="21"/>
      <c r="F344" s="21"/>
      <c r="G344" s="21"/>
      <c r="H344" s="21"/>
      <c r="I344" s="21"/>
      <c r="J344" s="21"/>
      <c r="L344" s="21"/>
    </row>
    <row r="345" spans="3:12" s="18" customFormat="1" x14ac:dyDescent="0.25">
      <c r="C345" s="21"/>
      <c r="D345" s="21"/>
      <c r="E345" s="21"/>
      <c r="F345" s="21"/>
      <c r="G345" s="21"/>
      <c r="H345" s="21"/>
      <c r="I345" s="21"/>
      <c r="J345" s="21"/>
      <c r="L345" s="21"/>
    </row>
    <row r="346" spans="3:12" s="18" customFormat="1" x14ac:dyDescent="0.25">
      <c r="C346" s="21"/>
      <c r="D346" s="21"/>
      <c r="E346" s="21"/>
      <c r="F346" s="21"/>
      <c r="G346" s="21"/>
      <c r="H346" s="21"/>
      <c r="I346" s="21"/>
      <c r="J346" s="21"/>
      <c r="L346" s="21"/>
    </row>
    <row r="347" spans="3:12" s="18" customFormat="1" x14ac:dyDescent="0.25">
      <c r="C347" s="21"/>
      <c r="D347" s="21"/>
      <c r="E347" s="21"/>
      <c r="F347" s="21"/>
      <c r="G347" s="21"/>
      <c r="H347" s="21"/>
      <c r="I347" s="21"/>
      <c r="J347" s="21"/>
      <c r="L347" s="21"/>
    </row>
    <row r="348" spans="3:12" s="18" customFormat="1" x14ac:dyDescent="0.25">
      <c r="C348" s="21"/>
      <c r="D348" s="21"/>
      <c r="E348" s="21"/>
      <c r="F348" s="21"/>
      <c r="G348" s="21"/>
      <c r="H348" s="21"/>
      <c r="I348" s="21"/>
      <c r="J348" s="21"/>
      <c r="L348" s="21"/>
    </row>
    <row r="349" spans="3:12" s="18" customFormat="1" x14ac:dyDescent="0.25">
      <c r="C349" s="21"/>
      <c r="D349" s="21"/>
      <c r="E349" s="21"/>
      <c r="F349" s="21"/>
      <c r="G349" s="21"/>
      <c r="H349" s="21"/>
      <c r="I349" s="21"/>
      <c r="J349" s="21"/>
      <c r="L349" s="21"/>
    </row>
    <row r="350" spans="3:12" s="18" customFormat="1" x14ac:dyDescent="0.25">
      <c r="C350" s="21"/>
      <c r="D350" s="21"/>
      <c r="E350" s="21"/>
      <c r="F350" s="21"/>
      <c r="G350" s="21"/>
      <c r="H350" s="21"/>
      <c r="I350" s="21"/>
      <c r="J350" s="21"/>
      <c r="L350" s="21"/>
    </row>
    <row r="351" spans="3:12" s="18" customFormat="1" x14ac:dyDescent="0.25">
      <c r="C351" s="21"/>
      <c r="D351" s="21"/>
      <c r="E351" s="21"/>
      <c r="F351" s="21"/>
      <c r="G351" s="21"/>
      <c r="H351" s="21"/>
      <c r="I351" s="21"/>
      <c r="J351" s="21"/>
      <c r="L351" s="21"/>
    </row>
    <row r="352" spans="3:12" s="18" customFormat="1" x14ac:dyDescent="0.25">
      <c r="C352" s="21"/>
      <c r="D352" s="21"/>
      <c r="E352" s="21"/>
      <c r="F352" s="21"/>
      <c r="G352" s="21"/>
      <c r="H352" s="21"/>
      <c r="I352" s="21"/>
      <c r="J352" s="21"/>
      <c r="L352" s="21"/>
    </row>
    <row r="353" spans="3:12" s="18" customFormat="1" x14ac:dyDescent="0.25">
      <c r="C353" s="21"/>
      <c r="D353" s="21"/>
      <c r="E353" s="21"/>
      <c r="F353" s="21"/>
      <c r="G353" s="21"/>
      <c r="H353" s="21"/>
      <c r="I353" s="21"/>
      <c r="J353" s="21"/>
      <c r="L353" s="21"/>
    </row>
    <row r="354" spans="3:12" s="18" customFormat="1" x14ac:dyDescent="0.25">
      <c r="C354" s="21"/>
      <c r="D354" s="21"/>
      <c r="E354" s="21"/>
      <c r="F354" s="21"/>
      <c r="G354" s="21"/>
      <c r="H354" s="21"/>
      <c r="I354" s="21"/>
      <c r="J354" s="21"/>
      <c r="L354" s="21"/>
    </row>
    <row r="355" spans="3:12" s="18" customFormat="1" x14ac:dyDescent="0.25">
      <c r="C355" s="21"/>
      <c r="D355" s="21"/>
      <c r="E355" s="21"/>
      <c r="F355" s="21"/>
      <c r="G355" s="21"/>
      <c r="H355" s="21"/>
      <c r="I355" s="21"/>
      <c r="J355" s="21"/>
      <c r="L355" s="21"/>
    </row>
    <row r="356" spans="3:12" s="18" customFormat="1" x14ac:dyDescent="0.25">
      <c r="C356" s="21"/>
      <c r="D356" s="21"/>
      <c r="E356" s="21"/>
      <c r="F356" s="21"/>
      <c r="G356" s="21"/>
      <c r="H356" s="21"/>
      <c r="I356" s="21"/>
      <c r="J356" s="21"/>
      <c r="L356" s="21"/>
    </row>
    <row r="357" spans="3:12" s="18" customFormat="1" x14ac:dyDescent="0.25">
      <c r="C357" s="21"/>
      <c r="D357" s="21"/>
      <c r="E357" s="21"/>
      <c r="F357" s="21"/>
      <c r="G357" s="21"/>
      <c r="H357" s="21"/>
      <c r="I357" s="21"/>
      <c r="J357" s="21"/>
      <c r="L357" s="21"/>
    </row>
    <row r="358" spans="3:12" s="18" customFormat="1" x14ac:dyDescent="0.25">
      <c r="C358" s="21"/>
      <c r="D358" s="21"/>
      <c r="E358" s="21"/>
      <c r="F358" s="21"/>
      <c r="G358" s="21"/>
      <c r="H358" s="21"/>
      <c r="I358" s="21"/>
      <c r="J358" s="21"/>
      <c r="L358" s="21"/>
    </row>
    <row r="359" spans="3:12" s="18" customFormat="1" x14ac:dyDescent="0.25">
      <c r="C359" s="21"/>
      <c r="D359" s="21"/>
      <c r="E359" s="21"/>
      <c r="F359" s="21"/>
      <c r="G359" s="21"/>
      <c r="H359" s="21"/>
      <c r="I359" s="21"/>
      <c r="J359" s="21"/>
      <c r="L359" s="21"/>
    </row>
    <row r="360" spans="3:12" s="18" customFormat="1" x14ac:dyDescent="0.25">
      <c r="C360" s="21"/>
      <c r="D360" s="21"/>
      <c r="E360" s="21"/>
      <c r="F360" s="21"/>
      <c r="G360" s="21"/>
      <c r="H360" s="21"/>
      <c r="I360" s="21"/>
      <c r="J360" s="21"/>
      <c r="L360" s="21"/>
    </row>
    <row r="361" spans="3:12" s="18" customFormat="1" x14ac:dyDescent="0.25">
      <c r="C361" s="21"/>
      <c r="D361" s="21"/>
      <c r="E361" s="21"/>
      <c r="F361" s="21"/>
      <c r="G361" s="21"/>
      <c r="H361" s="21"/>
      <c r="I361" s="21"/>
      <c r="J361" s="21"/>
      <c r="L361" s="21"/>
    </row>
    <row r="362" spans="3:12" s="18" customFormat="1" x14ac:dyDescent="0.25">
      <c r="C362" s="21"/>
      <c r="D362" s="21"/>
      <c r="E362" s="21"/>
      <c r="F362" s="21"/>
      <c r="G362" s="21"/>
      <c r="H362" s="21"/>
      <c r="I362" s="21"/>
      <c r="J362" s="21"/>
      <c r="L362" s="21"/>
    </row>
    <row r="363" spans="3:12" s="18" customFormat="1" x14ac:dyDescent="0.25">
      <c r="C363" s="21"/>
      <c r="D363" s="21"/>
      <c r="E363" s="21"/>
      <c r="F363" s="21"/>
      <c r="G363" s="21"/>
      <c r="H363" s="21"/>
      <c r="I363" s="21"/>
      <c r="J363" s="21"/>
      <c r="L363" s="21"/>
    </row>
    <row r="364" spans="3:12" s="18" customFormat="1" x14ac:dyDescent="0.25">
      <c r="C364" s="21"/>
      <c r="D364" s="21"/>
      <c r="E364" s="21"/>
      <c r="F364" s="21"/>
      <c r="G364" s="21"/>
      <c r="H364" s="21"/>
      <c r="I364" s="21"/>
      <c r="J364" s="21"/>
      <c r="L364" s="21"/>
    </row>
    <row r="365" spans="3:12" s="18" customFormat="1" x14ac:dyDescent="0.25">
      <c r="C365" s="21"/>
      <c r="D365" s="21"/>
      <c r="E365" s="21"/>
      <c r="F365" s="21"/>
      <c r="G365" s="21"/>
      <c r="H365" s="21"/>
      <c r="I365" s="21"/>
      <c r="J365" s="21"/>
      <c r="L365" s="21"/>
    </row>
    <row r="366" spans="3:12" s="18" customFormat="1" x14ac:dyDescent="0.25">
      <c r="C366" s="21"/>
      <c r="D366" s="21"/>
      <c r="E366" s="21"/>
      <c r="F366" s="21"/>
      <c r="G366" s="21"/>
      <c r="H366" s="21"/>
      <c r="I366" s="21"/>
      <c r="J366" s="21"/>
      <c r="L366" s="21"/>
    </row>
    <row r="367" spans="3:12" s="18" customFormat="1" x14ac:dyDescent="0.25">
      <c r="C367" s="21"/>
      <c r="D367" s="21"/>
      <c r="E367" s="21"/>
      <c r="F367" s="21"/>
      <c r="G367" s="21"/>
      <c r="H367" s="21"/>
      <c r="I367" s="21"/>
      <c r="J367" s="21"/>
      <c r="L367" s="21"/>
    </row>
    <row r="368" spans="3:12" s="18" customFormat="1" x14ac:dyDescent="0.25">
      <c r="C368" s="21"/>
      <c r="D368" s="21"/>
      <c r="E368" s="21"/>
      <c r="F368" s="21"/>
      <c r="G368" s="21"/>
      <c r="H368" s="21"/>
      <c r="I368" s="21"/>
      <c r="J368" s="21"/>
      <c r="L368" s="21"/>
    </row>
    <row r="369" spans="3:12" s="18" customFormat="1" x14ac:dyDescent="0.25">
      <c r="C369" s="21"/>
      <c r="D369" s="21"/>
      <c r="E369" s="21"/>
      <c r="F369" s="21"/>
      <c r="G369" s="21"/>
      <c r="H369" s="21"/>
      <c r="I369" s="21"/>
      <c r="J369" s="21"/>
      <c r="L369" s="21"/>
    </row>
    <row r="370" spans="3:12" s="18" customFormat="1" x14ac:dyDescent="0.25">
      <c r="C370" s="21"/>
      <c r="D370" s="21"/>
      <c r="E370" s="21"/>
      <c r="F370" s="21"/>
      <c r="G370" s="21"/>
      <c r="H370" s="21"/>
      <c r="I370" s="21"/>
      <c r="J370" s="21"/>
      <c r="L370" s="21"/>
    </row>
    <row r="371" spans="3:12" s="18" customFormat="1" x14ac:dyDescent="0.25">
      <c r="C371" s="21"/>
      <c r="D371" s="21"/>
      <c r="E371" s="21"/>
      <c r="F371" s="21"/>
      <c r="G371" s="21"/>
      <c r="H371" s="21"/>
      <c r="I371" s="21"/>
      <c r="J371" s="21"/>
      <c r="L371" s="21"/>
    </row>
    <row r="372" spans="3:12" s="18" customFormat="1" x14ac:dyDescent="0.25">
      <c r="C372" s="21"/>
      <c r="D372" s="21"/>
      <c r="E372" s="21"/>
      <c r="F372" s="21"/>
      <c r="G372" s="21"/>
      <c r="H372" s="21"/>
      <c r="I372" s="21"/>
      <c r="J372" s="21"/>
      <c r="L372" s="21"/>
    </row>
    <row r="373" spans="3:12" s="18" customFormat="1" x14ac:dyDescent="0.25">
      <c r="C373" s="21"/>
      <c r="D373" s="21"/>
      <c r="E373" s="21"/>
      <c r="F373" s="21"/>
      <c r="G373" s="21"/>
      <c r="H373" s="21"/>
      <c r="I373" s="21"/>
      <c r="J373" s="21"/>
      <c r="L373" s="21"/>
    </row>
    <row r="374" spans="3:12" s="18" customFormat="1" x14ac:dyDescent="0.25">
      <c r="C374" s="21"/>
      <c r="D374" s="21"/>
      <c r="E374" s="21"/>
      <c r="F374" s="21"/>
      <c r="G374" s="21"/>
      <c r="H374" s="21"/>
      <c r="I374" s="21"/>
      <c r="J374" s="21"/>
      <c r="L374" s="21"/>
    </row>
    <row r="375" spans="3:12" s="18" customFormat="1" x14ac:dyDescent="0.25">
      <c r="C375" s="21"/>
      <c r="D375" s="21"/>
      <c r="E375" s="21"/>
      <c r="F375" s="21"/>
      <c r="G375" s="21"/>
      <c r="H375" s="21"/>
      <c r="I375" s="21"/>
      <c r="J375" s="21"/>
      <c r="L375" s="21"/>
    </row>
    <row r="376" spans="3:12" s="18" customFormat="1" x14ac:dyDescent="0.25">
      <c r="C376" s="21"/>
      <c r="D376" s="21"/>
      <c r="E376" s="21"/>
      <c r="F376" s="21"/>
      <c r="G376" s="21"/>
      <c r="H376" s="21"/>
      <c r="I376" s="21"/>
      <c r="J376" s="21"/>
      <c r="L376" s="21"/>
    </row>
    <row r="377" spans="3:12" s="18" customFormat="1" x14ac:dyDescent="0.25">
      <c r="C377" s="21"/>
      <c r="D377" s="21"/>
      <c r="E377" s="21"/>
      <c r="F377" s="21"/>
      <c r="G377" s="21"/>
      <c r="H377" s="21"/>
      <c r="I377" s="21"/>
      <c r="J377" s="21"/>
      <c r="L377" s="21"/>
    </row>
    <row r="378" spans="3:12" s="18" customFormat="1" x14ac:dyDescent="0.25">
      <c r="C378" s="21"/>
      <c r="D378" s="21"/>
      <c r="E378" s="21"/>
      <c r="F378" s="21"/>
      <c r="G378" s="21"/>
      <c r="H378" s="21"/>
      <c r="I378" s="21"/>
      <c r="J378" s="21"/>
      <c r="L378" s="21"/>
    </row>
    <row r="379" spans="3:12" s="18" customFormat="1" x14ac:dyDescent="0.25">
      <c r="C379" s="21"/>
      <c r="D379" s="21"/>
      <c r="E379" s="21"/>
      <c r="F379" s="21"/>
      <c r="G379" s="21"/>
      <c r="H379" s="21"/>
      <c r="I379" s="21"/>
      <c r="J379" s="21"/>
      <c r="L379" s="21"/>
    </row>
    <row r="380" spans="3:12" s="18" customFormat="1" x14ac:dyDescent="0.25">
      <c r="C380" s="21"/>
      <c r="D380" s="21"/>
      <c r="E380" s="21"/>
      <c r="F380" s="21"/>
      <c r="G380" s="21"/>
      <c r="H380" s="21"/>
      <c r="I380" s="21"/>
      <c r="J380" s="21"/>
      <c r="L380" s="21"/>
    </row>
    <row r="381" spans="3:12" s="18" customFormat="1" x14ac:dyDescent="0.25">
      <c r="C381" s="21"/>
      <c r="D381" s="21"/>
      <c r="E381" s="21"/>
      <c r="F381" s="21"/>
      <c r="G381" s="21"/>
      <c r="H381" s="21"/>
      <c r="I381" s="21"/>
      <c r="J381" s="21"/>
      <c r="L381" s="21"/>
    </row>
    <row r="382" spans="3:12" s="18" customFormat="1" x14ac:dyDescent="0.25">
      <c r="C382" s="21"/>
      <c r="D382" s="21"/>
      <c r="E382" s="21"/>
      <c r="F382" s="21"/>
      <c r="G382" s="21"/>
      <c r="H382" s="21"/>
      <c r="I382" s="21"/>
      <c r="J382" s="21"/>
      <c r="L382" s="21"/>
    </row>
    <row r="383" spans="3:12" s="18" customFormat="1" x14ac:dyDescent="0.25">
      <c r="C383" s="21"/>
      <c r="D383" s="21"/>
      <c r="E383" s="21"/>
      <c r="F383" s="21"/>
      <c r="G383" s="21"/>
      <c r="H383" s="21"/>
      <c r="I383" s="21"/>
      <c r="J383" s="21"/>
      <c r="L383" s="21"/>
    </row>
    <row r="384" spans="3:12" s="18" customFormat="1" x14ac:dyDescent="0.25">
      <c r="C384" s="21"/>
      <c r="D384" s="21"/>
      <c r="E384" s="21"/>
      <c r="F384" s="21"/>
      <c r="G384" s="21"/>
      <c r="H384" s="21"/>
      <c r="I384" s="21"/>
      <c r="J384" s="21"/>
      <c r="L384" s="21"/>
    </row>
    <row r="385" spans="3:12" s="18" customFormat="1" x14ac:dyDescent="0.25">
      <c r="C385" s="21"/>
      <c r="D385" s="21"/>
      <c r="E385" s="21"/>
      <c r="F385" s="21"/>
      <c r="G385" s="21"/>
      <c r="H385" s="21"/>
      <c r="I385" s="21"/>
      <c r="J385" s="21"/>
      <c r="L385" s="21"/>
    </row>
    <row r="386" spans="3:12" s="18" customFormat="1" x14ac:dyDescent="0.25">
      <c r="C386" s="21"/>
      <c r="D386" s="21"/>
      <c r="E386" s="21"/>
      <c r="F386" s="21"/>
      <c r="G386" s="21"/>
      <c r="H386" s="21"/>
      <c r="I386" s="21"/>
      <c r="J386" s="21"/>
      <c r="L386" s="21"/>
    </row>
    <row r="387" spans="3:12" s="18" customFormat="1" x14ac:dyDescent="0.25">
      <c r="C387" s="21"/>
      <c r="D387" s="21"/>
      <c r="E387" s="21"/>
      <c r="F387" s="21"/>
      <c r="G387" s="21"/>
      <c r="H387" s="21"/>
      <c r="I387" s="21"/>
      <c r="J387" s="21"/>
      <c r="L387" s="21"/>
    </row>
    <row r="388" spans="3:12" s="18" customFormat="1" x14ac:dyDescent="0.25">
      <c r="C388" s="21"/>
      <c r="D388" s="21"/>
      <c r="E388" s="21"/>
      <c r="F388" s="21"/>
      <c r="G388" s="21"/>
      <c r="H388" s="21"/>
      <c r="I388" s="21"/>
      <c r="J388" s="21"/>
      <c r="L388" s="21"/>
    </row>
    <row r="389" spans="3:12" s="18" customFormat="1" x14ac:dyDescent="0.25">
      <c r="C389" s="21"/>
      <c r="D389" s="21"/>
      <c r="E389" s="21"/>
      <c r="F389" s="21"/>
      <c r="G389" s="21"/>
      <c r="H389" s="21"/>
      <c r="I389" s="21"/>
      <c r="J389" s="21"/>
      <c r="L389" s="21"/>
    </row>
    <row r="390" spans="3:12" s="18" customFormat="1" x14ac:dyDescent="0.25">
      <c r="C390" s="21"/>
      <c r="D390" s="21"/>
      <c r="E390" s="21"/>
      <c r="F390" s="21"/>
      <c r="G390" s="21"/>
      <c r="H390" s="21"/>
      <c r="I390" s="21"/>
      <c r="J390" s="21"/>
      <c r="L390" s="21"/>
    </row>
    <row r="391" spans="3:12" s="18" customFormat="1" x14ac:dyDescent="0.25">
      <c r="C391" s="21"/>
      <c r="D391" s="21"/>
      <c r="E391" s="21"/>
      <c r="F391" s="21"/>
      <c r="G391" s="21"/>
      <c r="H391" s="21"/>
      <c r="I391" s="21"/>
      <c r="J391" s="21"/>
      <c r="L391" s="21"/>
    </row>
    <row r="392" spans="3:12" s="18" customFormat="1" x14ac:dyDescent="0.25">
      <c r="C392" s="21"/>
      <c r="D392" s="21"/>
      <c r="E392" s="21"/>
      <c r="F392" s="21"/>
      <c r="G392" s="21"/>
      <c r="H392" s="21"/>
      <c r="I392" s="21"/>
      <c r="J392" s="21"/>
      <c r="L392" s="21"/>
    </row>
    <row r="393" spans="3:12" s="18" customFormat="1" x14ac:dyDescent="0.25">
      <c r="C393" s="21"/>
      <c r="D393" s="21"/>
      <c r="E393" s="21"/>
      <c r="F393" s="21"/>
      <c r="G393" s="21"/>
      <c r="H393" s="21"/>
      <c r="I393" s="21"/>
      <c r="J393" s="21"/>
      <c r="L393" s="21"/>
    </row>
    <row r="394" spans="3:12" s="18" customFormat="1" x14ac:dyDescent="0.25">
      <c r="C394" s="21"/>
      <c r="D394" s="21"/>
      <c r="E394" s="21"/>
      <c r="F394" s="21"/>
      <c r="G394" s="21"/>
      <c r="H394" s="21"/>
      <c r="I394" s="21"/>
      <c r="J394" s="21"/>
      <c r="L394" s="21"/>
    </row>
    <row r="395" spans="3:12" s="18" customFormat="1" x14ac:dyDescent="0.25">
      <c r="C395" s="21"/>
      <c r="D395" s="21"/>
      <c r="E395" s="21"/>
      <c r="F395" s="21"/>
      <c r="G395" s="21"/>
      <c r="H395" s="21"/>
      <c r="I395" s="21"/>
      <c r="J395" s="21"/>
      <c r="L395" s="21"/>
    </row>
    <row r="396" spans="3:12" s="18" customFormat="1" x14ac:dyDescent="0.25">
      <c r="C396" s="21"/>
      <c r="D396" s="21"/>
      <c r="E396" s="21"/>
      <c r="F396" s="21"/>
      <c r="G396" s="21"/>
      <c r="H396" s="21"/>
      <c r="I396" s="21"/>
      <c r="J396" s="21"/>
      <c r="L396" s="21"/>
    </row>
    <row r="397" spans="3:12" s="18" customFormat="1" x14ac:dyDescent="0.25">
      <c r="C397" s="21"/>
      <c r="D397" s="21"/>
      <c r="E397" s="21"/>
      <c r="F397" s="21"/>
      <c r="G397" s="21"/>
      <c r="H397" s="21"/>
      <c r="I397" s="21"/>
      <c r="J397" s="21"/>
      <c r="L397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7" zoomScale="80" zoomScaleNormal="80" workbookViewId="0">
      <selection activeCell="M11" sqref="M11"/>
    </sheetView>
  </sheetViews>
  <sheetFormatPr defaultColWidth="9.140625" defaultRowHeight="15" outlineLevelCol="1" x14ac:dyDescent="0.25"/>
  <cols>
    <col min="1" max="1" width="9.140625" style="86"/>
    <col min="2" max="4" width="9.140625" style="86" hidden="1" customWidth="1" outlineLevel="1"/>
    <col min="5" max="5" width="2.42578125" style="86" customWidth="1" collapsed="1"/>
    <col min="6" max="6" width="38.28515625" style="86" customWidth="1"/>
    <col min="7" max="7" width="66.42578125" style="86" bestFit="1" customWidth="1"/>
    <col min="8" max="10" width="16.140625" style="86" customWidth="1"/>
    <col min="11" max="11" width="32.42578125" style="86" customWidth="1"/>
    <col min="12" max="12" width="2.28515625" style="86" customWidth="1"/>
    <col min="13" max="13" width="7.28515625" style="86" customWidth="1"/>
    <col min="14" max="14" width="11.42578125" style="86" bestFit="1" customWidth="1"/>
    <col min="15" max="16384" width="9.140625" style="86"/>
  </cols>
  <sheetData>
    <row r="1" spans="6:7" ht="15.75" thickBot="1" x14ac:dyDescent="0.3"/>
    <row r="2" spans="6:7" ht="21" customHeight="1" x14ac:dyDescent="0.25">
      <c r="F2" s="115" t="s">
        <v>127</v>
      </c>
      <c r="G2" s="117" t="s">
        <v>128</v>
      </c>
    </row>
    <row r="3" spans="6:7" ht="27" customHeight="1" thickBot="1" x14ac:dyDescent="0.3">
      <c r="F3" s="116"/>
      <c r="G3" s="118"/>
    </row>
    <row r="4" spans="6:7" ht="19.5" x14ac:dyDescent="0.25">
      <c r="F4" s="87" t="s">
        <v>129</v>
      </c>
      <c r="G4" s="88">
        <f>'[4]NDPR-Ogbelle'!L26</f>
        <v>495455.38729020761</v>
      </c>
    </row>
    <row r="5" spans="6:7" ht="19.5" x14ac:dyDescent="0.25">
      <c r="F5" s="89" t="s">
        <v>130</v>
      </c>
      <c r="G5" s="90">
        <f>'[4]Pan Ocean- OML 98'!L26</f>
        <v>110460.27513869906</v>
      </c>
    </row>
    <row r="6" spans="6:7" ht="19.5" x14ac:dyDescent="0.25">
      <c r="F6" s="89" t="s">
        <v>131</v>
      </c>
      <c r="G6" s="90">
        <f>'[4]NPDC-Oredo'!L26</f>
        <v>434615.68888101901</v>
      </c>
    </row>
    <row r="7" spans="6:7" ht="19.5" x14ac:dyDescent="0.25">
      <c r="F7" s="89" t="s">
        <v>132</v>
      </c>
      <c r="G7" s="90">
        <f>'[4]Belemaoil -Robertkiri'!L26</f>
        <v>330484.87451665086</v>
      </c>
    </row>
    <row r="8" spans="6:7" ht="19.5" x14ac:dyDescent="0.25">
      <c r="F8" s="89" t="s">
        <v>133</v>
      </c>
      <c r="G8" s="90">
        <f>'[4]Belemaoil -Inda'!L26</f>
        <v>100405.83366209414</v>
      </c>
    </row>
    <row r="9" spans="6:7" ht="19.5" x14ac:dyDescent="0.25">
      <c r="F9" s="89" t="s">
        <v>134</v>
      </c>
      <c r="G9" s="90">
        <f>'[4]PAN OCEAN - OML 147'!L25</f>
        <v>133105.98418986204</v>
      </c>
    </row>
    <row r="10" spans="6:7" ht="19.5" x14ac:dyDescent="0.25">
      <c r="F10" s="89" t="s">
        <v>135</v>
      </c>
      <c r="G10" s="90">
        <f>[4]SEPLAT!L26</f>
        <v>2344969.6189536783</v>
      </c>
    </row>
    <row r="11" spans="6:7" ht="19.5" x14ac:dyDescent="0.25">
      <c r="F11" s="89" t="s">
        <v>136</v>
      </c>
      <c r="G11" s="90">
        <f>'[4]NPDC OML 26'!L26</f>
        <v>604861.04235677782</v>
      </c>
    </row>
    <row r="12" spans="6:7" ht="19.5" x14ac:dyDescent="0.25">
      <c r="F12" s="89" t="s">
        <v>137</v>
      </c>
      <c r="G12" s="90">
        <f>'[4]NPDC OML 42 (Batan)'!L27</f>
        <v>478506.51626176049</v>
      </c>
    </row>
    <row r="13" spans="6:7" ht="19.5" x14ac:dyDescent="0.25">
      <c r="F13" s="89" t="s">
        <v>138</v>
      </c>
      <c r="G13" s="90">
        <f>'[4]NPDC OML 40'!L26</f>
        <v>1577254.6119634807</v>
      </c>
    </row>
    <row r="14" spans="6:7" ht="19.5" x14ac:dyDescent="0.25">
      <c r="F14" s="89" t="s">
        <v>139</v>
      </c>
      <c r="G14" s="90">
        <f>'[4]NPDC OML 30'!L26</f>
        <v>6245852.2558929063</v>
      </c>
    </row>
    <row r="15" spans="6:7" ht="19.5" x14ac:dyDescent="0.25">
      <c r="F15" s="89" t="s">
        <v>140</v>
      </c>
      <c r="G15" s="90">
        <f>'[4]NPDC OML 34'!L27</f>
        <v>1523832.3882810862</v>
      </c>
    </row>
    <row r="16" spans="6:7" ht="19.5" x14ac:dyDescent="0.25">
      <c r="F16" s="89" t="s">
        <v>141</v>
      </c>
      <c r="G16" s="90">
        <f>'[4]WSPOL-Ibigwe New'!L26</f>
        <v>724477.8245454469</v>
      </c>
    </row>
    <row r="17" spans="6:7" ht="19.5" x14ac:dyDescent="0.25">
      <c r="F17" s="89" t="s">
        <v>142</v>
      </c>
      <c r="G17" s="90">
        <f>'[4]TEPNG-OML58 New'!L26</f>
        <v>1492231.3549057099</v>
      </c>
    </row>
    <row r="18" spans="6:7" ht="19.5" x14ac:dyDescent="0.25">
      <c r="F18" s="89" t="s">
        <v>143</v>
      </c>
      <c r="G18" s="90">
        <f>[4]Midwestern!L26</f>
        <v>678939.75603266316</v>
      </c>
    </row>
    <row r="19" spans="6:7" ht="19.5" x14ac:dyDescent="0.25">
      <c r="F19" s="89" t="s">
        <v>144</v>
      </c>
      <c r="G19" s="90">
        <f>[4]Newcross!L26</f>
        <v>1902477.8007057486</v>
      </c>
    </row>
    <row r="20" spans="6:7" ht="19.5" x14ac:dyDescent="0.25">
      <c r="F20" s="89" t="s">
        <v>145</v>
      </c>
      <c r="G20" s="90">
        <f>[4]Aiteo!L26</f>
        <v>2538360.5853224285</v>
      </c>
    </row>
    <row r="21" spans="6:7" ht="19.5" x14ac:dyDescent="0.25">
      <c r="F21" s="89" t="s">
        <v>146</v>
      </c>
      <c r="G21" s="90">
        <f>[4]Eroton!L26</f>
        <v>1361156.2958756015</v>
      </c>
    </row>
    <row r="22" spans="6:7" ht="19.5" x14ac:dyDescent="0.25">
      <c r="F22" s="89" t="s">
        <v>147</v>
      </c>
      <c r="G22" s="90">
        <f>'[4]NPDC ABURA'!L26</f>
        <v>404180.82542241627</v>
      </c>
    </row>
    <row r="23" spans="6:7" ht="19.5" x14ac:dyDescent="0.25">
      <c r="F23" s="89" t="s">
        <v>148</v>
      </c>
      <c r="G23" s="90">
        <f>[4]EXCEL!L27</f>
        <v>41726.595757426687</v>
      </c>
    </row>
    <row r="24" spans="6:7" ht="19.5" x14ac:dyDescent="0.25">
      <c r="F24" s="89" t="s">
        <v>149</v>
      </c>
      <c r="G24" s="90">
        <f>[4]Millenium!L27</f>
        <v>0</v>
      </c>
    </row>
    <row r="25" spans="6:7" ht="20.25" thickBot="1" x14ac:dyDescent="0.3">
      <c r="F25" s="91" t="s">
        <v>150</v>
      </c>
      <c r="G25" s="90">
        <f>[4]HHOGL!L27</f>
        <v>3272512.2242199238</v>
      </c>
    </row>
    <row r="26" spans="6:7" ht="20.25" thickBot="1" x14ac:dyDescent="0.4">
      <c r="F26" s="119"/>
      <c r="G26" s="120"/>
    </row>
    <row r="27" spans="6:7" ht="24" thickBot="1" x14ac:dyDescent="0.3">
      <c r="F27" s="92" t="s">
        <v>41</v>
      </c>
      <c r="G27" s="93">
        <f>SUM(G4:G24)</f>
        <v>23523355.515955664</v>
      </c>
    </row>
    <row r="34" spans="5:12" ht="15.75" thickBot="1" x14ac:dyDescent="0.3"/>
    <row r="35" spans="5:12" ht="19.5" x14ac:dyDescent="0.3">
      <c r="E35" s="94"/>
      <c r="F35" s="95"/>
      <c r="G35" s="95"/>
      <c r="H35" s="96"/>
      <c r="I35" s="96"/>
      <c r="J35" s="96"/>
      <c r="K35" s="96"/>
      <c r="L35" s="97"/>
    </row>
    <row r="36" spans="5:12" ht="19.5" x14ac:dyDescent="0.3">
      <c r="E36" s="98"/>
      <c r="F36" s="99" t="s">
        <v>151</v>
      </c>
      <c r="G36" s="100" t="s">
        <v>152</v>
      </c>
      <c r="H36" s="101" t="s">
        <v>153</v>
      </c>
      <c r="I36" s="101"/>
      <c r="J36" s="101"/>
      <c r="K36" s="101"/>
      <c r="L36" s="102"/>
    </row>
    <row r="37" spans="5:12" ht="19.5" x14ac:dyDescent="0.3">
      <c r="E37" s="98"/>
      <c r="F37" s="99"/>
      <c r="G37" s="99"/>
      <c r="H37" s="101"/>
      <c r="I37" s="101"/>
      <c r="J37" s="101"/>
      <c r="K37" s="101"/>
      <c r="L37" s="102"/>
    </row>
    <row r="38" spans="5:12" ht="19.5" x14ac:dyDescent="0.3">
      <c r="E38" s="98"/>
      <c r="F38" s="99"/>
      <c r="G38" s="99"/>
      <c r="H38" s="101"/>
      <c r="I38" s="101"/>
      <c r="J38" s="101"/>
      <c r="K38" s="101"/>
      <c r="L38" s="102"/>
    </row>
    <row r="39" spans="5:12" ht="19.5" x14ac:dyDescent="0.3">
      <c r="E39" s="98"/>
      <c r="F39" s="99" t="s">
        <v>154</v>
      </c>
      <c r="G39" s="100" t="s">
        <v>155</v>
      </c>
      <c r="H39" s="101" t="s">
        <v>153</v>
      </c>
      <c r="I39" s="101"/>
      <c r="J39" s="101"/>
      <c r="K39" s="101"/>
      <c r="L39" s="102"/>
    </row>
    <row r="40" spans="5:12" ht="19.5" x14ac:dyDescent="0.3">
      <c r="E40" s="98"/>
      <c r="F40" s="99"/>
      <c r="G40" s="99"/>
      <c r="H40" s="101"/>
      <c r="I40" s="101"/>
      <c r="J40" s="101"/>
      <c r="K40" s="101"/>
      <c r="L40" s="102"/>
    </row>
    <row r="41" spans="5:12" ht="19.5" x14ac:dyDescent="0.3">
      <c r="E41" s="98"/>
      <c r="F41" s="99"/>
      <c r="G41" s="99"/>
      <c r="H41" s="101"/>
      <c r="I41" s="101"/>
      <c r="J41" s="101"/>
      <c r="K41" s="101"/>
      <c r="L41" s="102"/>
    </row>
    <row r="42" spans="5:12" ht="19.5" x14ac:dyDescent="0.3">
      <c r="E42" s="98"/>
      <c r="F42" s="99" t="s">
        <v>156</v>
      </c>
      <c r="G42" s="100" t="s">
        <v>157</v>
      </c>
      <c r="H42" s="101" t="s">
        <v>153</v>
      </c>
      <c r="I42" s="101"/>
      <c r="J42" s="101"/>
      <c r="K42" s="101"/>
      <c r="L42" s="102"/>
    </row>
    <row r="43" spans="5:12" ht="19.5" x14ac:dyDescent="0.3">
      <c r="E43" s="98"/>
      <c r="F43" s="99"/>
      <c r="G43" s="99"/>
      <c r="H43" s="101"/>
      <c r="I43" s="101"/>
      <c r="J43" s="101"/>
      <c r="K43" s="101"/>
      <c r="L43" s="102"/>
    </row>
    <row r="44" spans="5:12" ht="20.25" thickBot="1" x14ac:dyDescent="0.35">
      <c r="E44" s="103"/>
      <c r="F44" s="104"/>
      <c r="G44" s="104"/>
      <c r="H44" s="105"/>
      <c r="I44" s="105"/>
      <c r="J44" s="105"/>
      <c r="K44" s="105"/>
      <c r="L44" s="106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7109375" defaultRowHeight="15" x14ac:dyDescent="0.25"/>
  <cols>
    <col min="1" max="1" width="31.140625" style="73" customWidth="1"/>
    <col min="2" max="2" width="15.28515625" style="73" bestFit="1" customWidth="1"/>
    <col min="3" max="3" width="21.42578125" style="73" customWidth="1"/>
    <col min="4" max="4" width="11.85546875" style="73" bestFit="1" customWidth="1"/>
    <col min="5" max="5" width="44.28515625" style="73" bestFit="1" customWidth="1"/>
    <col min="6" max="6" width="18.5703125" style="75" hidden="1" customWidth="1"/>
    <col min="7" max="7" width="14.5703125" style="75" bestFit="1" customWidth="1"/>
    <col min="8" max="8" width="15.5703125" style="75" bestFit="1" customWidth="1"/>
    <col min="9" max="9" width="14.5703125" style="75" bestFit="1" customWidth="1"/>
    <col min="10" max="10" width="15.5703125" style="75" bestFit="1" customWidth="1"/>
    <col min="11" max="16384" width="8.7109375" style="73"/>
  </cols>
  <sheetData>
    <row r="1" spans="1:10" x14ac:dyDescent="0.25">
      <c r="D1" s="74" t="s">
        <v>108</v>
      </c>
    </row>
    <row r="3" spans="1:10" x14ac:dyDescent="0.25">
      <c r="A3" s="73" t="s">
        <v>18</v>
      </c>
      <c r="F3" s="73"/>
      <c r="G3" s="75" t="s">
        <v>36</v>
      </c>
    </row>
    <row r="4" spans="1:10" x14ac:dyDescent="0.25">
      <c r="A4" s="73" t="s">
        <v>17</v>
      </c>
      <c r="B4" s="73" t="s">
        <v>16</v>
      </c>
      <c r="C4" s="73" t="s">
        <v>15</v>
      </c>
      <c r="D4" s="73" t="s">
        <v>14</v>
      </c>
      <c r="E4" s="73" t="s">
        <v>13</v>
      </c>
      <c r="F4" s="73" t="s">
        <v>37</v>
      </c>
      <c r="G4" s="75" t="s">
        <v>38</v>
      </c>
      <c r="H4" s="75" t="s">
        <v>39</v>
      </c>
      <c r="I4" s="75" t="s">
        <v>40</v>
      </c>
      <c r="J4" s="75" t="s">
        <v>41</v>
      </c>
    </row>
    <row r="5" spans="1:10" x14ac:dyDescent="0.25">
      <c r="A5" s="73" t="s">
        <v>109</v>
      </c>
      <c r="B5" s="73" t="s">
        <v>43</v>
      </c>
      <c r="C5" s="73" t="s">
        <v>47</v>
      </c>
      <c r="D5" s="73">
        <v>110023</v>
      </c>
      <c r="E5" s="73" t="s">
        <v>25</v>
      </c>
      <c r="F5" s="73" t="s">
        <v>110</v>
      </c>
      <c r="H5" s="75">
        <v>1104811.25</v>
      </c>
      <c r="J5" s="75">
        <v>1104811.25</v>
      </c>
    </row>
    <row r="6" spans="1:10" x14ac:dyDescent="0.25">
      <c r="C6" s="73" t="s">
        <v>61</v>
      </c>
      <c r="F6" s="73"/>
      <c r="H6" s="75">
        <v>1104811.25</v>
      </c>
      <c r="J6" s="75">
        <v>1104811.25</v>
      </c>
    </row>
    <row r="7" spans="1:10" x14ac:dyDescent="0.25">
      <c r="C7" s="73" t="s">
        <v>111</v>
      </c>
      <c r="D7" s="73">
        <v>110432</v>
      </c>
      <c r="E7" s="73" t="s">
        <v>22</v>
      </c>
      <c r="F7" s="73" t="s">
        <v>45</v>
      </c>
      <c r="H7" s="75">
        <v>24804506.439999998</v>
      </c>
      <c r="J7" s="75">
        <v>24804506.439999998</v>
      </c>
    </row>
    <row r="8" spans="1:10" x14ac:dyDescent="0.25">
      <c r="C8" s="73" t="s">
        <v>112</v>
      </c>
      <c r="F8" s="73"/>
      <c r="H8" s="75">
        <v>24804506.439999998</v>
      </c>
      <c r="J8" s="75">
        <v>24804506.439999998</v>
      </c>
    </row>
    <row r="9" spans="1:10" x14ac:dyDescent="0.25">
      <c r="B9" s="73" t="s">
        <v>62</v>
      </c>
      <c r="F9" s="73"/>
      <c r="H9" s="75">
        <v>25909317.689999998</v>
      </c>
      <c r="J9" s="75">
        <v>25909317.689999998</v>
      </c>
    </row>
    <row r="10" spans="1:10" x14ac:dyDescent="0.25">
      <c r="B10" s="73" t="s">
        <v>63</v>
      </c>
      <c r="C10" s="73" t="s">
        <v>66</v>
      </c>
      <c r="D10" s="73">
        <v>110453</v>
      </c>
      <c r="E10" s="73" t="s">
        <v>113</v>
      </c>
      <c r="F10" s="73" t="s">
        <v>114</v>
      </c>
      <c r="H10" s="75">
        <v>6896.95</v>
      </c>
      <c r="J10" s="75">
        <v>6896.95</v>
      </c>
    </row>
    <row r="11" spans="1:10" x14ac:dyDescent="0.25">
      <c r="D11" s="73">
        <v>110617</v>
      </c>
      <c r="E11" s="73" t="s">
        <v>115</v>
      </c>
      <c r="F11" s="73" t="s">
        <v>114</v>
      </c>
      <c r="G11" s="75">
        <v>69706.25</v>
      </c>
      <c r="H11" s="75">
        <v>700683.02000000025</v>
      </c>
      <c r="J11" s="75">
        <v>770389.27000000025</v>
      </c>
    </row>
    <row r="12" spans="1:10" x14ac:dyDescent="0.25">
      <c r="C12" s="73" t="s">
        <v>83</v>
      </c>
      <c r="F12" s="73"/>
      <c r="G12" s="75">
        <v>69706.25</v>
      </c>
      <c r="H12" s="75">
        <v>707579.9700000002</v>
      </c>
      <c r="J12" s="75">
        <v>777286.2200000002</v>
      </c>
    </row>
    <row r="13" spans="1:10" x14ac:dyDescent="0.25">
      <c r="C13" s="73" t="s">
        <v>116</v>
      </c>
      <c r="D13" s="73">
        <v>110033</v>
      </c>
      <c r="E13" s="73" t="s">
        <v>48</v>
      </c>
      <c r="F13" s="73" t="s">
        <v>85</v>
      </c>
      <c r="G13" s="75">
        <v>145766.22000000003</v>
      </c>
      <c r="J13" s="75">
        <v>145766.22000000003</v>
      </c>
    </row>
    <row r="14" spans="1:10" x14ac:dyDescent="0.25">
      <c r="C14" s="73" t="s">
        <v>117</v>
      </c>
      <c r="F14" s="73"/>
      <c r="G14" s="75">
        <v>145766.22000000003</v>
      </c>
      <c r="J14" s="75">
        <v>145766.22000000003</v>
      </c>
    </row>
    <row r="15" spans="1:10" x14ac:dyDescent="0.25">
      <c r="B15" s="73" t="s">
        <v>105</v>
      </c>
      <c r="F15" s="73"/>
      <c r="G15" s="75">
        <v>215472.47000000003</v>
      </c>
      <c r="H15" s="75">
        <v>707579.9700000002</v>
      </c>
      <c r="J15" s="75">
        <v>923052.44000000018</v>
      </c>
    </row>
    <row r="16" spans="1:10" x14ac:dyDescent="0.25">
      <c r="A16" s="73" t="s">
        <v>118</v>
      </c>
      <c r="F16" s="73"/>
      <c r="G16" s="75">
        <v>215472.47000000003</v>
      </c>
      <c r="H16" s="75">
        <v>26616897.659999996</v>
      </c>
      <c r="J16" s="75">
        <v>26832370.129999995</v>
      </c>
    </row>
    <row r="17" spans="1:10" x14ac:dyDescent="0.25">
      <c r="A17" s="73" t="s">
        <v>42</v>
      </c>
      <c r="B17" s="73" t="s">
        <v>43</v>
      </c>
      <c r="C17" s="73" t="s">
        <v>44</v>
      </c>
      <c r="D17" s="73">
        <v>110006</v>
      </c>
      <c r="E17" s="73" t="s">
        <v>26</v>
      </c>
      <c r="F17" s="73" t="s">
        <v>45</v>
      </c>
      <c r="G17" s="75">
        <v>23854.989999999998</v>
      </c>
      <c r="H17" s="75">
        <v>963771.66000000015</v>
      </c>
      <c r="I17" s="75">
        <v>-457.77</v>
      </c>
      <c r="J17" s="75">
        <v>987168.88000000012</v>
      </c>
    </row>
    <row r="18" spans="1:10" x14ac:dyDescent="0.25">
      <c r="D18" s="73">
        <v>110042</v>
      </c>
      <c r="E18" s="73" t="s">
        <v>29</v>
      </c>
      <c r="F18" s="73" t="s">
        <v>45</v>
      </c>
      <c r="H18" s="75">
        <v>9570953.8800000008</v>
      </c>
      <c r="I18" s="75">
        <v>128775.95</v>
      </c>
      <c r="J18" s="75">
        <v>9699729.8300000001</v>
      </c>
    </row>
    <row r="19" spans="1:10" x14ac:dyDescent="0.25">
      <c r="C19" s="73" t="s">
        <v>46</v>
      </c>
      <c r="F19" s="73"/>
      <c r="G19" s="75">
        <v>23854.989999999998</v>
      </c>
      <c r="H19" s="75">
        <v>10534725.540000001</v>
      </c>
      <c r="I19" s="75">
        <v>128318.18</v>
      </c>
      <c r="J19" s="75">
        <v>10686898.710000001</v>
      </c>
    </row>
    <row r="20" spans="1:10" x14ac:dyDescent="0.25">
      <c r="C20" s="73" t="s">
        <v>47</v>
      </c>
      <c r="D20" s="73">
        <v>110006</v>
      </c>
      <c r="E20" s="73" t="s">
        <v>26</v>
      </c>
      <c r="F20" s="73" t="s">
        <v>45</v>
      </c>
      <c r="H20" s="75">
        <v>1771.760000000002</v>
      </c>
      <c r="J20" s="75">
        <v>1771.760000000002</v>
      </c>
    </row>
    <row r="21" spans="1:10" x14ac:dyDescent="0.25">
      <c r="D21" s="73">
        <v>110033</v>
      </c>
      <c r="E21" s="73" t="s">
        <v>48</v>
      </c>
      <c r="F21" s="73" t="s">
        <v>49</v>
      </c>
      <c r="H21" s="75">
        <v>57720</v>
      </c>
      <c r="J21" s="75">
        <v>57720</v>
      </c>
    </row>
    <row r="22" spans="1:10" x14ac:dyDescent="0.25">
      <c r="D22" s="73">
        <v>110042</v>
      </c>
      <c r="E22" s="73" t="s">
        <v>29</v>
      </c>
      <c r="F22" s="73" t="s">
        <v>53</v>
      </c>
      <c r="H22" s="75">
        <v>96878.81</v>
      </c>
      <c r="J22" s="75">
        <v>96878.81</v>
      </c>
    </row>
    <row r="23" spans="1:10" x14ac:dyDescent="0.25">
      <c r="D23" s="73">
        <v>110112</v>
      </c>
      <c r="E23" s="73" t="s">
        <v>51</v>
      </c>
      <c r="F23" s="73" t="s">
        <v>119</v>
      </c>
      <c r="G23" s="75">
        <v>51301.590000000004</v>
      </c>
      <c r="J23" s="75">
        <v>51301.590000000004</v>
      </c>
    </row>
    <row r="24" spans="1:10" x14ac:dyDescent="0.25">
      <c r="D24" s="73">
        <v>110258</v>
      </c>
      <c r="E24" s="73" t="s">
        <v>11</v>
      </c>
      <c r="F24" s="73" t="s">
        <v>53</v>
      </c>
      <c r="H24" s="75">
        <v>174856.59000000003</v>
      </c>
      <c r="J24" s="75">
        <v>174856.59000000003</v>
      </c>
    </row>
    <row r="25" spans="1:10" x14ac:dyDescent="0.25">
      <c r="D25" s="73">
        <v>110259</v>
      </c>
      <c r="E25" s="73" t="s">
        <v>4</v>
      </c>
      <c r="F25" s="73" t="s">
        <v>53</v>
      </c>
      <c r="H25" s="75">
        <v>2031117.9200000002</v>
      </c>
      <c r="J25" s="75">
        <v>2031117.9200000002</v>
      </c>
    </row>
    <row r="26" spans="1:10" x14ac:dyDescent="0.25">
      <c r="D26" s="73">
        <v>110260</v>
      </c>
      <c r="E26" s="73" t="s">
        <v>54</v>
      </c>
      <c r="F26" s="73" t="s">
        <v>53</v>
      </c>
      <c r="H26" s="75">
        <v>143591.04000000001</v>
      </c>
      <c r="J26" s="75">
        <v>143591.04000000001</v>
      </c>
    </row>
    <row r="27" spans="1:10" x14ac:dyDescent="0.25">
      <c r="D27" s="73">
        <v>110262</v>
      </c>
      <c r="E27" s="73" t="s">
        <v>5</v>
      </c>
      <c r="F27" s="73" t="s">
        <v>53</v>
      </c>
      <c r="G27" s="75">
        <v>28224.21</v>
      </c>
      <c r="J27" s="75">
        <v>28224.21</v>
      </c>
    </row>
    <row r="28" spans="1:10" x14ac:dyDescent="0.25">
      <c r="D28" s="73">
        <v>110448</v>
      </c>
      <c r="E28" s="73" t="s">
        <v>93</v>
      </c>
      <c r="F28" s="73" t="s">
        <v>53</v>
      </c>
      <c r="H28" s="75">
        <v>189112.00999999998</v>
      </c>
      <c r="J28" s="75">
        <v>189112.00999999998</v>
      </c>
    </row>
    <row r="29" spans="1:10" x14ac:dyDescent="0.25">
      <c r="D29" s="73">
        <v>110462</v>
      </c>
      <c r="E29" s="73" t="s">
        <v>55</v>
      </c>
      <c r="F29" s="73" t="s">
        <v>56</v>
      </c>
      <c r="H29" s="75">
        <v>580861.25</v>
      </c>
      <c r="J29" s="75">
        <v>580861.25</v>
      </c>
    </row>
    <row r="30" spans="1:10" x14ac:dyDescent="0.25">
      <c r="D30" s="73">
        <v>110513</v>
      </c>
      <c r="E30" s="73" t="s">
        <v>57</v>
      </c>
      <c r="F30" s="73" t="s">
        <v>52</v>
      </c>
      <c r="H30" s="75">
        <v>72910.649999999994</v>
      </c>
      <c r="J30" s="75">
        <v>72910.649999999994</v>
      </c>
    </row>
    <row r="31" spans="1:10" x14ac:dyDescent="0.25">
      <c r="D31" s="73">
        <v>110514</v>
      </c>
      <c r="E31" s="73" t="s">
        <v>58</v>
      </c>
      <c r="F31" s="73" t="s">
        <v>52</v>
      </c>
      <c r="H31" s="75">
        <v>55075.9</v>
      </c>
      <c r="J31" s="75">
        <v>55075.9</v>
      </c>
    </row>
    <row r="32" spans="1:10" x14ac:dyDescent="0.25">
      <c r="D32" s="73">
        <v>110522</v>
      </c>
      <c r="E32" s="73" t="s">
        <v>59</v>
      </c>
      <c r="F32" s="73" t="s">
        <v>60</v>
      </c>
      <c r="H32" s="75">
        <v>537833.90999999992</v>
      </c>
      <c r="J32" s="75">
        <v>537833.90999999992</v>
      </c>
    </row>
    <row r="33" spans="2:10" x14ac:dyDescent="0.25">
      <c r="D33" s="73">
        <v>110687</v>
      </c>
      <c r="E33" s="73" t="s">
        <v>81</v>
      </c>
      <c r="F33" s="73" t="s">
        <v>120</v>
      </c>
      <c r="H33" s="75">
        <v>2325400.9700000025</v>
      </c>
      <c r="J33" s="75">
        <v>2325400.9700000025</v>
      </c>
    </row>
    <row r="34" spans="2:10" x14ac:dyDescent="0.25">
      <c r="F34" s="73" t="s">
        <v>53</v>
      </c>
      <c r="G34" s="75">
        <v>44285.62</v>
      </c>
      <c r="H34" s="75">
        <v>1846.9399999999998</v>
      </c>
      <c r="J34" s="75">
        <v>46132.560000000005</v>
      </c>
    </row>
    <row r="35" spans="2:10" x14ac:dyDescent="0.25">
      <c r="C35" s="73" t="s">
        <v>61</v>
      </c>
      <c r="F35" s="73"/>
      <c r="G35" s="75">
        <v>123811.42000000001</v>
      </c>
      <c r="H35" s="75">
        <v>6268977.7500000028</v>
      </c>
      <c r="J35" s="75">
        <v>6392789.1700000018</v>
      </c>
    </row>
    <row r="36" spans="2:10" x14ac:dyDescent="0.25">
      <c r="B36" s="73" t="s">
        <v>62</v>
      </c>
      <c r="F36" s="73"/>
      <c r="G36" s="75">
        <v>147666.41</v>
      </c>
      <c r="H36" s="75">
        <v>16803703.290000003</v>
      </c>
      <c r="I36" s="75">
        <v>128318.18</v>
      </c>
      <c r="J36" s="75">
        <v>17079687.880000003</v>
      </c>
    </row>
    <row r="37" spans="2:10" x14ac:dyDescent="0.25">
      <c r="B37" s="73" t="s">
        <v>63</v>
      </c>
      <c r="C37" s="73" t="s">
        <v>64</v>
      </c>
      <c r="D37" s="73">
        <v>110006</v>
      </c>
      <c r="E37" s="76" t="s">
        <v>26</v>
      </c>
      <c r="F37" s="73" t="s">
        <v>53</v>
      </c>
      <c r="G37" s="77"/>
      <c r="H37" s="78">
        <v>835598.45</v>
      </c>
      <c r="I37" s="77">
        <v>62434.210000000006</v>
      </c>
      <c r="J37" s="77">
        <v>898032.65999999992</v>
      </c>
    </row>
    <row r="38" spans="2:10" x14ac:dyDescent="0.25">
      <c r="D38" s="73">
        <v>110021</v>
      </c>
      <c r="E38" s="76" t="s">
        <v>27</v>
      </c>
      <c r="F38" s="73" t="s">
        <v>53</v>
      </c>
      <c r="G38" s="77"/>
      <c r="H38" s="78">
        <v>1359137.57</v>
      </c>
      <c r="I38" s="77">
        <v>513769.41000000003</v>
      </c>
      <c r="J38" s="77">
        <v>1872906.98</v>
      </c>
    </row>
    <row r="39" spans="2:10" x14ac:dyDescent="0.25">
      <c r="D39" s="73">
        <v>110022</v>
      </c>
      <c r="E39" s="76" t="s">
        <v>28</v>
      </c>
      <c r="F39" s="73" t="s">
        <v>53</v>
      </c>
      <c r="G39" s="77">
        <v>167146.91999999998</v>
      </c>
      <c r="H39" s="78">
        <v>3919331.2900000005</v>
      </c>
      <c r="I39" s="77">
        <v>4941843.3600000013</v>
      </c>
      <c r="J39" s="77">
        <v>9028321.5700000022</v>
      </c>
    </row>
    <row r="40" spans="2:10" x14ac:dyDescent="0.25">
      <c r="D40" s="73">
        <v>110023</v>
      </c>
      <c r="E40" s="76" t="s">
        <v>25</v>
      </c>
      <c r="F40" s="73" t="s">
        <v>53</v>
      </c>
      <c r="G40" s="77">
        <v>1612310.23</v>
      </c>
      <c r="H40" s="78">
        <v>91676.880000001926</v>
      </c>
      <c r="I40" s="77"/>
      <c r="J40" s="77">
        <v>1703987.110000002</v>
      </c>
    </row>
    <row r="41" spans="2:10" x14ac:dyDescent="0.25">
      <c r="D41" s="73">
        <v>110042</v>
      </c>
      <c r="E41" s="76" t="s">
        <v>29</v>
      </c>
      <c r="F41" s="73" t="s">
        <v>53</v>
      </c>
      <c r="G41" s="77"/>
      <c r="H41" s="78">
        <v>592821.67999999993</v>
      </c>
      <c r="I41" s="77">
        <v>444294.30000000005</v>
      </c>
      <c r="J41" s="77">
        <v>1037115.98</v>
      </c>
    </row>
    <row r="42" spans="2:10" x14ac:dyDescent="0.25">
      <c r="D42" s="73">
        <v>110056</v>
      </c>
      <c r="E42" s="76" t="s">
        <v>24</v>
      </c>
      <c r="F42" s="73" t="s">
        <v>53</v>
      </c>
      <c r="G42" s="77">
        <v>432532.47000000009</v>
      </c>
      <c r="H42" s="78">
        <v>-743417.54999999993</v>
      </c>
      <c r="I42" s="77">
        <v>1681887.42</v>
      </c>
      <c r="J42" s="77">
        <v>1371002.34</v>
      </c>
    </row>
    <row r="43" spans="2:10" x14ac:dyDescent="0.25">
      <c r="D43" s="73">
        <v>110084</v>
      </c>
      <c r="E43" s="76" t="s">
        <v>23</v>
      </c>
      <c r="F43" s="73" t="s">
        <v>53</v>
      </c>
      <c r="G43" s="77">
        <v>522001.83</v>
      </c>
      <c r="H43" s="78">
        <v>1514815.0499999996</v>
      </c>
      <c r="I43" s="77">
        <v>2133661.2000000007</v>
      </c>
      <c r="J43" s="77">
        <v>4170478.08</v>
      </c>
    </row>
    <row r="44" spans="2:10" x14ac:dyDescent="0.25">
      <c r="D44" s="73">
        <v>110117</v>
      </c>
      <c r="E44" s="76" t="s">
        <v>0</v>
      </c>
      <c r="F44" s="73" t="s">
        <v>53</v>
      </c>
      <c r="G44" s="77">
        <v>513648.50000000035</v>
      </c>
      <c r="H44" s="78">
        <v>-1373948.8799999997</v>
      </c>
      <c r="I44" s="77">
        <v>4152797.6800000016</v>
      </c>
      <c r="J44" s="77">
        <v>3292497.3000000021</v>
      </c>
    </row>
    <row r="45" spans="2:10" x14ac:dyDescent="0.25">
      <c r="D45" s="73">
        <v>110257</v>
      </c>
      <c r="E45" s="76" t="s">
        <v>12</v>
      </c>
      <c r="F45" s="73" t="s">
        <v>53</v>
      </c>
      <c r="G45" s="77">
        <v>704650.04</v>
      </c>
      <c r="H45" s="78">
        <v>654359.17999999993</v>
      </c>
      <c r="I45" s="77">
        <v>1632137.2700000005</v>
      </c>
      <c r="J45" s="77">
        <v>2991146.49</v>
      </c>
    </row>
    <row r="46" spans="2:10" x14ac:dyDescent="0.25">
      <c r="D46" s="73">
        <v>110258</v>
      </c>
      <c r="E46" s="76" t="s">
        <v>11</v>
      </c>
      <c r="F46" s="73" t="s">
        <v>53</v>
      </c>
      <c r="G46" s="77">
        <v>955195.47</v>
      </c>
      <c r="H46" s="78">
        <v>1773560.6500000001</v>
      </c>
      <c r="I46" s="77">
        <v>2367657.5399999991</v>
      </c>
      <c r="J46" s="77">
        <v>5096413.6599999992</v>
      </c>
    </row>
    <row r="47" spans="2:10" x14ac:dyDescent="0.25">
      <c r="D47" s="73">
        <v>110259</v>
      </c>
      <c r="E47" s="76" t="s">
        <v>4</v>
      </c>
      <c r="F47" s="73" t="s">
        <v>53</v>
      </c>
      <c r="G47" s="77">
        <v>1329813.17</v>
      </c>
      <c r="H47" s="78">
        <v>2085996.4</v>
      </c>
      <c r="I47" s="77">
        <v>5811843.6100000003</v>
      </c>
      <c r="J47" s="77">
        <v>9227653.1799999997</v>
      </c>
    </row>
    <row r="48" spans="2:10" x14ac:dyDescent="0.25">
      <c r="D48" s="73">
        <v>110260</v>
      </c>
      <c r="E48" s="76" t="s">
        <v>54</v>
      </c>
      <c r="F48" s="73" t="s">
        <v>53</v>
      </c>
      <c r="G48" s="77">
        <v>12502386.23</v>
      </c>
      <c r="H48" s="78">
        <v>2621535.2300000023</v>
      </c>
      <c r="I48" s="77">
        <v>9206991.0799999963</v>
      </c>
      <c r="J48" s="77">
        <v>24330912.539999999</v>
      </c>
    </row>
    <row r="49" spans="3:10" x14ac:dyDescent="0.25">
      <c r="D49" s="73">
        <v>110261</v>
      </c>
      <c r="E49" s="76" t="s">
        <v>6</v>
      </c>
      <c r="F49" s="73" t="s">
        <v>53</v>
      </c>
      <c r="G49" s="77">
        <v>2607964.29</v>
      </c>
      <c r="H49" s="78">
        <v>3396654.3499999996</v>
      </c>
      <c r="I49" s="77">
        <v>7278573.2500000028</v>
      </c>
      <c r="J49" s="77">
        <v>13283191.890000002</v>
      </c>
    </row>
    <row r="50" spans="3:10" x14ac:dyDescent="0.25">
      <c r="D50" s="73">
        <v>110262</v>
      </c>
      <c r="E50" s="76" t="s">
        <v>5</v>
      </c>
      <c r="F50" s="73" t="s">
        <v>53</v>
      </c>
      <c r="G50" s="77">
        <v>4327412.16</v>
      </c>
      <c r="H50" s="78">
        <v>1835281.1099999999</v>
      </c>
      <c r="I50" s="77">
        <v>3198392.9999999986</v>
      </c>
      <c r="J50" s="77">
        <v>9361086.2699999977</v>
      </c>
    </row>
    <row r="51" spans="3:10" x14ac:dyDescent="0.25">
      <c r="D51" s="73">
        <v>110432</v>
      </c>
      <c r="E51" s="76" t="s">
        <v>22</v>
      </c>
      <c r="F51" s="73" t="s">
        <v>53</v>
      </c>
      <c r="G51" s="77">
        <v>583514.33000000007</v>
      </c>
      <c r="H51" s="78">
        <v>11198586.300000001</v>
      </c>
      <c r="I51" s="77">
        <v>14154281.73</v>
      </c>
      <c r="J51" s="77">
        <v>25936382.359999999</v>
      </c>
    </row>
    <row r="52" spans="3:10" x14ac:dyDescent="0.25">
      <c r="D52" s="73">
        <v>110440</v>
      </c>
      <c r="E52" s="76" t="s">
        <v>21</v>
      </c>
      <c r="F52" s="73" t="s">
        <v>53</v>
      </c>
      <c r="G52" s="77">
        <v>598210.35</v>
      </c>
      <c r="H52" s="78">
        <v>4732490.5300000012</v>
      </c>
      <c r="I52" s="77">
        <v>7405050.6800000006</v>
      </c>
      <c r="J52" s="77">
        <v>12735751.560000002</v>
      </c>
    </row>
    <row r="53" spans="3:10" x14ac:dyDescent="0.25">
      <c r="D53" s="73">
        <v>110441</v>
      </c>
      <c r="E53" s="76" t="s">
        <v>20</v>
      </c>
      <c r="F53" s="73" t="s">
        <v>53</v>
      </c>
      <c r="G53" s="77">
        <v>455842.25</v>
      </c>
      <c r="H53" s="78">
        <v>29800316.460000001</v>
      </c>
      <c r="I53" s="77">
        <v>4343859.7399999984</v>
      </c>
      <c r="J53" s="77">
        <v>34600018.450000003</v>
      </c>
    </row>
    <row r="54" spans="3:10" x14ac:dyDescent="0.25">
      <c r="D54" s="73">
        <v>110442</v>
      </c>
      <c r="E54" s="76" t="s">
        <v>2</v>
      </c>
      <c r="F54" s="73" t="s">
        <v>53</v>
      </c>
      <c r="G54" s="77">
        <v>1049006.6599999999</v>
      </c>
      <c r="H54" s="78">
        <v>6901.1699999996927</v>
      </c>
      <c r="I54" s="77">
        <v>3243613.4399999995</v>
      </c>
      <c r="J54" s="77">
        <v>4299521.2699999996</v>
      </c>
    </row>
    <row r="55" spans="3:10" x14ac:dyDescent="0.25">
      <c r="D55" s="73">
        <v>110467</v>
      </c>
      <c r="E55" s="76" t="s">
        <v>10</v>
      </c>
      <c r="F55" s="73" t="s">
        <v>53</v>
      </c>
      <c r="G55" s="77">
        <v>1242841.52</v>
      </c>
      <c r="H55" s="78">
        <v>788533.85</v>
      </c>
      <c r="I55" s="77">
        <v>317670.89000000036</v>
      </c>
      <c r="J55" s="77">
        <v>2349046.2600000007</v>
      </c>
    </row>
    <row r="56" spans="3:10" x14ac:dyDescent="0.25">
      <c r="D56" s="73">
        <v>110492</v>
      </c>
      <c r="E56" s="76" t="s">
        <v>19</v>
      </c>
      <c r="F56" s="73" t="s">
        <v>53</v>
      </c>
      <c r="G56" s="77">
        <v>201705.04999999987</v>
      </c>
      <c r="H56" s="78">
        <v>8682235.820000004</v>
      </c>
      <c r="I56" s="77">
        <v>833227.0199999999</v>
      </c>
      <c r="J56" s="77">
        <v>9717167.8900000043</v>
      </c>
    </row>
    <row r="57" spans="3:10" x14ac:dyDescent="0.25">
      <c r="D57" s="73">
        <v>110521</v>
      </c>
      <c r="E57" s="76" t="s">
        <v>1</v>
      </c>
      <c r="F57" s="73" t="s">
        <v>53</v>
      </c>
      <c r="G57" s="77">
        <v>35058.050000000003</v>
      </c>
      <c r="H57" s="78">
        <v>38395.630000000005</v>
      </c>
      <c r="I57" s="77">
        <v>110343.66999999998</v>
      </c>
      <c r="J57" s="77">
        <v>183797.34999999998</v>
      </c>
    </row>
    <row r="58" spans="3:10" x14ac:dyDescent="0.25">
      <c r="D58" s="73">
        <v>110537</v>
      </c>
      <c r="E58" s="76" t="s">
        <v>9</v>
      </c>
      <c r="F58" s="73" t="s">
        <v>53</v>
      </c>
      <c r="G58" s="77"/>
      <c r="H58" s="78">
        <v>867393.21000000008</v>
      </c>
      <c r="I58" s="77">
        <v>16044.91</v>
      </c>
      <c r="J58" s="77">
        <v>883438.12000000011</v>
      </c>
    </row>
    <row r="59" spans="3:10" x14ac:dyDescent="0.25">
      <c r="D59" s="73">
        <v>110647</v>
      </c>
      <c r="E59" s="76" t="s">
        <v>30</v>
      </c>
      <c r="F59" s="73" t="s">
        <v>53</v>
      </c>
      <c r="G59" s="77">
        <v>188303.15</v>
      </c>
      <c r="H59" s="78">
        <v>5880078.8799999999</v>
      </c>
      <c r="I59" s="77"/>
      <c r="J59" s="77">
        <v>6068382.0300000003</v>
      </c>
    </row>
    <row r="60" spans="3:10" x14ac:dyDescent="0.25">
      <c r="D60" s="73">
        <v>110687</v>
      </c>
      <c r="E60" s="76" t="s">
        <v>81</v>
      </c>
      <c r="F60" s="73" t="s">
        <v>53</v>
      </c>
      <c r="G60" s="77">
        <v>4307140.22</v>
      </c>
      <c r="H60" s="78">
        <v>4738182.0999999996</v>
      </c>
      <c r="I60" s="77">
        <v>1160708.45</v>
      </c>
      <c r="J60" s="77">
        <v>10206030.77</v>
      </c>
    </row>
    <row r="61" spans="3:10" x14ac:dyDescent="0.25">
      <c r="C61" s="73" t="s">
        <v>65</v>
      </c>
      <c r="F61" s="73"/>
      <c r="G61" s="77">
        <v>34336682.890000001</v>
      </c>
      <c r="H61" s="77">
        <v>85296515.359999999</v>
      </c>
      <c r="I61" s="77">
        <v>75011083.859999999</v>
      </c>
      <c r="J61" s="77">
        <v>194644282.11000004</v>
      </c>
    </row>
    <row r="62" spans="3:10" x14ac:dyDescent="0.25">
      <c r="C62" s="73" t="s">
        <v>66</v>
      </c>
      <c r="D62" s="73">
        <v>110000</v>
      </c>
      <c r="E62" s="73" t="s">
        <v>67</v>
      </c>
      <c r="F62" s="73" t="s">
        <v>114</v>
      </c>
      <c r="G62" s="79"/>
      <c r="H62" s="79">
        <v>11264.859999999997</v>
      </c>
      <c r="I62" s="79"/>
      <c r="J62" s="79">
        <v>11264.859999999997</v>
      </c>
    </row>
    <row r="63" spans="3:10" x14ac:dyDescent="0.25">
      <c r="D63" s="73">
        <v>110008</v>
      </c>
      <c r="E63" s="73" t="s">
        <v>69</v>
      </c>
      <c r="F63" s="73" t="s">
        <v>114</v>
      </c>
      <c r="G63" s="79">
        <v>7924.58</v>
      </c>
      <c r="H63" s="79">
        <v>4854729.25</v>
      </c>
      <c r="I63" s="79"/>
      <c r="J63" s="79">
        <v>4862653.83</v>
      </c>
    </row>
    <row r="64" spans="3:10" x14ac:dyDescent="0.25">
      <c r="D64" s="73">
        <v>110011</v>
      </c>
      <c r="E64" s="73" t="s">
        <v>70</v>
      </c>
      <c r="F64" s="73" t="s">
        <v>114</v>
      </c>
      <c r="G64" s="79"/>
      <c r="H64" s="79">
        <v>-14554.529999999999</v>
      </c>
      <c r="I64" s="79"/>
      <c r="J64" s="79">
        <v>-14554.529999999999</v>
      </c>
    </row>
    <row r="65" spans="3:10" x14ac:dyDescent="0.25">
      <c r="D65" s="73">
        <v>110012</v>
      </c>
      <c r="E65" s="73" t="s">
        <v>71</v>
      </c>
      <c r="F65" s="73" t="s">
        <v>114</v>
      </c>
      <c r="G65" s="79">
        <v>385324.77</v>
      </c>
      <c r="H65" s="79">
        <v>7648753.4100000011</v>
      </c>
      <c r="I65" s="79"/>
      <c r="J65" s="79">
        <v>8034078.1800000016</v>
      </c>
    </row>
    <row r="66" spans="3:10" x14ac:dyDescent="0.25">
      <c r="D66" s="73">
        <v>110013</v>
      </c>
      <c r="E66" s="73" t="s">
        <v>72</v>
      </c>
      <c r="F66" s="73" t="s">
        <v>114</v>
      </c>
      <c r="G66" s="79"/>
      <c r="H66" s="79">
        <v>519906.98999999993</v>
      </c>
      <c r="I66" s="79"/>
      <c r="J66" s="79">
        <v>519906.98999999993</v>
      </c>
    </row>
    <row r="67" spans="3:10" x14ac:dyDescent="0.25">
      <c r="D67" s="73">
        <v>110016</v>
      </c>
      <c r="E67" s="73" t="s">
        <v>73</v>
      </c>
      <c r="F67" s="73" t="s">
        <v>114</v>
      </c>
      <c r="G67" s="79"/>
      <c r="H67" s="79">
        <v>27251.55</v>
      </c>
      <c r="I67" s="79"/>
      <c r="J67" s="79">
        <v>27251.55</v>
      </c>
    </row>
    <row r="68" spans="3:10" x14ac:dyDescent="0.25">
      <c r="D68" s="73">
        <v>110017</v>
      </c>
      <c r="E68" s="73" t="s">
        <v>74</v>
      </c>
      <c r="F68" s="73" t="s">
        <v>114</v>
      </c>
      <c r="G68" s="79"/>
      <c r="H68" s="79">
        <v>117078.77</v>
      </c>
      <c r="I68" s="79"/>
      <c r="J68" s="79">
        <v>117078.77</v>
      </c>
    </row>
    <row r="69" spans="3:10" x14ac:dyDescent="0.25">
      <c r="D69" s="73">
        <v>110019</v>
      </c>
      <c r="E69" s="73" t="s">
        <v>75</v>
      </c>
      <c r="F69" s="73" t="s">
        <v>114</v>
      </c>
      <c r="G69" s="79"/>
      <c r="H69" s="79">
        <v>-115.72</v>
      </c>
      <c r="I69" s="79"/>
      <c r="J69" s="79">
        <v>-115.72</v>
      </c>
    </row>
    <row r="70" spans="3:10" x14ac:dyDescent="0.25">
      <c r="D70" s="73">
        <v>110040</v>
      </c>
      <c r="E70" s="73" t="s">
        <v>76</v>
      </c>
      <c r="F70" s="73" t="s">
        <v>114</v>
      </c>
      <c r="G70" s="79"/>
      <c r="H70" s="79">
        <v>42670.47</v>
      </c>
      <c r="I70" s="79"/>
      <c r="J70" s="79">
        <v>42670.47</v>
      </c>
    </row>
    <row r="71" spans="3:10" x14ac:dyDescent="0.25">
      <c r="D71" s="73">
        <v>110041</v>
      </c>
      <c r="E71" s="73" t="s">
        <v>77</v>
      </c>
      <c r="F71" s="73" t="s">
        <v>114</v>
      </c>
      <c r="G71" s="79"/>
      <c r="H71" s="79">
        <v>1214467.3799999999</v>
      </c>
      <c r="I71" s="79"/>
      <c r="J71" s="79">
        <v>1214467.3799999999</v>
      </c>
    </row>
    <row r="72" spans="3:10" x14ac:dyDescent="0.25">
      <c r="D72" s="73">
        <v>110046</v>
      </c>
      <c r="E72" s="73" t="s">
        <v>121</v>
      </c>
      <c r="F72" s="73" t="s">
        <v>114</v>
      </c>
      <c r="G72" s="79">
        <v>0</v>
      </c>
      <c r="H72" s="79"/>
      <c r="I72" s="79"/>
      <c r="J72" s="79">
        <v>0</v>
      </c>
    </row>
    <row r="73" spans="3:10" x14ac:dyDescent="0.25">
      <c r="D73" s="73">
        <v>110434</v>
      </c>
      <c r="E73" s="73" t="s">
        <v>79</v>
      </c>
      <c r="F73" s="73" t="s">
        <v>114</v>
      </c>
      <c r="G73" s="79"/>
      <c r="H73" s="79">
        <v>-936647.07</v>
      </c>
      <c r="I73" s="79"/>
      <c r="J73" s="79">
        <v>-936647.07</v>
      </c>
    </row>
    <row r="74" spans="3:10" x14ac:dyDescent="0.25">
      <c r="D74" s="73">
        <v>110518</v>
      </c>
      <c r="E74" s="73" t="s">
        <v>80</v>
      </c>
      <c r="F74" s="73" t="s">
        <v>114</v>
      </c>
      <c r="G74" s="79">
        <v>1079725.54</v>
      </c>
      <c r="H74" s="79">
        <v>19285721.309999999</v>
      </c>
      <c r="I74" s="79"/>
      <c r="J74" s="79">
        <v>20365446.849999998</v>
      </c>
    </row>
    <row r="75" spans="3:10" x14ac:dyDescent="0.25">
      <c r="D75" s="73">
        <v>110687</v>
      </c>
      <c r="E75" s="73" t="s">
        <v>81</v>
      </c>
      <c r="F75" s="73" t="s">
        <v>114</v>
      </c>
      <c r="G75" s="79"/>
      <c r="H75" s="79">
        <v>1241319.1200000001</v>
      </c>
      <c r="I75" s="79"/>
      <c r="J75" s="79">
        <v>1241319.1200000001</v>
      </c>
    </row>
    <row r="76" spans="3:10" x14ac:dyDescent="0.25">
      <c r="D76" s="73">
        <v>600183</v>
      </c>
      <c r="E76" s="73" t="s">
        <v>82</v>
      </c>
      <c r="F76" s="73" t="s">
        <v>114</v>
      </c>
      <c r="G76" s="79"/>
      <c r="H76" s="79">
        <v>79017.279999999999</v>
      </c>
      <c r="I76" s="79"/>
      <c r="J76" s="79">
        <v>79017.279999999999</v>
      </c>
    </row>
    <row r="77" spans="3:10" x14ac:dyDescent="0.25">
      <c r="C77" s="73" t="s">
        <v>83</v>
      </c>
      <c r="F77" s="73"/>
      <c r="G77" s="79">
        <v>1472974.8900000001</v>
      </c>
      <c r="H77" s="79">
        <v>34090863.07</v>
      </c>
      <c r="I77" s="79"/>
      <c r="J77" s="79">
        <v>35563837.960000001</v>
      </c>
    </row>
    <row r="78" spans="3:10" x14ac:dyDescent="0.25">
      <c r="C78" s="73" t="s">
        <v>84</v>
      </c>
      <c r="D78" s="73">
        <v>110021</v>
      </c>
      <c r="E78" s="73" t="s">
        <v>27</v>
      </c>
      <c r="F78" s="73" t="s">
        <v>85</v>
      </c>
      <c r="G78" s="79"/>
      <c r="H78" s="79"/>
      <c r="I78" s="79">
        <v>367975.5</v>
      </c>
      <c r="J78" s="79">
        <v>367975.5</v>
      </c>
    </row>
    <row r="79" spans="3:10" x14ac:dyDescent="0.25">
      <c r="D79" s="73">
        <v>110033</v>
      </c>
      <c r="E79" s="73" t="s">
        <v>48</v>
      </c>
      <c r="F79" s="73" t="s">
        <v>85</v>
      </c>
      <c r="G79" s="79">
        <v>1480892.38</v>
      </c>
      <c r="H79" s="79"/>
      <c r="I79" s="79"/>
      <c r="J79" s="79">
        <v>1480892.38</v>
      </c>
    </row>
    <row r="80" spans="3:10" x14ac:dyDescent="0.25">
      <c r="D80" s="73">
        <v>110042</v>
      </c>
      <c r="E80" s="73" t="s">
        <v>29</v>
      </c>
      <c r="F80" s="73" t="s">
        <v>87</v>
      </c>
      <c r="G80" s="79"/>
      <c r="H80" s="79">
        <v>1738531.81</v>
      </c>
      <c r="I80" s="79"/>
      <c r="J80" s="79">
        <v>1738531.81</v>
      </c>
    </row>
    <row r="81" spans="3:10" x14ac:dyDescent="0.25">
      <c r="F81" s="73" t="s">
        <v>85</v>
      </c>
      <c r="G81" s="79"/>
      <c r="H81" s="79"/>
      <c r="I81" s="79">
        <v>59124.95</v>
      </c>
      <c r="J81" s="79">
        <v>59124.95</v>
      </c>
    </row>
    <row r="82" spans="3:10" x14ac:dyDescent="0.25">
      <c r="D82" s="73">
        <v>110070</v>
      </c>
      <c r="E82" s="73" t="s">
        <v>50</v>
      </c>
      <c r="F82" s="73" t="s">
        <v>85</v>
      </c>
      <c r="G82" s="79"/>
      <c r="H82" s="79"/>
      <c r="I82" s="79">
        <v>28720.560000000001</v>
      </c>
      <c r="J82" s="79">
        <v>28720.560000000001</v>
      </c>
    </row>
    <row r="83" spans="3:10" x14ac:dyDescent="0.25">
      <c r="F83" s="73" t="s">
        <v>49</v>
      </c>
      <c r="G83" s="79"/>
      <c r="H83" s="79">
        <v>1143.0700000000024</v>
      </c>
      <c r="I83" s="79">
        <v>-2113.12</v>
      </c>
      <c r="J83" s="79">
        <v>-970.04999999999745</v>
      </c>
    </row>
    <row r="84" spans="3:10" x14ac:dyDescent="0.25">
      <c r="D84" s="73">
        <v>110111</v>
      </c>
      <c r="E84" s="73" t="s">
        <v>88</v>
      </c>
      <c r="F84" s="73" t="s">
        <v>89</v>
      </c>
      <c r="G84" s="79"/>
      <c r="H84" s="79">
        <v>569912.3600000001</v>
      </c>
      <c r="I84" s="79">
        <v>8362.39</v>
      </c>
      <c r="J84" s="79">
        <v>578274.75000000012</v>
      </c>
    </row>
    <row r="85" spans="3:10" x14ac:dyDescent="0.25">
      <c r="D85" s="73">
        <v>110117</v>
      </c>
      <c r="E85" s="73" t="s">
        <v>0</v>
      </c>
      <c r="F85" s="73" t="s">
        <v>85</v>
      </c>
      <c r="G85" s="79"/>
      <c r="H85" s="79"/>
      <c r="I85" s="79">
        <v>33457.11</v>
      </c>
      <c r="J85" s="79">
        <v>33457.11</v>
      </c>
    </row>
    <row r="86" spans="3:10" x14ac:dyDescent="0.25">
      <c r="F86" s="73" t="s">
        <v>122</v>
      </c>
      <c r="G86" s="79"/>
      <c r="H86" s="79">
        <v>51577.760000000002</v>
      </c>
      <c r="I86" s="79"/>
      <c r="J86" s="79">
        <v>51577.760000000002</v>
      </c>
    </row>
    <row r="87" spans="3:10" x14ac:dyDescent="0.25">
      <c r="D87" s="73">
        <v>110132</v>
      </c>
      <c r="E87" s="73" t="s">
        <v>90</v>
      </c>
      <c r="F87" s="73" t="s">
        <v>49</v>
      </c>
      <c r="G87" s="79"/>
      <c r="H87" s="79">
        <v>-173446.8</v>
      </c>
      <c r="I87" s="79"/>
      <c r="J87" s="79">
        <v>-173446.8</v>
      </c>
    </row>
    <row r="88" spans="3:10" x14ac:dyDescent="0.25">
      <c r="D88" s="73">
        <v>110418</v>
      </c>
      <c r="E88" s="73" t="s">
        <v>91</v>
      </c>
      <c r="F88" s="73" t="s">
        <v>92</v>
      </c>
      <c r="G88" s="79"/>
      <c r="H88" s="79">
        <v>187500</v>
      </c>
      <c r="I88" s="79"/>
      <c r="J88" s="79">
        <v>187500</v>
      </c>
    </row>
    <row r="89" spans="3:10" x14ac:dyDescent="0.25">
      <c r="D89" s="73">
        <v>110502</v>
      </c>
      <c r="E89" s="73" t="s">
        <v>94</v>
      </c>
      <c r="F89" s="73" t="s">
        <v>95</v>
      </c>
      <c r="G89" s="79"/>
      <c r="H89" s="79">
        <v>7839.13</v>
      </c>
      <c r="I89" s="79"/>
      <c r="J89" s="79">
        <v>7839.13</v>
      </c>
    </row>
    <row r="90" spans="3:10" x14ac:dyDescent="0.25">
      <c r="D90" s="73">
        <v>110557</v>
      </c>
      <c r="E90" s="73" t="s">
        <v>97</v>
      </c>
      <c r="F90" s="73" t="s">
        <v>85</v>
      </c>
      <c r="G90" s="79"/>
      <c r="H90" s="79"/>
      <c r="I90" s="79">
        <v>1771.96</v>
      </c>
      <c r="J90" s="79">
        <v>1771.96</v>
      </c>
    </row>
    <row r="91" spans="3:10" x14ac:dyDescent="0.25">
      <c r="D91" s="73">
        <v>110597</v>
      </c>
      <c r="E91" s="73" t="s">
        <v>98</v>
      </c>
      <c r="F91" s="73" t="s">
        <v>85</v>
      </c>
      <c r="G91" s="79"/>
      <c r="H91" s="79"/>
      <c r="I91" s="79">
        <v>5806.5</v>
      </c>
      <c r="J91" s="79">
        <v>5806.5</v>
      </c>
    </row>
    <row r="92" spans="3:10" x14ac:dyDescent="0.25">
      <c r="D92" s="73">
        <v>110612</v>
      </c>
      <c r="E92" s="73" t="s">
        <v>99</v>
      </c>
      <c r="F92" s="73" t="s">
        <v>85</v>
      </c>
      <c r="G92" s="79"/>
      <c r="H92" s="79"/>
      <c r="I92" s="79">
        <v>990.28</v>
      </c>
      <c r="J92" s="79">
        <v>990.28</v>
      </c>
    </row>
    <row r="93" spans="3:10" x14ac:dyDescent="0.25">
      <c r="C93" s="73" t="s">
        <v>100</v>
      </c>
      <c r="F93" s="73"/>
      <c r="G93" s="79">
        <v>1480892.38</v>
      </c>
      <c r="H93" s="79">
        <v>2383057.33</v>
      </c>
      <c r="I93" s="79">
        <v>504096.13000000006</v>
      </c>
      <c r="J93" s="79">
        <v>4368045.8400000008</v>
      </c>
    </row>
    <row r="94" spans="3:10" x14ac:dyDescent="0.25">
      <c r="C94" s="73" t="s">
        <v>101</v>
      </c>
      <c r="D94" s="73">
        <v>110090</v>
      </c>
      <c r="E94" s="73" t="s">
        <v>102</v>
      </c>
      <c r="F94" s="73" t="s">
        <v>114</v>
      </c>
      <c r="G94" s="79"/>
      <c r="H94" s="79">
        <v>87252892.090000004</v>
      </c>
      <c r="I94" s="79"/>
      <c r="J94" s="79">
        <v>87252892.090000004</v>
      </c>
    </row>
    <row r="95" spans="3:10" x14ac:dyDescent="0.25">
      <c r="D95" s="73">
        <v>110433</v>
      </c>
      <c r="E95" s="73" t="s">
        <v>103</v>
      </c>
      <c r="F95" s="73" t="s">
        <v>114</v>
      </c>
      <c r="G95" s="79">
        <v>5951400.7300000004</v>
      </c>
      <c r="H95" s="79">
        <v>114202686.93000001</v>
      </c>
      <c r="I95" s="79"/>
      <c r="J95" s="79">
        <v>120154087.66000001</v>
      </c>
    </row>
    <row r="96" spans="3:10" x14ac:dyDescent="0.25">
      <c r="C96" s="73" t="s">
        <v>104</v>
      </c>
      <c r="F96" s="73"/>
      <c r="G96" s="79">
        <v>5951400.7300000004</v>
      </c>
      <c r="H96" s="79">
        <v>201455579.02000001</v>
      </c>
      <c r="I96" s="79"/>
      <c r="J96" s="79">
        <v>207406979.75</v>
      </c>
    </row>
    <row r="97" spans="1:10" x14ac:dyDescent="0.25">
      <c r="B97" s="73" t="s">
        <v>105</v>
      </c>
      <c r="F97" s="73"/>
      <c r="G97" s="79">
        <v>43241950.890000001</v>
      </c>
      <c r="H97" s="79">
        <v>323226014.77999997</v>
      </c>
      <c r="I97" s="79">
        <v>75515179.989999995</v>
      </c>
      <c r="J97" s="79">
        <v>441983145.66000015</v>
      </c>
    </row>
    <row r="98" spans="1:10" x14ac:dyDescent="0.25">
      <c r="A98" s="73" t="s">
        <v>106</v>
      </c>
      <c r="F98" s="73"/>
      <c r="G98" s="79">
        <v>43389617.300000012</v>
      </c>
      <c r="H98" s="79">
        <v>340029718.06999993</v>
      </c>
      <c r="I98" s="79">
        <v>75643498.169999987</v>
      </c>
      <c r="J98" s="79">
        <v>459062833.54000014</v>
      </c>
    </row>
    <row r="99" spans="1:10" x14ac:dyDescent="0.25">
      <c r="A99" s="73" t="s">
        <v>123</v>
      </c>
      <c r="B99" s="73" t="s">
        <v>63</v>
      </c>
      <c r="C99" s="73" t="s">
        <v>66</v>
      </c>
      <c r="D99" s="73">
        <v>110011</v>
      </c>
      <c r="E99" s="73" t="s">
        <v>70</v>
      </c>
      <c r="F99" s="73" t="s">
        <v>114</v>
      </c>
      <c r="G99" s="79"/>
      <c r="H99" s="79">
        <v>-21128.559999999998</v>
      </c>
      <c r="I99" s="79"/>
      <c r="J99" s="79">
        <v>-21128.559999999998</v>
      </c>
    </row>
    <row r="100" spans="1:10" x14ac:dyDescent="0.25">
      <c r="D100" s="73">
        <v>110453</v>
      </c>
      <c r="E100" s="73" t="s">
        <v>113</v>
      </c>
      <c r="F100" s="73" t="s">
        <v>114</v>
      </c>
      <c r="G100" s="79"/>
      <c r="H100" s="79">
        <v>5889.2400000000198</v>
      </c>
      <c r="I100" s="79"/>
      <c r="J100" s="79">
        <v>5889.2400000000198</v>
      </c>
    </row>
    <row r="101" spans="1:10" x14ac:dyDescent="0.25">
      <c r="D101" s="73">
        <v>110617</v>
      </c>
      <c r="E101" s="73" t="s">
        <v>115</v>
      </c>
      <c r="F101" s="73" t="s">
        <v>114</v>
      </c>
      <c r="G101" s="79"/>
      <c r="H101" s="79">
        <v>29223.559999999998</v>
      </c>
      <c r="I101" s="79"/>
      <c r="J101" s="79">
        <v>29223.559999999998</v>
      </c>
    </row>
    <row r="102" spans="1:10" x14ac:dyDescent="0.25">
      <c r="C102" s="73" t="s">
        <v>83</v>
      </c>
      <c r="F102" s="73"/>
      <c r="G102" s="79"/>
      <c r="H102" s="79">
        <v>13984.24000000002</v>
      </c>
      <c r="I102" s="79"/>
      <c r="J102" s="79">
        <v>13984.24000000002</v>
      </c>
    </row>
    <row r="103" spans="1:10" x14ac:dyDescent="0.25">
      <c r="B103" s="73" t="s">
        <v>105</v>
      </c>
      <c r="F103" s="73"/>
      <c r="G103" s="79"/>
      <c r="H103" s="79">
        <v>13984.24000000002</v>
      </c>
      <c r="I103" s="79"/>
      <c r="J103" s="79">
        <v>13984.24000000002</v>
      </c>
    </row>
    <row r="104" spans="1:10" x14ac:dyDescent="0.25">
      <c r="A104" s="73" t="s">
        <v>124</v>
      </c>
      <c r="F104" s="73"/>
      <c r="H104" s="75">
        <v>13984.24000000002</v>
      </c>
      <c r="J104" s="75">
        <v>13984.24000000002</v>
      </c>
    </row>
    <row r="105" spans="1:10" x14ac:dyDescent="0.25">
      <c r="A105" s="73" t="s">
        <v>41</v>
      </c>
      <c r="F105" s="73"/>
      <c r="G105" s="75">
        <v>43605089.770000011</v>
      </c>
      <c r="H105" s="75">
        <v>366660599.97000003</v>
      </c>
      <c r="I105" s="75">
        <v>75643498.169999987</v>
      </c>
      <c r="J105" s="75">
        <v>485909187.91000003</v>
      </c>
    </row>
    <row r="106" spans="1:10" x14ac:dyDescent="0.25">
      <c r="A106"/>
      <c r="B106"/>
      <c r="C106"/>
      <c r="D106"/>
      <c r="E106"/>
      <c r="F106"/>
      <c r="G106" s="52"/>
      <c r="H106" s="52"/>
      <c r="I106" s="52"/>
      <c r="J106" s="52"/>
    </row>
    <row r="107" spans="1:10" x14ac:dyDescent="0.25">
      <c r="A107"/>
      <c r="B107"/>
      <c r="C107"/>
      <c r="D107"/>
      <c r="E107"/>
      <c r="F107"/>
      <c r="G107" s="52"/>
      <c r="H107" s="52"/>
      <c r="I107" s="52"/>
      <c r="J107" s="52"/>
    </row>
    <row r="108" spans="1:10" x14ac:dyDescent="0.25">
      <c r="A108"/>
      <c r="B108"/>
      <c r="C108"/>
      <c r="D108"/>
      <c r="E108"/>
      <c r="F108"/>
      <c r="G108" s="52"/>
      <c r="H108" s="52"/>
      <c r="I108" s="52"/>
      <c r="J108" s="52"/>
    </row>
    <row r="109" spans="1:10" x14ac:dyDescent="0.25">
      <c r="A109"/>
      <c r="B109"/>
      <c r="C109"/>
      <c r="D109"/>
      <c r="E109"/>
      <c r="F109"/>
      <c r="G109" s="52"/>
      <c r="H109" s="52"/>
      <c r="I109" s="52"/>
      <c r="J109" s="52"/>
    </row>
    <row r="110" spans="1:10" x14ac:dyDescent="0.25">
      <c r="A110"/>
      <c r="B110"/>
      <c r="C110"/>
      <c r="D110"/>
      <c r="E110"/>
      <c r="F110"/>
      <c r="G110" s="52"/>
      <c r="H110" s="52"/>
      <c r="I110" s="52"/>
      <c r="J110" s="52"/>
    </row>
    <row r="111" spans="1:10" x14ac:dyDescent="0.25">
      <c r="A111"/>
      <c r="B111"/>
      <c r="C111"/>
      <c r="D111"/>
      <c r="E111"/>
      <c r="F111"/>
      <c r="G111" s="52"/>
      <c r="H111" s="52"/>
      <c r="I111" s="52"/>
      <c r="J111" s="52"/>
    </row>
    <row r="112" spans="1:10" x14ac:dyDescent="0.25">
      <c r="A112"/>
      <c r="B112"/>
      <c r="C112"/>
      <c r="D112"/>
      <c r="E112"/>
      <c r="F112"/>
      <c r="G112" s="52"/>
      <c r="H112" s="52"/>
      <c r="I112" s="52"/>
      <c r="J112" s="52"/>
    </row>
    <row r="113" spans="1:10" x14ac:dyDescent="0.25">
      <c r="A113"/>
      <c r="B113"/>
      <c r="C113"/>
      <c r="D113"/>
      <c r="E113"/>
      <c r="F113"/>
      <c r="G113" s="52"/>
      <c r="H113" s="52"/>
      <c r="I113" s="52"/>
      <c r="J113" s="52"/>
    </row>
    <row r="114" spans="1:10" x14ac:dyDescent="0.25">
      <c r="A114"/>
      <c r="B114"/>
      <c r="C114"/>
      <c r="D114"/>
      <c r="E114"/>
      <c r="F114"/>
      <c r="G114" s="52"/>
      <c r="H114" s="52"/>
      <c r="I114" s="52"/>
      <c r="J114" s="52"/>
    </row>
    <row r="115" spans="1:10" x14ac:dyDescent="0.25">
      <c r="A115"/>
      <c r="B115"/>
      <c r="C115"/>
      <c r="D115"/>
      <c r="E115"/>
      <c r="F115"/>
      <c r="G115" s="52"/>
      <c r="H115" s="52"/>
      <c r="I115" s="52"/>
      <c r="J115" s="52"/>
    </row>
    <row r="116" spans="1:10" x14ac:dyDescent="0.25">
      <c r="A116"/>
      <c r="B116"/>
      <c r="C116"/>
      <c r="D116"/>
      <c r="E116"/>
      <c r="F116"/>
      <c r="G116" s="52"/>
      <c r="H116" s="52"/>
      <c r="I116" s="52"/>
      <c r="J116" s="52"/>
    </row>
    <row r="117" spans="1:10" x14ac:dyDescent="0.25">
      <c r="A117"/>
      <c r="B117"/>
      <c r="C117"/>
      <c r="D117"/>
      <c r="E117"/>
      <c r="F117"/>
      <c r="G117" s="52"/>
      <c r="H117" s="52"/>
      <c r="I117" s="52"/>
      <c r="J117" s="52"/>
    </row>
    <row r="118" spans="1:10" x14ac:dyDescent="0.25">
      <c r="A118"/>
      <c r="B118"/>
      <c r="C118"/>
      <c r="D118"/>
      <c r="E118"/>
      <c r="F118"/>
      <c r="G118" s="52"/>
      <c r="H118" s="52"/>
      <c r="I118" s="52"/>
      <c r="J118" s="52"/>
    </row>
    <row r="119" spans="1:10" x14ac:dyDescent="0.25">
      <c r="A119"/>
      <c r="B119"/>
      <c r="C119"/>
      <c r="D119"/>
      <c r="E119"/>
      <c r="F119"/>
      <c r="G119" s="52"/>
      <c r="H119" s="52"/>
      <c r="I119" s="52"/>
      <c r="J119" s="52"/>
    </row>
    <row r="120" spans="1:10" x14ac:dyDescent="0.25">
      <c r="A120"/>
      <c r="B120"/>
      <c r="C120"/>
      <c r="D120"/>
      <c r="E120"/>
      <c r="F120"/>
      <c r="G120" s="52"/>
      <c r="H120" s="52"/>
      <c r="I120" s="52"/>
      <c r="J120" s="52"/>
    </row>
    <row r="121" spans="1:10" x14ac:dyDescent="0.25">
      <c r="A121"/>
      <c r="B121"/>
      <c r="C121"/>
      <c r="D121"/>
      <c r="E121"/>
      <c r="F121"/>
      <c r="G121" s="52"/>
      <c r="H121" s="52"/>
      <c r="I121" s="52"/>
      <c r="J121" s="52"/>
    </row>
    <row r="122" spans="1:10" x14ac:dyDescent="0.25">
      <c r="A122"/>
      <c r="B122"/>
      <c r="C122"/>
      <c r="D122"/>
      <c r="E122"/>
      <c r="F122"/>
      <c r="G122" s="52"/>
      <c r="H122" s="52"/>
      <c r="I122" s="52"/>
      <c r="J122" s="52"/>
    </row>
    <row r="123" spans="1:10" x14ac:dyDescent="0.25">
      <c r="A123"/>
      <c r="B123"/>
      <c r="C123"/>
      <c r="D123"/>
      <c r="E123"/>
      <c r="F123"/>
      <c r="G123" s="52"/>
      <c r="H123" s="52"/>
      <c r="I123" s="52"/>
      <c r="J123" s="52"/>
    </row>
    <row r="124" spans="1:10" x14ac:dyDescent="0.25">
      <c r="A124"/>
      <c r="B124"/>
      <c r="C124"/>
      <c r="D124"/>
      <c r="E124"/>
      <c r="F124"/>
      <c r="G124" s="52"/>
      <c r="H124" s="52"/>
      <c r="I124" s="52"/>
      <c r="J124" s="52"/>
    </row>
    <row r="125" spans="1:10" x14ac:dyDescent="0.25">
      <c r="A125"/>
      <c r="B125"/>
      <c r="C125"/>
      <c r="D125"/>
      <c r="E125"/>
      <c r="F125"/>
      <c r="G125" s="52"/>
      <c r="H125" s="52"/>
      <c r="I125" s="52"/>
      <c r="J125" s="52"/>
    </row>
    <row r="126" spans="1:10" x14ac:dyDescent="0.25">
      <c r="A126"/>
      <c r="B126"/>
      <c r="C126"/>
      <c r="D126"/>
      <c r="E126"/>
      <c r="F126"/>
      <c r="G126" s="52"/>
      <c r="H126" s="52"/>
      <c r="I126" s="52"/>
      <c r="J126" s="52"/>
    </row>
    <row r="127" spans="1:10" x14ac:dyDescent="0.25">
      <c r="A127"/>
      <c r="B127"/>
      <c r="C127"/>
      <c r="D127"/>
      <c r="E127"/>
      <c r="F127"/>
      <c r="G127" s="52"/>
      <c r="H127" s="52"/>
      <c r="I127" s="52"/>
      <c r="J127" s="52"/>
    </row>
    <row r="128" spans="1:10" x14ac:dyDescent="0.25">
      <c r="A128"/>
      <c r="B128"/>
      <c r="C128"/>
      <c r="D128"/>
      <c r="E128"/>
      <c r="F128"/>
      <c r="G128" s="52"/>
      <c r="H128" s="52"/>
      <c r="I128" s="52"/>
      <c r="J128" s="52"/>
    </row>
    <row r="129" spans="1:10" x14ac:dyDescent="0.25">
      <c r="A129"/>
      <c r="B129"/>
      <c r="C129"/>
      <c r="D129"/>
      <c r="E129"/>
      <c r="F129"/>
      <c r="G129" s="52"/>
      <c r="H129" s="52"/>
      <c r="I129" s="52"/>
      <c r="J129" s="52"/>
    </row>
    <row r="130" spans="1:10" x14ac:dyDescent="0.25">
      <c r="A130"/>
      <c r="B130"/>
      <c r="C130"/>
      <c r="D130"/>
      <c r="E130"/>
      <c r="F130"/>
      <c r="G130" s="52"/>
      <c r="H130" s="52"/>
      <c r="I130" s="52"/>
      <c r="J130" s="52"/>
    </row>
    <row r="131" spans="1:10" x14ac:dyDescent="0.25">
      <c r="A131"/>
      <c r="B131"/>
      <c r="C131"/>
      <c r="D131"/>
      <c r="E131"/>
      <c r="F131"/>
      <c r="G131" s="52"/>
      <c r="H131" s="52"/>
      <c r="I131" s="52"/>
      <c r="J131" s="52"/>
    </row>
    <row r="132" spans="1:10" x14ac:dyDescent="0.25">
      <c r="A132"/>
      <c r="B132"/>
      <c r="C132"/>
      <c r="D132"/>
      <c r="E132"/>
      <c r="F132"/>
      <c r="G132" s="52"/>
      <c r="H132" s="52"/>
      <c r="I132" s="52"/>
      <c r="J132" s="52"/>
    </row>
    <row r="133" spans="1:10" x14ac:dyDescent="0.25">
      <c r="A133"/>
      <c r="B133"/>
      <c r="C133"/>
      <c r="D133"/>
      <c r="E133"/>
      <c r="F133"/>
      <c r="G133" s="52"/>
      <c r="H133" s="52"/>
      <c r="I133" s="52"/>
      <c r="J133" s="52"/>
    </row>
    <row r="134" spans="1:10" x14ac:dyDescent="0.25">
      <c r="A134"/>
      <c r="B134"/>
      <c r="C134"/>
      <c r="D134"/>
      <c r="E134"/>
      <c r="F134"/>
      <c r="G134" s="52"/>
      <c r="H134" s="52"/>
      <c r="I134" s="52"/>
      <c r="J134" s="52"/>
    </row>
    <row r="135" spans="1:10" x14ac:dyDescent="0.25">
      <c r="A135"/>
      <c r="B135"/>
      <c r="C135"/>
      <c r="D135"/>
      <c r="E135"/>
      <c r="F135"/>
      <c r="G135" s="52"/>
      <c r="H135" s="52"/>
      <c r="I135" s="52"/>
      <c r="J135" s="52"/>
    </row>
    <row r="136" spans="1:10" x14ac:dyDescent="0.25">
      <c r="A136"/>
      <c r="B136"/>
      <c r="C136"/>
      <c r="D136"/>
      <c r="E136"/>
      <c r="F136"/>
      <c r="G136" s="52"/>
      <c r="H136" s="52"/>
      <c r="I136" s="52"/>
      <c r="J136" s="52"/>
    </row>
    <row r="137" spans="1:10" x14ac:dyDescent="0.25">
      <c r="A137"/>
      <c r="B137"/>
      <c r="C137"/>
      <c r="D137"/>
      <c r="E137"/>
      <c r="F137"/>
      <c r="G137" s="52"/>
      <c r="H137" s="52"/>
      <c r="I137" s="52"/>
      <c r="J137" s="52"/>
    </row>
    <row r="138" spans="1:10" x14ac:dyDescent="0.25">
      <c r="A138"/>
      <c r="B138"/>
      <c r="C138"/>
      <c r="D138"/>
      <c r="E138"/>
      <c r="F138"/>
      <c r="G138" s="52"/>
      <c r="H138" s="52"/>
      <c r="I138" s="52"/>
      <c r="J138" s="52"/>
    </row>
    <row r="139" spans="1:10" x14ac:dyDescent="0.25">
      <c r="A139"/>
      <c r="B139"/>
      <c r="C139"/>
      <c r="D139"/>
      <c r="E139"/>
      <c r="F139"/>
      <c r="G139" s="52"/>
      <c r="H139" s="52"/>
      <c r="I139" s="52"/>
      <c r="J139" s="52"/>
    </row>
    <row r="140" spans="1:10" x14ac:dyDescent="0.25">
      <c r="A140"/>
      <c r="B140"/>
      <c r="C140"/>
      <c r="D140"/>
      <c r="E140"/>
      <c r="F140"/>
      <c r="G140" s="52"/>
      <c r="H140" s="52"/>
      <c r="I140" s="52"/>
      <c r="J140" s="52"/>
    </row>
    <row r="141" spans="1:10" x14ac:dyDescent="0.25">
      <c r="A141"/>
      <c r="B141"/>
      <c r="C141"/>
      <c r="D141"/>
      <c r="E141"/>
      <c r="F141"/>
      <c r="G141" s="52"/>
      <c r="H141" s="52"/>
      <c r="I141" s="52"/>
      <c r="J141" s="52"/>
    </row>
    <row r="142" spans="1:10" x14ac:dyDescent="0.25">
      <c r="A142"/>
      <c r="B142"/>
      <c r="C142"/>
      <c r="D142"/>
      <c r="E142"/>
      <c r="F142"/>
      <c r="G142" s="52"/>
      <c r="H142" s="52"/>
      <c r="I142" s="52"/>
      <c r="J142" s="52"/>
    </row>
    <row r="143" spans="1:10" x14ac:dyDescent="0.25">
      <c r="A143"/>
      <c r="B143"/>
      <c r="C143"/>
      <c r="D143"/>
      <c r="E143"/>
      <c r="F143"/>
      <c r="G143" s="52"/>
      <c r="H143" s="52"/>
      <c r="I143" s="52"/>
      <c r="J143" s="52"/>
    </row>
    <row r="144" spans="1:10" x14ac:dyDescent="0.25">
      <c r="A144"/>
      <c r="B144"/>
      <c r="C144"/>
      <c r="D144"/>
      <c r="E144"/>
      <c r="F144"/>
      <c r="G144" s="52"/>
      <c r="H144" s="52"/>
      <c r="I144" s="52"/>
      <c r="J144" s="52"/>
    </row>
    <row r="145" spans="1:10" x14ac:dyDescent="0.25">
      <c r="A145"/>
      <c r="B145"/>
      <c r="C145"/>
      <c r="D145"/>
      <c r="E145"/>
      <c r="F145"/>
      <c r="G145" s="52"/>
      <c r="H145" s="52"/>
      <c r="I145" s="52"/>
      <c r="J145" s="52"/>
    </row>
    <row r="146" spans="1:10" x14ac:dyDescent="0.25">
      <c r="A146"/>
      <c r="B146"/>
      <c r="C146"/>
      <c r="D146"/>
      <c r="E146"/>
      <c r="F146"/>
      <c r="G146" s="52"/>
      <c r="H146" s="52"/>
      <c r="I146" s="52"/>
      <c r="J146" s="52"/>
    </row>
    <row r="147" spans="1:10" x14ac:dyDescent="0.25">
      <c r="A147"/>
      <c r="B147"/>
      <c r="C147"/>
      <c r="D147"/>
      <c r="E147"/>
      <c r="F147"/>
      <c r="G147" s="52"/>
      <c r="H147" s="52"/>
      <c r="I147" s="52"/>
      <c r="J147" s="52"/>
    </row>
    <row r="148" spans="1:10" x14ac:dyDescent="0.25">
      <c r="A148"/>
      <c r="B148"/>
      <c r="C148"/>
      <c r="D148"/>
      <c r="E148"/>
      <c r="F148"/>
      <c r="G148" s="52"/>
      <c r="H148" s="52"/>
      <c r="I148" s="52"/>
      <c r="J148" s="52"/>
    </row>
    <row r="149" spans="1:10" x14ac:dyDescent="0.25">
      <c r="A149"/>
      <c r="B149"/>
      <c r="C149"/>
      <c r="D149"/>
      <c r="E149"/>
      <c r="F149"/>
      <c r="G149" s="52"/>
      <c r="H149" s="52"/>
      <c r="I149" s="52"/>
      <c r="J149" s="52"/>
    </row>
    <row r="150" spans="1:10" x14ac:dyDescent="0.25">
      <c r="A150"/>
      <c r="B150"/>
      <c r="C150"/>
      <c r="D150"/>
      <c r="E150"/>
      <c r="F150"/>
      <c r="G150" s="52"/>
      <c r="H150" s="52"/>
      <c r="I150" s="52"/>
      <c r="J150" s="52"/>
    </row>
    <row r="151" spans="1:10" x14ac:dyDescent="0.25">
      <c r="A151"/>
      <c r="B151"/>
      <c r="C151"/>
      <c r="D151"/>
      <c r="E151"/>
      <c r="F151"/>
      <c r="G151" s="52"/>
      <c r="H151" s="52"/>
      <c r="I151" s="52"/>
      <c r="J151" s="52"/>
    </row>
    <row r="152" spans="1:10" x14ac:dyDescent="0.25">
      <c r="A152"/>
      <c r="B152"/>
      <c r="C152"/>
      <c r="D152"/>
      <c r="E152"/>
      <c r="F152"/>
      <c r="G152" s="52"/>
      <c r="H152" s="52"/>
      <c r="I152" s="52"/>
      <c r="J152" s="52"/>
    </row>
    <row r="153" spans="1:10" x14ac:dyDescent="0.25">
      <c r="A153"/>
      <c r="B153"/>
      <c r="C153"/>
      <c r="D153"/>
      <c r="E153"/>
      <c r="F153"/>
      <c r="G153" s="52"/>
      <c r="H153" s="52"/>
      <c r="I153" s="52"/>
      <c r="J153" s="52"/>
    </row>
    <row r="154" spans="1:10" x14ac:dyDescent="0.25">
      <c r="A154"/>
      <c r="B154"/>
      <c r="C154"/>
      <c r="D154"/>
      <c r="E154"/>
      <c r="F154"/>
      <c r="G154" s="52"/>
      <c r="H154" s="52"/>
      <c r="I154" s="52"/>
      <c r="J154" s="52"/>
    </row>
    <row r="155" spans="1:10" x14ac:dyDescent="0.25">
      <c r="A155"/>
      <c r="B155"/>
      <c r="C155"/>
      <c r="D155"/>
      <c r="E155"/>
      <c r="F155"/>
      <c r="G155" s="52"/>
      <c r="H155" s="52"/>
      <c r="I155" s="52"/>
      <c r="J155" s="52"/>
    </row>
    <row r="156" spans="1:10" x14ac:dyDescent="0.25">
      <c r="A156"/>
      <c r="B156"/>
      <c r="C156"/>
      <c r="D156"/>
      <c r="E156"/>
      <c r="F156"/>
      <c r="G156" s="52"/>
      <c r="H156" s="52"/>
      <c r="I156" s="52"/>
      <c r="J156" s="52"/>
    </row>
    <row r="157" spans="1:10" x14ac:dyDescent="0.25">
      <c r="A157"/>
      <c r="B157"/>
      <c r="C157"/>
      <c r="D157"/>
      <c r="E157"/>
      <c r="F157"/>
      <c r="G157" s="52"/>
      <c r="H157" s="52"/>
      <c r="I157" s="52"/>
      <c r="J157" s="52"/>
    </row>
    <row r="158" spans="1:10" x14ac:dyDescent="0.25">
      <c r="A158"/>
      <c r="B158"/>
      <c r="C158"/>
      <c r="D158"/>
      <c r="E158"/>
      <c r="F158"/>
      <c r="G158" s="52"/>
      <c r="H158" s="52"/>
      <c r="I158" s="52"/>
      <c r="J158" s="52"/>
    </row>
    <row r="159" spans="1:10" x14ac:dyDescent="0.25">
      <c r="A159"/>
      <c r="B159"/>
      <c r="C159"/>
      <c r="D159"/>
      <c r="E159"/>
      <c r="F159"/>
      <c r="G159" s="52"/>
      <c r="H159" s="52"/>
      <c r="I159" s="52"/>
      <c r="J159" s="52"/>
    </row>
    <row r="160" spans="1:10" x14ac:dyDescent="0.25">
      <c r="A160"/>
      <c r="B160"/>
      <c r="C160"/>
      <c r="D160"/>
      <c r="E160"/>
      <c r="F160"/>
      <c r="G160" s="52"/>
      <c r="H160" s="52"/>
      <c r="I160" s="52"/>
      <c r="J160" s="52"/>
    </row>
    <row r="161" spans="1:10" x14ac:dyDescent="0.25">
      <c r="A161"/>
      <c r="B161"/>
      <c r="C161"/>
      <c r="D161"/>
      <c r="E161"/>
      <c r="F161"/>
      <c r="G161" s="52"/>
      <c r="H161" s="52"/>
      <c r="I161" s="52"/>
      <c r="J161" s="52"/>
    </row>
    <row r="162" spans="1:10" x14ac:dyDescent="0.25">
      <c r="A162"/>
      <c r="B162"/>
      <c r="C162"/>
      <c r="D162"/>
      <c r="E162"/>
      <c r="F162"/>
      <c r="G162" s="52"/>
      <c r="H162" s="52"/>
      <c r="I162" s="52"/>
      <c r="J162" s="52"/>
    </row>
    <row r="163" spans="1:10" x14ac:dyDescent="0.25">
      <c r="A163"/>
      <c r="B163"/>
      <c r="C163"/>
      <c r="D163"/>
      <c r="E163"/>
      <c r="F163"/>
      <c r="G163" s="52"/>
      <c r="H163" s="52"/>
      <c r="I163" s="52"/>
      <c r="J163" s="52"/>
    </row>
    <row r="164" spans="1:10" x14ac:dyDescent="0.25">
      <c r="A164"/>
      <c r="B164"/>
      <c r="C164"/>
      <c r="D164"/>
      <c r="E164"/>
      <c r="F164"/>
      <c r="G164" s="52"/>
      <c r="H164" s="52"/>
      <c r="I164" s="52"/>
      <c r="J164" s="52"/>
    </row>
    <row r="165" spans="1:10" x14ac:dyDescent="0.25">
      <c r="A165"/>
      <c r="B165"/>
      <c r="C165"/>
      <c r="D165"/>
      <c r="E165"/>
      <c r="F165"/>
      <c r="G165" s="52"/>
      <c r="H165" s="52"/>
      <c r="I165" s="52"/>
      <c r="J165" s="52"/>
    </row>
    <row r="166" spans="1:10" x14ac:dyDescent="0.25">
      <c r="A166"/>
      <c r="B166"/>
      <c r="C166"/>
      <c r="D166"/>
      <c r="E166"/>
      <c r="F166"/>
      <c r="G166" s="52"/>
      <c r="H166" s="52"/>
      <c r="I166" s="52"/>
      <c r="J166" s="52"/>
    </row>
    <row r="167" spans="1:10" x14ac:dyDescent="0.25">
      <c r="A167"/>
      <c r="B167"/>
      <c r="C167"/>
      <c r="D167"/>
      <c r="E167"/>
      <c r="F167"/>
      <c r="G167" s="52"/>
      <c r="H167" s="52"/>
      <c r="I167" s="52"/>
      <c r="J167" s="52"/>
    </row>
    <row r="168" spans="1:10" x14ac:dyDescent="0.25">
      <c r="A168"/>
      <c r="B168"/>
      <c r="C168"/>
      <c r="D168"/>
      <c r="E168"/>
      <c r="F168"/>
      <c r="G168" s="52"/>
      <c r="H168" s="52"/>
      <c r="I168" s="52"/>
      <c r="J168" s="52"/>
    </row>
    <row r="169" spans="1:10" x14ac:dyDescent="0.25">
      <c r="A169"/>
      <c r="B169"/>
      <c r="C169"/>
      <c r="D169"/>
      <c r="E169"/>
      <c r="F169"/>
      <c r="G169" s="52"/>
      <c r="H169" s="52"/>
      <c r="I169" s="52"/>
      <c r="J169" s="52"/>
    </row>
    <row r="170" spans="1:10" x14ac:dyDescent="0.25">
      <c r="A170"/>
      <c r="B170"/>
      <c r="C170"/>
      <c r="D170"/>
      <c r="E170"/>
      <c r="F170"/>
      <c r="G170" s="52"/>
      <c r="H170" s="52"/>
      <c r="I170" s="52"/>
      <c r="J170" s="52"/>
    </row>
    <row r="171" spans="1:10" x14ac:dyDescent="0.25">
      <c r="A171"/>
      <c r="B171"/>
      <c r="C171"/>
      <c r="D171"/>
      <c r="E171"/>
      <c r="F171"/>
      <c r="G171" s="52"/>
      <c r="H171" s="52"/>
      <c r="I171" s="52"/>
      <c r="J171" s="52"/>
    </row>
    <row r="172" spans="1:10" x14ac:dyDescent="0.25">
      <c r="A172"/>
      <c r="B172"/>
      <c r="C172"/>
      <c r="D172"/>
      <c r="E172"/>
      <c r="F172"/>
      <c r="G172" s="52"/>
      <c r="H172" s="52"/>
      <c r="I172" s="52"/>
      <c r="J172" s="52"/>
    </row>
    <row r="173" spans="1:10" x14ac:dyDescent="0.25">
      <c r="A173"/>
      <c r="B173"/>
      <c r="C173"/>
      <c r="D173"/>
      <c r="E173"/>
      <c r="F173"/>
      <c r="G173" s="52"/>
      <c r="H173" s="52"/>
      <c r="I173" s="52"/>
      <c r="J173" s="52"/>
    </row>
    <row r="174" spans="1:10" x14ac:dyDescent="0.25">
      <c r="A174"/>
      <c r="B174"/>
      <c r="C174"/>
      <c r="D174"/>
      <c r="E174"/>
      <c r="F174"/>
      <c r="G174" s="52"/>
      <c r="H174" s="52"/>
      <c r="I174" s="52"/>
      <c r="J174" s="52"/>
    </row>
    <row r="175" spans="1:10" x14ac:dyDescent="0.25">
      <c r="A175"/>
      <c r="B175"/>
      <c r="C175"/>
      <c r="D175"/>
      <c r="E175"/>
      <c r="F175"/>
      <c r="G175" s="52"/>
      <c r="H175" s="52"/>
      <c r="I175" s="52"/>
      <c r="J175" s="52"/>
    </row>
    <row r="176" spans="1:10" x14ac:dyDescent="0.25">
      <c r="A176"/>
      <c r="B176"/>
      <c r="C176"/>
      <c r="D176"/>
      <c r="E176"/>
      <c r="F176"/>
      <c r="G176" s="52"/>
      <c r="H176" s="52"/>
      <c r="I176" s="52"/>
      <c r="J176" s="52"/>
    </row>
    <row r="177" spans="1:10" x14ac:dyDescent="0.25">
      <c r="A177"/>
      <c r="B177"/>
      <c r="C177"/>
      <c r="D177"/>
      <c r="E177"/>
      <c r="F177"/>
      <c r="G177" s="52"/>
      <c r="H177" s="52"/>
      <c r="I177" s="52"/>
      <c r="J177" s="52"/>
    </row>
    <row r="178" spans="1:10" x14ac:dyDescent="0.25">
      <c r="A178"/>
      <c r="B178"/>
      <c r="C178"/>
      <c r="D178"/>
      <c r="E178"/>
      <c r="F178"/>
      <c r="G178" s="52"/>
      <c r="H178" s="52"/>
      <c r="I178" s="52"/>
      <c r="J178" s="52"/>
    </row>
    <row r="179" spans="1:10" x14ac:dyDescent="0.25">
      <c r="A179"/>
      <c r="B179"/>
      <c r="C179"/>
      <c r="D179"/>
      <c r="E179"/>
      <c r="F179"/>
      <c r="G179" s="52"/>
      <c r="H179" s="52"/>
      <c r="I179" s="52"/>
      <c r="J179" s="52"/>
    </row>
    <row r="180" spans="1:10" x14ac:dyDescent="0.25">
      <c r="A180"/>
      <c r="B180"/>
      <c r="C180"/>
      <c r="D180"/>
      <c r="E180"/>
      <c r="F180"/>
      <c r="G180" s="52"/>
      <c r="H180" s="52"/>
      <c r="I180" s="52"/>
      <c r="J180" s="52"/>
    </row>
    <row r="181" spans="1:10" x14ac:dyDescent="0.25">
      <c r="A181"/>
      <c r="B181"/>
      <c r="C181"/>
      <c r="D181"/>
      <c r="E181"/>
      <c r="F181"/>
      <c r="G181" s="52"/>
      <c r="H181" s="52"/>
      <c r="I181" s="52"/>
      <c r="J181" s="52"/>
    </row>
    <row r="182" spans="1:10" x14ac:dyDescent="0.25">
      <c r="A182"/>
      <c r="B182"/>
      <c r="C182"/>
      <c r="D182"/>
      <c r="E182"/>
      <c r="F182"/>
      <c r="G182" s="52"/>
      <c r="H182" s="52"/>
      <c r="I182" s="52"/>
      <c r="J182" s="52"/>
    </row>
    <row r="183" spans="1:10" x14ac:dyDescent="0.25">
      <c r="A183"/>
      <c r="B183"/>
      <c r="C183"/>
      <c r="D183"/>
      <c r="E183"/>
      <c r="F183"/>
      <c r="G183" s="52"/>
      <c r="H183" s="52"/>
      <c r="I183" s="52"/>
      <c r="J183" s="52"/>
    </row>
    <row r="184" spans="1:10" x14ac:dyDescent="0.25">
      <c r="A184"/>
      <c r="B184"/>
      <c r="C184"/>
      <c r="D184"/>
      <c r="E184"/>
      <c r="F184"/>
      <c r="G184" s="52"/>
      <c r="H184" s="52"/>
      <c r="I184" s="52"/>
      <c r="J184" s="52"/>
    </row>
    <row r="185" spans="1:10" x14ac:dyDescent="0.25">
      <c r="A185"/>
      <c r="B185"/>
      <c r="C185"/>
      <c r="D185"/>
      <c r="E185"/>
      <c r="F185"/>
      <c r="G185" s="52"/>
      <c r="H185" s="52"/>
      <c r="I185" s="52"/>
      <c r="J185" s="52"/>
    </row>
    <row r="186" spans="1:10" x14ac:dyDescent="0.25">
      <c r="A186"/>
      <c r="B186"/>
      <c r="C186"/>
      <c r="D186"/>
      <c r="E186"/>
      <c r="F186"/>
      <c r="G186" s="52"/>
      <c r="H186" s="52"/>
      <c r="I186" s="52"/>
      <c r="J186" s="52"/>
    </row>
    <row r="187" spans="1:10" x14ac:dyDescent="0.25">
      <c r="A187"/>
      <c r="B187"/>
      <c r="C187"/>
      <c r="D187"/>
      <c r="E187"/>
      <c r="F187"/>
      <c r="G187" s="52"/>
      <c r="H187" s="52"/>
      <c r="I187" s="52"/>
      <c r="J187" s="52"/>
    </row>
    <row r="188" spans="1:10" x14ac:dyDescent="0.25">
      <c r="A188"/>
      <c r="B188"/>
      <c r="C188"/>
      <c r="D188"/>
      <c r="E188"/>
      <c r="F188"/>
      <c r="G188" s="52"/>
      <c r="H188" s="52"/>
      <c r="I188" s="52"/>
      <c r="J188" s="52"/>
    </row>
    <row r="189" spans="1:10" x14ac:dyDescent="0.25">
      <c r="A189"/>
      <c r="B189"/>
      <c r="C189"/>
      <c r="D189"/>
      <c r="E189"/>
      <c r="F189"/>
      <c r="G189" s="52"/>
      <c r="H189" s="52"/>
      <c r="I189" s="52"/>
      <c r="J189" s="52"/>
    </row>
    <row r="190" spans="1:10" x14ac:dyDescent="0.25">
      <c r="A190"/>
      <c r="B190"/>
      <c r="C190"/>
      <c r="D190"/>
      <c r="E190"/>
      <c r="F190"/>
      <c r="G190" s="52"/>
      <c r="H190" s="52"/>
      <c r="I190" s="52"/>
      <c r="J190" s="52"/>
    </row>
    <row r="191" spans="1:10" x14ac:dyDescent="0.25">
      <c r="A191"/>
      <c r="B191"/>
      <c r="C191"/>
      <c r="D191"/>
      <c r="E191"/>
      <c r="F191"/>
      <c r="G191" s="52"/>
      <c r="H191" s="52"/>
      <c r="I191" s="52"/>
      <c r="J191" s="52"/>
    </row>
    <row r="192" spans="1:10" x14ac:dyDescent="0.25">
      <c r="A192"/>
      <c r="B192"/>
      <c r="C192"/>
      <c r="D192"/>
      <c r="E192"/>
      <c r="F192"/>
      <c r="G192" s="52"/>
      <c r="H192" s="52"/>
      <c r="I192" s="52"/>
      <c r="J192" s="52"/>
    </row>
    <row r="193" spans="1:10" x14ac:dyDescent="0.25">
      <c r="A193"/>
      <c r="B193"/>
      <c r="C193"/>
      <c r="D193"/>
      <c r="E193"/>
      <c r="F193"/>
      <c r="G193" s="52"/>
      <c r="H193" s="52"/>
      <c r="I193" s="52"/>
      <c r="J193" s="52"/>
    </row>
    <row r="194" spans="1:10" x14ac:dyDescent="0.25">
      <c r="A194"/>
      <c r="B194"/>
      <c r="C194"/>
      <c r="D194"/>
      <c r="E194"/>
      <c r="F194"/>
      <c r="G194" s="52"/>
      <c r="H194" s="52"/>
      <c r="I194" s="52"/>
      <c r="J194" s="52"/>
    </row>
    <row r="195" spans="1:10" x14ac:dyDescent="0.25">
      <c r="A195"/>
      <c r="B195"/>
      <c r="C195"/>
      <c r="D195"/>
      <c r="E195"/>
      <c r="F195"/>
      <c r="G195" s="52"/>
      <c r="H195" s="52"/>
      <c r="I195" s="52"/>
      <c r="J195" s="52"/>
    </row>
    <row r="196" spans="1:10" x14ac:dyDescent="0.25">
      <c r="A196"/>
      <c r="B196"/>
      <c r="C196"/>
      <c r="D196"/>
      <c r="E196"/>
      <c r="F196"/>
      <c r="G196" s="52"/>
      <c r="H196" s="52"/>
      <c r="I196" s="52"/>
      <c r="J196" s="52"/>
    </row>
    <row r="197" spans="1:10" x14ac:dyDescent="0.25">
      <c r="A197"/>
      <c r="B197"/>
      <c r="C197"/>
      <c r="D197"/>
      <c r="E197"/>
      <c r="F197"/>
      <c r="G197" s="52"/>
      <c r="H197" s="52"/>
      <c r="I197" s="52"/>
      <c r="J197" s="52"/>
    </row>
    <row r="198" spans="1:10" x14ac:dyDescent="0.25">
      <c r="A198"/>
      <c r="B198"/>
      <c r="C198"/>
      <c r="D198"/>
      <c r="E198"/>
      <c r="F198"/>
      <c r="G198" s="52"/>
      <c r="H198" s="52"/>
      <c r="I198" s="52"/>
      <c r="J198" s="52"/>
    </row>
    <row r="199" spans="1:10" x14ac:dyDescent="0.25">
      <c r="A199"/>
      <c r="B199"/>
      <c r="C199"/>
      <c r="D199"/>
      <c r="E199"/>
      <c r="F199"/>
      <c r="G199" s="52"/>
      <c r="H199" s="52"/>
      <c r="I199" s="52"/>
      <c r="J199" s="52"/>
    </row>
    <row r="200" spans="1:10" x14ac:dyDescent="0.25">
      <c r="A200"/>
      <c r="B200"/>
      <c r="C200"/>
      <c r="D200"/>
      <c r="E200"/>
      <c r="F200"/>
      <c r="G200" s="52"/>
      <c r="H200" s="52"/>
      <c r="I200" s="52"/>
      <c r="J200" s="52"/>
    </row>
    <row r="201" spans="1:10" x14ac:dyDescent="0.25">
      <c r="A201"/>
      <c r="B201"/>
      <c r="C201"/>
      <c r="D201"/>
      <c r="E201"/>
      <c r="F201"/>
      <c r="G201" s="52"/>
      <c r="H201" s="52"/>
      <c r="I201" s="52"/>
      <c r="J201" s="52"/>
    </row>
    <row r="202" spans="1:10" x14ac:dyDescent="0.25">
      <c r="A202"/>
      <c r="B202"/>
      <c r="C202"/>
      <c r="D202"/>
      <c r="E202"/>
      <c r="F202"/>
      <c r="G202" s="52"/>
      <c r="H202" s="52"/>
      <c r="I202" s="52"/>
      <c r="J202" s="52"/>
    </row>
    <row r="203" spans="1:10" x14ac:dyDescent="0.25">
      <c r="A203"/>
      <c r="B203"/>
      <c r="C203"/>
      <c r="D203"/>
      <c r="E203"/>
      <c r="F203"/>
      <c r="G203" s="52"/>
      <c r="H203" s="52"/>
      <c r="I203" s="52"/>
      <c r="J203" s="52"/>
    </row>
    <row r="204" spans="1:10" x14ac:dyDescent="0.25">
      <c r="A204"/>
      <c r="B204"/>
      <c r="C204"/>
      <c r="D204"/>
      <c r="E204"/>
      <c r="F204"/>
      <c r="G204" s="52"/>
      <c r="H204" s="52"/>
      <c r="I204" s="52"/>
      <c r="J204" s="52"/>
    </row>
    <row r="205" spans="1:10" x14ac:dyDescent="0.25">
      <c r="A205"/>
      <c r="B205"/>
      <c r="C205"/>
      <c r="D205"/>
      <c r="E205"/>
      <c r="F205"/>
      <c r="G205" s="52"/>
      <c r="H205" s="52"/>
      <c r="I205" s="52"/>
      <c r="J205" s="52"/>
    </row>
    <row r="206" spans="1:10" x14ac:dyDescent="0.25">
      <c r="A206"/>
      <c r="B206"/>
      <c r="C206"/>
      <c r="D206"/>
      <c r="E206"/>
      <c r="F206"/>
      <c r="G206" s="52"/>
      <c r="H206" s="52"/>
      <c r="I206" s="52"/>
      <c r="J206" s="52"/>
    </row>
    <row r="207" spans="1:10" x14ac:dyDescent="0.25">
      <c r="A207"/>
      <c r="B207"/>
      <c r="C207"/>
      <c r="D207"/>
      <c r="E207"/>
      <c r="F207"/>
      <c r="G207" s="52"/>
      <c r="H207" s="52"/>
      <c r="I207" s="52"/>
      <c r="J207" s="52"/>
    </row>
    <row r="208" spans="1:10" x14ac:dyDescent="0.25">
      <c r="A208"/>
      <c r="B208"/>
      <c r="C208"/>
      <c r="D208"/>
      <c r="E208"/>
      <c r="F208"/>
      <c r="G208" s="52"/>
      <c r="H208" s="52"/>
      <c r="I208" s="52"/>
      <c r="J208" s="52"/>
    </row>
    <row r="209" spans="1:10" x14ac:dyDescent="0.25">
      <c r="A209"/>
      <c r="B209"/>
      <c r="C209"/>
      <c r="D209"/>
      <c r="E209"/>
      <c r="F209"/>
      <c r="G209" s="52"/>
      <c r="H209" s="52"/>
      <c r="I209" s="52"/>
      <c r="J209" s="52"/>
    </row>
    <row r="210" spans="1:10" x14ac:dyDescent="0.25">
      <c r="A210"/>
      <c r="B210"/>
      <c r="C210"/>
      <c r="D210"/>
      <c r="E210"/>
      <c r="F210"/>
      <c r="G210" s="52"/>
      <c r="H210" s="52"/>
      <c r="I210" s="52"/>
      <c r="J210" s="52"/>
    </row>
    <row r="211" spans="1:10" x14ac:dyDescent="0.25">
      <c r="A211"/>
      <c r="B211"/>
      <c r="C211"/>
      <c r="D211"/>
      <c r="E211"/>
      <c r="F211"/>
      <c r="G211" s="52"/>
      <c r="H211" s="52"/>
      <c r="I211" s="52"/>
      <c r="J211" s="52"/>
    </row>
    <row r="212" spans="1:10" x14ac:dyDescent="0.25">
      <c r="A212"/>
      <c r="B212"/>
      <c r="C212"/>
      <c r="D212"/>
      <c r="E212"/>
      <c r="F212"/>
      <c r="G212" s="52"/>
      <c r="H212" s="52"/>
      <c r="I212" s="52"/>
      <c r="J212" s="52"/>
    </row>
    <row r="213" spans="1:10" x14ac:dyDescent="0.25">
      <c r="A213"/>
      <c r="B213"/>
      <c r="C213"/>
      <c r="D213"/>
      <c r="E213"/>
      <c r="F213"/>
      <c r="G213" s="52"/>
      <c r="H213" s="52"/>
      <c r="I213" s="52"/>
      <c r="J213" s="52"/>
    </row>
    <row r="214" spans="1:10" x14ac:dyDescent="0.25">
      <c r="A214"/>
      <c r="B214"/>
      <c r="C214"/>
      <c r="D214"/>
      <c r="E214"/>
      <c r="F214"/>
      <c r="G214" s="52"/>
      <c r="H214" s="52"/>
      <c r="I214" s="52"/>
      <c r="J214" s="52"/>
    </row>
    <row r="215" spans="1:10" x14ac:dyDescent="0.25">
      <c r="A215"/>
      <c r="B215"/>
      <c r="C215"/>
      <c r="D215"/>
      <c r="E215"/>
      <c r="F215"/>
      <c r="G215" s="52"/>
      <c r="H215" s="52"/>
      <c r="I215" s="52"/>
      <c r="J215" s="52"/>
    </row>
    <row r="216" spans="1:10" x14ac:dyDescent="0.25">
      <c r="A216"/>
      <c r="B216"/>
      <c r="C216"/>
      <c r="D216"/>
      <c r="E216"/>
      <c r="F216"/>
      <c r="G216" s="52"/>
      <c r="H216" s="52"/>
      <c r="I216" s="52"/>
      <c r="J216" s="52"/>
    </row>
    <row r="217" spans="1:10" x14ac:dyDescent="0.25">
      <c r="A217"/>
      <c r="B217"/>
      <c r="C217"/>
      <c r="D217"/>
      <c r="E217"/>
      <c r="F217"/>
      <c r="G217" s="52"/>
      <c r="H217" s="52"/>
      <c r="I217" s="52"/>
      <c r="J217" s="52"/>
    </row>
    <row r="218" spans="1:10" x14ac:dyDescent="0.25">
      <c r="A218"/>
      <c r="B218"/>
      <c r="C218"/>
      <c r="D218"/>
      <c r="E218"/>
      <c r="F218"/>
      <c r="G218" s="52"/>
      <c r="H218" s="52"/>
      <c r="I218" s="52"/>
      <c r="J218" s="52"/>
    </row>
    <row r="219" spans="1:10" x14ac:dyDescent="0.25">
      <c r="A219"/>
      <c r="B219"/>
      <c r="C219"/>
      <c r="D219"/>
      <c r="E219"/>
      <c r="F219"/>
      <c r="G219" s="52"/>
      <c r="H219" s="52"/>
      <c r="I219" s="52"/>
      <c r="J219" s="52"/>
    </row>
    <row r="220" spans="1:10" x14ac:dyDescent="0.25">
      <c r="A220"/>
      <c r="B220"/>
      <c r="C220"/>
      <c r="D220"/>
      <c r="E220"/>
      <c r="F220"/>
      <c r="G220" s="52"/>
      <c r="H220" s="52"/>
      <c r="I220" s="52"/>
      <c r="J220" s="52"/>
    </row>
    <row r="221" spans="1:10" x14ac:dyDescent="0.25">
      <c r="A221"/>
      <c r="B221"/>
      <c r="C221"/>
      <c r="D221"/>
      <c r="E221"/>
      <c r="F221"/>
      <c r="G221" s="52"/>
      <c r="H221" s="52"/>
      <c r="I221" s="52"/>
      <c r="J221" s="52"/>
    </row>
    <row r="222" spans="1:10" x14ac:dyDescent="0.25">
      <c r="A222"/>
      <c r="B222"/>
      <c r="C222"/>
      <c r="D222"/>
      <c r="E222"/>
      <c r="F222"/>
      <c r="G222" s="52"/>
      <c r="H222" s="52"/>
      <c r="I222" s="52"/>
      <c r="J222" s="52"/>
    </row>
    <row r="223" spans="1:10" x14ac:dyDescent="0.25">
      <c r="A223"/>
      <c r="B223"/>
      <c r="C223"/>
      <c r="D223"/>
      <c r="E223"/>
      <c r="F223"/>
      <c r="G223" s="52"/>
      <c r="H223" s="52"/>
      <c r="I223" s="52"/>
      <c r="J223" s="52"/>
    </row>
    <row r="224" spans="1:10" x14ac:dyDescent="0.25">
      <c r="A224"/>
      <c r="B224"/>
      <c r="C224"/>
      <c r="D224"/>
      <c r="E224"/>
      <c r="F224"/>
      <c r="G224" s="52"/>
      <c r="H224" s="52"/>
      <c r="I224" s="52"/>
      <c r="J224" s="52"/>
    </row>
    <row r="225" spans="1:10" x14ac:dyDescent="0.25">
      <c r="A225"/>
      <c r="B225"/>
      <c r="C225"/>
      <c r="D225"/>
      <c r="E225"/>
      <c r="F225"/>
      <c r="G225" s="52"/>
      <c r="H225" s="52"/>
      <c r="I225" s="52"/>
      <c r="J225" s="52"/>
    </row>
    <row r="226" spans="1:10" x14ac:dyDescent="0.25">
      <c r="A226"/>
      <c r="B226"/>
      <c r="C226"/>
      <c r="D226"/>
      <c r="E226"/>
      <c r="F226"/>
      <c r="G226" s="52"/>
      <c r="H226" s="52"/>
      <c r="I226" s="52"/>
      <c r="J226" s="52"/>
    </row>
    <row r="227" spans="1:10" x14ac:dyDescent="0.25">
      <c r="A227"/>
      <c r="B227"/>
      <c r="C227"/>
      <c r="D227"/>
      <c r="E227"/>
      <c r="F227"/>
      <c r="G227" s="52"/>
      <c r="H227" s="52"/>
      <c r="I227" s="52"/>
      <c r="J227" s="52"/>
    </row>
    <row r="228" spans="1:10" x14ac:dyDescent="0.25">
      <c r="A228"/>
      <c r="B228"/>
      <c r="C228"/>
      <c r="D228"/>
      <c r="E228"/>
      <c r="F228"/>
      <c r="G228" s="52"/>
      <c r="H228" s="52"/>
      <c r="I228" s="52"/>
      <c r="J228" s="52"/>
    </row>
    <row r="229" spans="1:10" x14ac:dyDescent="0.25">
      <c r="A229"/>
      <c r="B229"/>
      <c r="C229"/>
      <c r="D229"/>
      <c r="E229"/>
      <c r="F229"/>
      <c r="G229" s="52"/>
      <c r="H229" s="52"/>
      <c r="I229" s="52"/>
      <c r="J229" s="52"/>
    </row>
    <row r="230" spans="1:10" x14ac:dyDescent="0.25">
      <c r="A230"/>
      <c r="B230"/>
      <c r="C230"/>
      <c r="D230"/>
      <c r="E230"/>
      <c r="F230"/>
      <c r="G230" s="52"/>
      <c r="H230" s="52"/>
      <c r="I230" s="52"/>
      <c r="J230" s="52"/>
    </row>
    <row r="231" spans="1:10" x14ac:dyDescent="0.25">
      <c r="A231"/>
      <c r="B231"/>
      <c r="C231"/>
      <c r="D231"/>
      <c r="E231"/>
      <c r="F231"/>
      <c r="G231" s="52"/>
      <c r="H231" s="52"/>
      <c r="I231" s="52"/>
      <c r="J231" s="52"/>
    </row>
    <row r="232" spans="1:10" x14ac:dyDescent="0.25">
      <c r="A232"/>
      <c r="B232"/>
      <c r="C232"/>
      <c r="D232"/>
      <c r="E232"/>
      <c r="F232"/>
      <c r="G232" s="52"/>
      <c r="H232" s="52"/>
      <c r="I232" s="52"/>
      <c r="J232" s="52"/>
    </row>
    <row r="233" spans="1:10" x14ac:dyDescent="0.25">
      <c r="A233"/>
      <c r="B233"/>
      <c r="C233"/>
      <c r="D233"/>
      <c r="E233"/>
      <c r="F233"/>
      <c r="G233" s="52"/>
      <c r="H233" s="52"/>
      <c r="I233" s="52"/>
      <c r="J233" s="52"/>
    </row>
    <row r="234" spans="1:10" x14ac:dyDescent="0.25">
      <c r="A234"/>
      <c r="B234"/>
      <c r="C234"/>
      <c r="D234"/>
      <c r="E234"/>
      <c r="F234"/>
      <c r="G234" s="52"/>
      <c r="H234" s="52"/>
      <c r="I234" s="52"/>
      <c r="J234" s="52"/>
    </row>
    <row r="235" spans="1:10" x14ac:dyDescent="0.25">
      <c r="A235"/>
      <c r="B235"/>
      <c r="C235"/>
      <c r="D235"/>
      <c r="E235"/>
      <c r="F235"/>
      <c r="G235" s="52"/>
      <c r="H235" s="52"/>
      <c r="I235" s="52"/>
      <c r="J235" s="52"/>
    </row>
    <row r="236" spans="1:10" x14ac:dyDescent="0.25">
      <c r="A236"/>
      <c r="B236"/>
      <c r="C236"/>
      <c r="D236"/>
      <c r="E236"/>
      <c r="F236"/>
      <c r="G236" s="52"/>
      <c r="H236" s="52"/>
      <c r="I236" s="52"/>
      <c r="J236" s="52"/>
    </row>
    <row r="237" spans="1:10" x14ac:dyDescent="0.25">
      <c r="A237"/>
      <c r="B237"/>
      <c r="C237"/>
      <c r="D237"/>
      <c r="E237"/>
      <c r="F237"/>
      <c r="G237" s="52"/>
      <c r="H237" s="52"/>
      <c r="I237" s="52"/>
      <c r="J237" s="52"/>
    </row>
    <row r="238" spans="1:10" x14ac:dyDescent="0.25">
      <c r="A238"/>
      <c r="B238"/>
      <c r="C238"/>
      <c r="D238"/>
      <c r="E238"/>
      <c r="F238"/>
      <c r="G238" s="52"/>
      <c r="H238" s="52"/>
      <c r="I238" s="52"/>
      <c r="J238" s="52"/>
    </row>
    <row r="239" spans="1:10" x14ac:dyDescent="0.25">
      <c r="A239"/>
      <c r="B239"/>
      <c r="C239"/>
      <c r="D239"/>
      <c r="E239"/>
      <c r="F239"/>
      <c r="G239" s="52"/>
      <c r="H239" s="52"/>
      <c r="I239" s="52"/>
      <c r="J239" s="52"/>
    </row>
    <row r="240" spans="1:10" x14ac:dyDescent="0.25">
      <c r="A240"/>
      <c r="B240"/>
      <c r="C240"/>
      <c r="D240"/>
      <c r="E240"/>
      <c r="F240"/>
      <c r="G240" s="52"/>
      <c r="H240" s="52"/>
      <c r="I240" s="52"/>
      <c r="J240" s="52"/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2:W33"/>
  <sheetViews>
    <sheetView tabSelected="1" topLeftCell="H1" workbookViewId="0">
      <pane xSplit="1" ySplit="3" topLeftCell="R7" activePane="bottomRight" state="frozen"/>
      <selection activeCell="H1" sqref="H1"/>
      <selection pane="topRight" activeCell="I1" sqref="I1"/>
      <selection pane="bottomLeft" activeCell="H4" sqref="H4"/>
      <selection pane="bottomRight" activeCell="V11" sqref="V11"/>
    </sheetView>
  </sheetViews>
  <sheetFormatPr defaultRowHeight="15" x14ac:dyDescent="0.25"/>
  <cols>
    <col min="1" max="1" width="24.42578125" hidden="1" customWidth="1"/>
    <col min="2" max="2" width="19.85546875" hidden="1" customWidth="1"/>
    <col min="3" max="3" width="18" hidden="1" customWidth="1"/>
    <col min="4" max="4" width="16.140625" hidden="1" customWidth="1"/>
    <col min="5" max="5" width="27" hidden="1" customWidth="1"/>
    <col min="6" max="7" width="16.7109375" hidden="1" customWidth="1"/>
    <col min="8" max="8" width="54.85546875" customWidth="1"/>
    <col min="9" max="9" width="16.5703125" customWidth="1"/>
    <col min="10" max="11" width="16.28515625" customWidth="1"/>
    <col min="12" max="14" width="14.5703125" customWidth="1"/>
    <col min="15" max="15" width="14.7109375" style="52" customWidth="1"/>
    <col min="16" max="22" width="13.5703125" style="52" customWidth="1"/>
    <col min="23" max="23" width="44.28515625" customWidth="1"/>
  </cols>
  <sheetData>
    <row r="2" spans="1:23" ht="30" x14ac:dyDescent="0.25">
      <c r="A2" t="s">
        <v>18</v>
      </c>
      <c r="F2" s="7"/>
      <c r="G2" s="7"/>
      <c r="H2" s="111" t="s">
        <v>160</v>
      </c>
      <c r="I2" s="7"/>
      <c r="J2" s="7"/>
      <c r="K2" s="7"/>
    </row>
    <row r="3" spans="1:23" s="53" customFormat="1" ht="105" x14ac:dyDescent="0.25">
      <c r="A3" s="53" t="s">
        <v>17</v>
      </c>
      <c r="B3" s="53" t="s">
        <v>16</v>
      </c>
      <c r="C3" s="53" t="s">
        <v>15</v>
      </c>
      <c r="G3" s="53" t="s">
        <v>14</v>
      </c>
      <c r="H3" s="65" t="s">
        <v>13</v>
      </c>
      <c r="I3" s="66" t="s">
        <v>161</v>
      </c>
      <c r="J3" s="66" t="s">
        <v>162</v>
      </c>
      <c r="K3" s="66" t="s">
        <v>163</v>
      </c>
      <c r="L3" s="66" t="s">
        <v>164</v>
      </c>
      <c r="M3" s="66" t="s">
        <v>165</v>
      </c>
      <c r="N3" s="66" t="s">
        <v>166</v>
      </c>
      <c r="O3" s="67" t="s">
        <v>158</v>
      </c>
      <c r="P3" s="67" t="s">
        <v>159</v>
      </c>
      <c r="Q3" s="67" t="s">
        <v>167</v>
      </c>
      <c r="R3" s="67" t="s">
        <v>168</v>
      </c>
      <c r="S3" s="67" t="s">
        <v>169</v>
      </c>
      <c r="T3" s="67" t="s">
        <v>170</v>
      </c>
      <c r="U3" s="67" t="s">
        <v>172</v>
      </c>
      <c r="V3" s="67" t="s">
        <v>173</v>
      </c>
      <c r="W3" s="69" t="s">
        <v>34</v>
      </c>
    </row>
    <row r="4" spans="1:23" s="53" customFormat="1" x14ac:dyDescent="0.25">
      <c r="H4" s="56" t="s">
        <v>32</v>
      </c>
      <c r="I4" s="80"/>
      <c r="J4" s="80"/>
      <c r="K4" s="55"/>
      <c r="L4" s="55"/>
      <c r="M4" s="55"/>
      <c r="N4" s="55"/>
      <c r="O4" s="107"/>
      <c r="P4" s="107"/>
      <c r="Q4" s="107"/>
      <c r="R4" s="107"/>
      <c r="S4" s="107"/>
      <c r="T4" s="12">
        <f t="shared" ref="T4:T6" si="0">S4*0.3</f>
        <v>0</v>
      </c>
      <c r="U4" s="12"/>
      <c r="V4" s="12"/>
      <c r="W4" s="54"/>
    </row>
    <row r="5" spans="1:23" s="57" customFormat="1" ht="45" x14ac:dyDescent="0.25">
      <c r="G5" s="57">
        <v>110260</v>
      </c>
      <c r="H5" s="10" t="s">
        <v>25</v>
      </c>
      <c r="I5" s="81">
        <f>'Dec 2021'!G17</f>
        <v>1492231.3549057099</v>
      </c>
      <c r="J5" s="81">
        <f>GETPIVOTDATA("Amt in loc.cur.",'Receivables 31.12.2021'!$A$3,"Account",110023,"Customer","Total E&amp;P Nigeria Limited","Venture","JV","Category","Revenue","sub-category","Crude Handling","Action party","Orupabo, Amoni ","Debts Class","Not Overdue")</f>
        <v>1612310.23</v>
      </c>
      <c r="K5" s="10">
        <f>GETPIVOTDATA("Amt in loc.cur.",'Receivables 31.12.2021'!$A$3,"Account",110023,"Customer","Total E&amp;P Nigeria Limited","Venture","JV","Category","Revenue","sub-category","Crude Handling","Action party","Orupabo, Amoni ","Debts Class","Overdue")</f>
        <v>91676.880000001926</v>
      </c>
      <c r="L5" s="10">
        <f>K5+J5+I5</f>
        <v>3196218.4649057118</v>
      </c>
      <c r="M5" s="10">
        <f>94%*L5</f>
        <v>3004445.357011369</v>
      </c>
      <c r="N5" s="11">
        <f t="shared" ref="N5:N30" si="1">M5/3</f>
        <v>1001481.7856704564</v>
      </c>
      <c r="O5" s="108">
        <f>397372463.27/411.1329</f>
        <v>966530.44130012451</v>
      </c>
      <c r="P5" s="12">
        <f>O5*0.3</f>
        <v>289959.13239003735</v>
      </c>
      <c r="Q5" s="12">
        <v>708779.13</v>
      </c>
      <c r="R5" s="12">
        <f>Q5*0.3</f>
        <v>212633.739</v>
      </c>
      <c r="S5" s="12"/>
      <c r="T5" s="12">
        <f t="shared" si="0"/>
        <v>0</v>
      </c>
      <c r="U5" s="12">
        <f>769156.28+644867.23</f>
        <v>1414023.51</v>
      </c>
      <c r="V5" s="12">
        <f>U5*0.3</f>
        <v>424207.05300000001</v>
      </c>
      <c r="W5" s="54" t="s">
        <v>174</v>
      </c>
    </row>
    <row r="6" spans="1:23" s="57" customFormat="1" ht="15.75" thickBot="1" x14ac:dyDescent="0.3">
      <c r="G6" s="57">
        <v>110262</v>
      </c>
      <c r="H6" s="10" t="s">
        <v>24</v>
      </c>
      <c r="I6" s="81">
        <f>'Dec 2021'!G4</f>
        <v>495455.38729020761</v>
      </c>
      <c r="J6" s="81">
        <f>GETPIVOTDATA("Amt in loc.cur.",'Receivables 31.12.2021'!$A$3,"Account",110056,"Customer","Niger Delta Petroleum Resources Limited","Venture","JV","Category","Revenue","sub-category","Crude Handling","Action party","Orupabo, Amoni ","Debts Class","Not Overdue")</f>
        <v>432532.47000000009</v>
      </c>
      <c r="K6" s="10">
        <f>GETPIVOTDATA("Amt in loc.cur.",'Receivables 31.12.2021'!$A$3,"Account",110056,"Customer","Niger Delta Petroleum Resources Limited","Venture","JV","Category","Revenue","sub-category","Crude Handling","Action party","Orupabo, Amoni ","Debts Class","Overdue")</f>
        <v>-743417.54999999993</v>
      </c>
      <c r="L6" s="10">
        <f t="shared" ref="L6:L30" si="2">K6+J6+I6</f>
        <v>184570.30729020777</v>
      </c>
      <c r="M6" s="10">
        <f t="shared" ref="M6:M14" si="3">94%*L6</f>
        <v>173496.08885279531</v>
      </c>
      <c r="N6" s="11">
        <f t="shared" si="1"/>
        <v>57832.029617598433</v>
      </c>
      <c r="O6" s="108">
        <v>434716.82</v>
      </c>
      <c r="P6" s="12">
        <f t="shared" ref="P6:P7" si="4">O6*0.3</f>
        <v>130415.046</v>
      </c>
      <c r="Q6" s="12"/>
      <c r="R6" s="12">
        <f t="shared" ref="R6:R19" si="5">Q6*0.3</f>
        <v>0</v>
      </c>
      <c r="S6" s="12"/>
      <c r="T6" s="12">
        <f t="shared" si="0"/>
        <v>0</v>
      </c>
      <c r="U6" s="113"/>
      <c r="V6" s="12"/>
      <c r="W6" s="58"/>
    </row>
    <row r="7" spans="1:23" s="57" customFormat="1" ht="15.75" thickBot="1" x14ac:dyDescent="0.3">
      <c r="G7" s="57">
        <v>110442</v>
      </c>
      <c r="H7" s="10" t="s">
        <v>23</v>
      </c>
      <c r="I7" s="81">
        <f>'Dec 2021'!G16</f>
        <v>724477.8245454469</v>
      </c>
      <c r="J7" s="81">
        <f>GETPIVOTDATA("Amt in loc.cur.",'Receivables 31.12.2021'!$A$3,"Account",110084,"Customer","Walter Smith Petroman Oil Ltd.","Venture","JV","Category","Revenue","sub-category","Crude Handling","Action party","Orupabo, Amoni ","Debts Class","Not Overdue")</f>
        <v>522001.83</v>
      </c>
      <c r="K7" s="10">
        <f>GETPIVOTDATA("Amt in loc.cur.",'Receivables 31.12.2021'!$A$3,"Account",110084,"Customer","Walter Smith Petroman Oil Ltd.","Venture","JV","Category","Revenue","sub-category","Crude Handling","Action party","Orupabo, Amoni ","Debts Class","Overdue")</f>
        <v>1514815.0499999996</v>
      </c>
      <c r="L7" s="10">
        <f t="shared" si="2"/>
        <v>2761294.7045454467</v>
      </c>
      <c r="M7" s="10">
        <f t="shared" si="3"/>
        <v>2595617.0222727195</v>
      </c>
      <c r="N7" s="11">
        <f t="shared" si="1"/>
        <v>865205.67409090651</v>
      </c>
      <c r="O7" s="108">
        <f>200000+(54692288.52/411.1329)+600000</f>
        <v>933028.24590296717</v>
      </c>
      <c r="P7" s="12">
        <f t="shared" si="4"/>
        <v>279908.47377089015</v>
      </c>
      <c r="Q7" s="12"/>
      <c r="R7" s="12">
        <f t="shared" si="5"/>
        <v>0</v>
      </c>
      <c r="S7" s="12"/>
      <c r="T7" s="12">
        <f t="shared" ref="T7:T8" si="6">S7*0.3</f>
        <v>0</v>
      </c>
      <c r="U7" s="113"/>
      <c r="V7" s="12"/>
      <c r="W7" s="68"/>
    </row>
    <row r="8" spans="1:23" s="57" customFormat="1" x14ac:dyDescent="0.25">
      <c r="H8" s="10" t="s">
        <v>22</v>
      </c>
      <c r="I8" s="81">
        <f>'Dec 2021'!G20</f>
        <v>2538360.5853224285</v>
      </c>
      <c r="J8" s="81">
        <f>GETPIVOTDATA("Amt in loc.cur.",'Receivables 31.12.2021'!$A$3,"Account",110432,"Customer","AITEO EASTERN E&amp;P COMPANY LTD","Venture","JV","Category","Revenue","sub-category","Crude Handling","Action party","Orupabo, Amoni ","Debts Class","Not Overdue")</f>
        <v>583514.33000000007</v>
      </c>
      <c r="K8" s="10">
        <f>GETPIVOTDATA("Amt in loc.cur.",'Receivables 31.12.2021'!$A$3,"Account",110432,"Customer","AITEO EASTERN E&amp;P COMPANY LTD","Venture","JV","Category","Revenue","sub-category","Crude Handling","Action party","Orupabo, Amoni ","Debts Class","Overdue")</f>
        <v>11198586.300000001</v>
      </c>
      <c r="L8" s="10">
        <f t="shared" si="2"/>
        <v>14320461.215322429</v>
      </c>
      <c r="M8" s="10">
        <f t="shared" si="3"/>
        <v>13461233.542403083</v>
      </c>
      <c r="N8" s="11">
        <f t="shared" si="1"/>
        <v>4487077.8474676944</v>
      </c>
      <c r="O8" s="12"/>
      <c r="P8" s="12">
        <f t="shared" ref="P8:P30" si="7">O8/3</f>
        <v>0</v>
      </c>
      <c r="Q8" s="12"/>
      <c r="R8" s="12">
        <f t="shared" si="5"/>
        <v>0</v>
      </c>
      <c r="S8" s="12"/>
      <c r="T8" s="12">
        <f t="shared" si="6"/>
        <v>0</v>
      </c>
      <c r="U8" s="12"/>
      <c r="V8" s="12"/>
      <c r="W8" s="10"/>
    </row>
    <row r="9" spans="1:23" s="57" customFormat="1" x14ac:dyDescent="0.25">
      <c r="H9" s="10" t="s">
        <v>21</v>
      </c>
      <c r="I9" s="81">
        <f>'Dec 2021'!G19</f>
        <v>1902477.8007057486</v>
      </c>
      <c r="J9" s="81">
        <f>GETPIVOTDATA("Amt in loc.cur.",'Receivables 31.12.2021'!$A$3,"Account",110440,"Customer","NEW CROSS","Venture","JV","Category","Revenue","sub-category","Crude Handling","Action party","Orupabo, Amoni ","Debts Class","Not Overdue")</f>
        <v>598210.35</v>
      </c>
      <c r="K9" s="10">
        <f>GETPIVOTDATA("Amt in loc.cur.",'Receivables 31.12.2021'!$A$3,"Account",110440,"Customer","NEW CROSS","Venture","JV","Category","Revenue","sub-category","Crude Handling","Action party","Orupabo, Amoni ","Debts Class","Overdue")</f>
        <v>4732490.5300000012</v>
      </c>
      <c r="L9" s="10">
        <f t="shared" si="2"/>
        <v>7233178.6807057494</v>
      </c>
      <c r="M9" s="10">
        <f t="shared" si="3"/>
        <v>6799187.9598634038</v>
      </c>
      <c r="N9" s="11">
        <f t="shared" si="1"/>
        <v>2266395.9866211344</v>
      </c>
      <c r="O9" s="12"/>
      <c r="P9" s="12">
        <f t="shared" si="7"/>
        <v>0</v>
      </c>
      <c r="Q9" s="12"/>
      <c r="R9" s="12">
        <f t="shared" si="5"/>
        <v>0</v>
      </c>
      <c r="S9" s="12">
        <v>4362839.1500000004</v>
      </c>
      <c r="T9" s="12">
        <f>S9*0.3</f>
        <v>1308851.7450000001</v>
      </c>
      <c r="U9" s="12"/>
      <c r="V9" s="12"/>
      <c r="W9" s="68"/>
    </row>
    <row r="10" spans="1:23" s="70" customFormat="1" x14ac:dyDescent="0.25">
      <c r="H10" s="71" t="s">
        <v>20</v>
      </c>
      <c r="I10" s="82">
        <f>'Dec 2021'!G21</f>
        <v>1361156.2958756015</v>
      </c>
      <c r="J10" s="82">
        <f>GETPIVOTDATA("Amt in loc.cur.",'Receivables 31.12.2021'!$A$3,"Account",110441,"Customer","EROTON","Venture","JV","Category","Revenue","sub-category","Crude Handling","Action party","Orupabo, Amoni ","Debts Class","Not Overdue")</f>
        <v>455842.25</v>
      </c>
      <c r="K10" s="71">
        <f>GETPIVOTDATA("Amt in loc.cur.",'Receivables 31.12.2021'!$A$3,"Account",110441,"Customer","EROTON","Venture","JV","Category","Revenue","sub-category","Crude Handling","Action party","Orupabo, Amoni ","Debts Class","Overdue")</f>
        <v>29800316.460000001</v>
      </c>
      <c r="L10" s="10">
        <f t="shared" si="2"/>
        <v>31617315.005875602</v>
      </c>
      <c r="M10" s="71">
        <f t="shared" si="3"/>
        <v>29720276.105523065</v>
      </c>
      <c r="N10" s="11">
        <f t="shared" si="1"/>
        <v>9906758.701841021</v>
      </c>
      <c r="O10" s="12"/>
      <c r="P10" s="12">
        <f t="shared" si="7"/>
        <v>0</v>
      </c>
      <c r="Q10" s="12"/>
      <c r="R10" s="12">
        <f t="shared" si="5"/>
        <v>0</v>
      </c>
      <c r="S10" s="12"/>
      <c r="T10" s="12">
        <f t="shared" ref="T10:T30" si="8">S10*0.3</f>
        <v>0</v>
      </c>
      <c r="U10" s="12"/>
      <c r="V10" s="12"/>
      <c r="W10" s="72"/>
    </row>
    <row r="11" spans="1:23" s="57" customFormat="1" x14ac:dyDescent="0.25">
      <c r="C11" s="57" t="s">
        <v>6</v>
      </c>
      <c r="F11" s="57">
        <v>6.5819999999999999</v>
      </c>
      <c r="H11" s="10" t="s">
        <v>19</v>
      </c>
      <c r="I11" s="81">
        <f>'Dec 2021'!G7+'Dec 2021'!G8</f>
        <v>430890.708178745</v>
      </c>
      <c r="J11" s="81">
        <f>GETPIVOTDATA("Amt in loc.cur.",'Receivables 31.12.2021'!$A$3,"Account",110492,"Customer","BELEMA OIL PRODUCING LIMITED","Venture","JV","Category","Revenue","sub-category","Crude Handling","Action party","Orupabo, Amoni ","Debts Class","Not Overdue")</f>
        <v>201705.04999999987</v>
      </c>
      <c r="K11" s="10">
        <f>GETPIVOTDATA("Amt in loc.cur.",'Receivables 31.12.2021'!$A$3,"Account",110492,"Customer","BELEMA OIL PRODUCING LIMITED","Venture","JV","Category","Revenue","sub-category","Crude Handling","Action party","Orupabo, Amoni ","Debts Class","Overdue")</f>
        <v>8682235.820000004</v>
      </c>
      <c r="L11" s="10">
        <f t="shared" si="2"/>
        <v>9314831.5781787504</v>
      </c>
      <c r="M11" s="10">
        <f t="shared" si="3"/>
        <v>8755941.6834880244</v>
      </c>
      <c r="N11" s="11">
        <f t="shared" si="1"/>
        <v>2918647.2278293413</v>
      </c>
      <c r="O11" s="12"/>
      <c r="P11" s="12">
        <f t="shared" si="7"/>
        <v>0</v>
      </c>
      <c r="Q11" s="12"/>
      <c r="R11" s="12">
        <f t="shared" si="5"/>
        <v>0</v>
      </c>
      <c r="S11" s="12"/>
      <c r="T11" s="12">
        <f t="shared" si="8"/>
        <v>0</v>
      </c>
      <c r="U11" s="12"/>
      <c r="V11" s="12"/>
      <c r="W11" s="58"/>
    </row>
    <row r="12" spans="1:23" s="57" customFormat="1" x14ac:dyDescent="0.25">
      <c r="C12" s="57" t="s">
        <v>4</v>
      </c>
      <c r="F12" s="57">
        <v>6.08</v>
      </c>
      <c r="H12" s="10" t="s">
        <v>9</v>
      </c>
      <c r="I12" s="81">
        <f>'Dec 2021'!G24</f>
        <v>0</v>
      </c>
      <c r="J12" s="81">
        <f>GETPIVOTDATA("Amt in loc.cur.",'Receivables 31.12.2021'!$A$3,"Account",110537,"Customer","MILLENIUM OIL AND GAS","Venture","JV","Category","Revenue","sub-category","Crude Handling","Action party","Orupabo, Amoni ","Debts Class","Not Overdue")</f>
        <v>0</v>
      </c>
      <c r="K12" s="10">
        <f>GETPIVOTDATA("Amt in loc.cur.",'Receivables 31.12.2021'!$A$3,"Account",110537,"Customer","MILLENIUM OIL AND GAS","Venture","JV","Category","Revenue","sub-category","Crude Handling","Action party","Orupabo, Amoni ","Debts Class","Overdue")</f>
        <v>867393.21000000008</v>
      </c>
      <c r="L12" s="10">
        <f t="shared" si="2"/>
        <v>867393.21000000008</v>
      </c>
      <c r="M12" s="10">
        <f t="shared" si="3"/>
        <v>815349.61739999999</v>
      </c>
      <c r="N12" s="11">
        <f t="shared" si="1"/>
        <v>271783.2058</v>
      </c>
      <c r="O12" s="12"/>
      <c r="P12" s="12">
        <f t="shared" si="7"/>
        <v>0</v>
      </c>
      <c r="Q12" s="12"/>
      <c r="R12" s="12">
        <f t="shared" si="5"/>
        <v>0</v>
      </c>
      <c r="S12" s="12"/>
      <c r="T12" s="12">
        <f t="shared" si="8"/>
        <v>0</v>
      </c>
      <c r="U12" s="12"/>
      <c r="V12" s="12"/>
      <c r="W12" s="58"/>
    </row>
    <row r="13" spans="1:23" s="57" customFormat="1" x14ac:dyDescent="0.25">
      <c r="G13" s="57">
        <v>110258</v>
      </c>
      <c r="H13" s="10" t="s">
        <v>27</v>
      </c>
      <c r="I13" s="81"/>
      <c r="J13" s="81">
        <f>GETPIVOTDATA("Amt in loc.cur.",'Receivables 31.12.2021'!$A$3,"Account",110021,"Customer","Chevron Nigeria Ltd","Venture","JV","Category","Revenue","sub-category","Crude Handling","Action party","Orupabo, Amoni ","Debts Class","Not Overdue")</f>
        <v>0</v>
      </c>
      <c r="K13" s="10">
        <f>GETPIVOTDATA("Amt in loc.cur.",'Receivables 31.12.2021'!$A$3,"Account",110021,"Customer","Chevron Nigeria Ltd","Venture","JV","Category","Revenue","sub-category","Crude Handling","Action party","Orupabo, Amoni ","Debts Class","Overdue")</f>
        <v>1359137.57</v>
      </c>
      <c r="L13" s="10">
        <f t="shared" si="2"/>
        <v>1359137.57</v>
      </c>
      <c r="M13" s="10">
        <f t="shared" si="3"/>
        <v>1277589.3158</v>
      </c>
      <c r="N13" s="11">
        <f t="shared" si="1"/>
        <v>425863.10526666668</v>
      </c>
      <c r="O13" s="12"/>
      <c r="P13" s="12">
        <f t="shared" si="7"/>
        <v>0</v>
      </c>
      <c r="Q13" s="12"/>
      <c r="R13" s="12">
        <f t="shared" si="5"/>
        <v>0</v>
      </c>
      <c r="S13" s="12"/>
      <c r="T13" s="12">
        <f t="shared" si="8"/>
        <v>0</v>
      </c>
      <c r="U13" s="12"/>
      <c r="V13" s="12"/>
      <c r="W13" s="58"/>
    </row>
    <row r="14" spans="1:23" s="57" customFormat="1" x14ac:dyDescent="0.25">
      <c r="G14" s="57">
        <v>110261</v>
      </c>
      <c r="H14" s="10" t="s">
        <v>29</v>
      </c>
      <c r="I14" s="81">
        <f>'Dec 2021'!G9</f>
        <v>133105.98418986204</v>
      </c>
      <c r="J14" s="81">
        <f>GETPIVOTDATA("Amt in loc.cur.",'Receivables 31.12.2021'!$A$3,"Account",110042,"Customer","Nigerian Agip Oil Company Ltd","Venture","JV","Category","Revenue","sub-category","Crude Handling","Action party","Orupabo, Amoni ","Debts Class","Not Overdue")</f>
        <v>0</v>
      </c>
      <c r="K14" s="10">
        <f>GETPIVOTDATA("Amt in loc.cur.",'Receivables 31.12.2021'!$A$3,"Account",110042,"Customer","Nigerian Agip Oil Company Ltd","Venture","JV","Category","Revenue","sub-category","Crude Handling","Action party","Orupabo, Amoni ","Debts Class","Overdue")</f>
        <v>592821.67999999993</v>
      </c>
      <c r="L14" s="10">
        <f t="shared" si="2"/>
        <v>725927.66418986197</v>
      </c>
      <c r="M14" s="10">
        <f t="shared" si="3"/>
        <v>682372.00433847017</v>
      </c>
      <c r="N14" s="11">
        <f t="shared" si="1"/>
        <v>227457.33477949005</v>
      </c>
      <c r="O14" s="12"/>
      <c r="P14" s="12">
        <f t="shared" si="7"/>
        <v>0</v>
      </c>
      <c r="Q14" s="12"/>
      <c r="R14" s="12">
        <f t="shared" si="5"/>
        <v>0</v>
      </c>
      <c r="S14" s="12"/>
      <c r="T14" s="12">
        <f t="shared" si="8"/>
        <v>0</v>
      </c>
      <c r="U14" s="12"/>
      <c r="V14" s="12"/>
      <c r="W14" s="58"/>
    </row>
    <row r="15" spans="1:23" s="57" customFormat="1" ht="45" x14ac:dyDescent="0.25">
      <c r="H15" s="85" t="s">
        <v>125</v>
      </c>
      <c r="I15" s="81">
        <f>'Dec 2021'!G25</f>
        <v>3272512.2242199238</v>
      </c>
      <c r="J15" s="81">
        <f>GETPIVOTDATA("Amt in loc.cur.",'Receivables 31.12.2021'!$A$3,"Account",110687,"Customer","HEIRS HOLDINGS OIL AND GAS LIMITED","Venture","JV","Category","Revenue","sub-category","Crude Handling","Action party","Orupabo, Amoni ","Debts Class","Not Overdue")</f>
        <v>4307140.22</v>
      </c>
      <c r="K15" s="10">
        <f>GETPIVOTDATA("Amt in loc.cur.",'Receivables 31.12.2021'!$A$3,"Account",110687,"Customer","HEIRS HOLDINGS OIL AND GAS LIMITED","Venture","JV","Category","Revenue","sub-category","Crude Handling","Action party","Orupabo, Amoni ","Debts Class","Overdue")</f>
        <v>4738182.0999999996</v>
      </c>
      <c r="L15" s="10">
        <f t="shared" si="2"/>
        <v>12317834.544219924</v>
      </c>
      <c r="N15" s="11">
        <f t="shared" si="1"/>
        <v>0</v>
      </c>
      <c r="O15" s="12"/>
      <c r="P15" s="12">
        <f t="shared" si="7"/>
        <v>0</v>
      </c>
      <c r="Q15" s="12">
        <f>731494168.94/414.5035</f>
        <v>1764747.8705004905</v>
      </c>
      <c r="R15" s="12">
        <f t="shared" si="5"/>
        <v>529424.36115014716</v>
      </c>
      <c r="S15" s="12">
        <v>5908694.1619334798</v>
      </c>
      <c r="T15" s="12">
        <f t="shared" si="8"/>
        <v>1772608.2485800439</v>
      </c>
      <c r="U15" s="114">
        <f>505884425.09/414.535</f>
        <v>1220366.0127371631</v>
      </c>
      <c r="V15" s="12">
        <f t="shared" ref="V15" si="9">U15*0.3</f>
        <v>366109.80382114893</v>
      </c>
      <c r="W15" s="53" t="s">
        <v>175</v>
      </c>
    </row>
    <row r="16" spans="1:23" s="57" customFormat="1" x14ac:dyDescent="0.25">
      <c r="I16" s="83"/>
      <c r="J16" s="83"/>
      <c r="L16" s="10">
        <f t="shared" si="2"/>
        <v>0</v>
      </c>
      <c r="N16" s="11">
        <f t="shared" si="1"/>
        <v>0</v>
      </c>
      <c r="O16" s="12"/>
      <c r="P16" s="12">
        <f t="shared" si="7"/>
        <v>0</v>
      </c>
      <c r="Q16" s="12"/>
      <c r="R16" s="12">
        <f t="shared" si="5"/>
        <v>0</v>
      </c>
      <c r="S16" s="12"/>
      <c r="T16" s="12">
        <f t="shared" si="8"/>
        <v>0</v>
      </c>
      <c r="U16" s="12"/>
      <c r="V16" s="12"/>
      <c r="W16" s="110"/>
    </row>
    <row r="17" spans="3:23" s="57" customFormat="1" x14ac:dyDescent="0.25">
      <c r="H17" s="11" t="s">
        <v>33</v>
      </c>
      <c r="I17" s="81"/>
      <c r="J17" s="81"/>
      <c r="K17" s="10"/>
      <c r="L17" s="10">
        <f t="shared" si="2"/>
        <v>0</v>
      </c>
      <c r="M17" s="10"/>
      <c r="N17" s="11">
        <f t="shared" si="1"/>
        <v>0</v>
      </c>
      <c r="O17" s="12"/>
      <c r="P17" s="12">
        <f t="shared" si="7"/>
        <v>0</v>
      </c>
      <c r="Q17" s="12"/>
      <c r="R17" s="12">
        <f t="shared" si="5"/>
        <v>0</v>
      </c>
      <c r="S17" s="12"/>
      <c r="T17" s="12">
        <f t="shared" si="8"/>
        <v>0</v>
      </c>
      <c r="U17" s="12"/>
      <c r="V17" s="12"/>
      <c r="W17" s="58"/>
    </row>
    <row r="18" spans="3:23" s="57" customFormat="1" x14ac:dyDescent="0.25">
      <c r="G18" s="57">
        <v>110259</v>
      </c>
      <c r="H18" s="10" t="s">
        <v>107</v>
      </c>
      <c r="I18" s="81">
        <f>'Dec 2021'!G5</f>
        <v>110460.27513869906</v>
      </c>
      <c r="J18" s="81">
        <f>GETPIVOTDATA("Amt in loc.cur.",'Receivables 31.12.2021'!$A$3,"Account",110022,"Customer","Pan Ocean Oil Corp. (Nigeria) Ltd","Venture","JV","Category","Revenue","sub-category","Crude Handling","Action party","Orupabo, Amoni ","Debts Class","Not Overdue")</f>
        <v>167146.91999999998</v>
      </c>
      <c r="K18" s="10">
        <f>GETPIVOTDATA("Amt in loc.cur.",'Receivables 31.12.2021'!$A$3,"Account",110022,"Customer","Pan Ocean Oil Corp. (Nigeria) Ltd","Venture","JV","Category","Revenue","sub-category","Crude Handling","Action party","Orupabo, Amoni ","Debts Class","Overdue")</f>
        <v>3919331.2900000005</v>
      </c>
      <c r="L18" s="10">
        <f t="shared" si="2"/>
        <v>4196938.4851386994</v>
      </c>
      <c r="M18" s="10">
        <f t="shared" ref="M18:M30" si="10">94%*L18</f>
        <v>3945122.1760303774</v>
      </c>
      <c r="N18" s="11">
        <f t="shared" si="1"/>
        <v>1315040.7253434591</v>
      </c>
      <c r="O18" s="12"/>
      <c r="P18" s="12">
        <f t="shared" si="7"/>
        <v>0</v>
      </c>
      <c r="Q18" s="12"/>
      <c r="R18" s="12">
        <f t="shared" si="5"/>
        <v>0</v>
      </c>
      <c r="S18" s="12"/>
      <c r="T18" s="12">
        <f t="shared" si="8"/>
        <v>0</v>
      </c>
      <c r="U18" s="12"/>
      <c r="V18" s="12"/>
      <c r="W18" s="58"/>
    </row>
    <row r="19" spans="3:23" s="57" customFormat="1" ht="16.5" customHeight="1" x14ac:dyDescent="0.25">
      <c r="G19" s="57">
        <v>110467</v>
      </c>
      <c r="H19" s="10" t="s">
        <v>0</v>
      </c>
      <c r="I19" s="81">
        <f>'Dec 2021'!G10</f>
        <v>2344969.6189536783</v>
      </c>
      <c r="J19" s="81">
        <f>GETPIVOTDATA("Amt in loc.cur.",'Receivables 31.12.2021'!$A$3,"Account",110117,"Customer","SEPLAT PETROLEUM DEVELOPMENT COMPANY LTD","Venture","JV","Category","Revenue","sub-category","Crude Handling","Action party","Orupabo, Amoni ","Debts Class","Not Overdue")</f>
        <v>513648.50000000035</v>
      </c>
      <c r="K19" s="10">
        <f>GETPIVOTDATA("Amt in loc.cur.",'Receivables 31.12.2021'!$A$3,"Account",110117,"Customer","SEPLAT PETROLEUM DEVELOPMENT COMPANY LTD","Venture","JV","Category","Revenue","sub-category","Crude Handling","Action party","Orupabo, Amoni ","Debts Class","Overdue")</f>
        <v>-1373948.8799999997</v>
      </c>
      <c r="L19" s="10">
        <f t="shared" si="2"/>
        <v>1484669.2389536789</v>
      </c>
      <c r="M19" s="10">
        <f t="shared" si="10"/>
        <v>1395589.084616458</v>
      </c>
      <c r="N19" s="11">
        <f t="shared" si="1"/>
        <v>465196.36153881933</v>
      </c>
      <c r="O19" s="12">
        <f>1425453.2+1425453.2+(486236139.27/411.1329)</f>
        <v>4033580.2732657976</v>
      </c>
      <c r="P19" s="12">
        <f t="shared" si="7"/>
        <v>1344526.7577552658</v>
      </c>
      <c r="Q19" s="12"/>
      <c r="R19" s="12">
        <f t="shared" si="5"/>
        <v>0</v>
      </c>
      <c r="S19" s="12"/>
      <c r="T19" s="12">
        <f t="shared" si="8"/>
        <v>0</v>
      </c>
      <c r="U19" s="12"/>
      <c r="V19" s="12"/>
      <c r="W19" s="54"/>
    </row>
    <row r="20" spans="3:23" s="57" customFormat="1" x14ac:dyDescent="0.25">
      <c r="G20" s="57">
        <v>110521</v>
      </c>
      <c r="H20" s="10" t="s">
        <v>12</v>
      </c>
      <c r="I20" s="81">
        <f>'Dec 2021'!G22</f>
        <v>404180.82542241627</v>
      </c>
      <c r="J20" s="81">
        <f>GETPIVOTDATA("Amt in loc.cur.",'Receivables 31.12.2021'!$A$3,"Account",110257,"Customer","NPDC ABURA","Venture","JV","Category","Revenue","sub-category","Crude Handling","Action party","Orupabo, Amoni ","Debts Class","Not Overdue")</f>
        <v>704650.04</v>
      </c>
      <c r="K20" s="10">
        <f>GETPIVOTDATA("Amt in loc.cur.",'Receivables 31.12.2021'!$A$3,"Account",110257,"Customer","NPDC ABURA","Venture","JV","Category","Revenue","sub-category","Crude Handling","Action party","Orupabo, Amoni ","Debts Class","Overdue")</f>
        <v>654359.17999999993</v>
      </c>
      <c r="L20" s="10">
        <f t="shared" si="2"/>
        <v>1763190.0454224162</v>
      </c>
      <c r="M20" s="10">
        <f t="shared" si="10"/>
        <v>1657398.6426970712</v>
      </c>
      <c r="N20" s="11">
        <f t="shared" si="1"/>
        <v>552466.2142323571</v>
      </c>
      <c r="O20" s="12">
        <v>273332.86</v>
      </c>
      <c r="P20" s="12">
        <f t="shared" si="7"/>
        <v>91110.953333333324</v>
      </c>
      <c r="Q20" s="12"/>
      <c r="R20" s="12">
        <f t="shared" ref="R20:R33" si="11">Q20*0.3</f>
        <v>0</v>
      </c>
      <c r="S20" s="12"/>
      <c r="T20" s="12">
        <f t="shared" si="8"/>
        <v>0</v>
      </c>
      <c r="U20" s="12"/>
      <c r="V20" s="12"/>
      <c r="W20" s="58"/>
    </row>
    <row r="21" spans="3:23" s="57" customFormat="1" x14ac:dyDescent="0.25">
      <c r="G21" s="57">
        <v>110537</v>
      </c>
      <c r="H21" s="10" t="s">
        <v>11</v>
      </c>
      <c r="I21" s="81">
        <f>'Dec 2021'!G11</f>
        <v>604861.04235677782</v>
      </c>
      <c r="J21" s="81">
        <f>GETPIVOTDATA("Amt in loc.cur.",'Receivables 31.12.2021'!$A$3,"Account",110258,"Customer","NPDC/FHN OML26","Venture","JV","Category","Revenue","sub-category","Crude Handling","Action party","Orupabo, Amoni ","Debts Class","Not Overdue")</f>
        <v>955195.47</v>
      </c>
      <c r="K21" s="10">
        <f>GETPIVOTDATA("Amt in loc.cur.",'Receivables 31.12.2021'!$A$3,"Account",110258,"Customer","NPDC/FHN OML26","Venture","JV","Category","Revenue","sub-category","Crude Handling","Action party","Orupabo, Amoni ","Debts Class","Overdue")</f>
        <v>1773560.6500000001</v>
      </c>
      <c r="L21" s="10">
        <f t="shared" si="2"/>
        <v>3333617.162356778</v>
      </c>
      <c r="M21" s="10">
        <f t="shared" si="10"/>
        <v>3133600.1326153711</v>
      </c>
      <c r="N21" s="11">
        <f t="shared" si="1"/>
        <v>1044533.377538457</v>
      </c>
      <c r="O21" s="12">
        <v>241611.37</v>
      </c>
      <c r="P21" s="12">
        <f t="shared" si="7"/>
        <v>80537.123333333337</v>
      </c>
      <c r="Q21" s="12"/>
      <c r="R21" s="12">
        <f t="shared" si="11"/>
        <v>0</v>
      </c>
      <c r="S21" s="12"/>
      <c r="T21" s="12">
        <f t="shared" si="8"/>
        <v>0</v>
      </c>
      <c r="U21" s="12"/>
      <c r="V21" s="12"/>
      <c r="W21" s="58"/>
    </row>
    <row r="22" spans="3:23" s="57" customFormat="1" x14ac:dyDescent="0.25">
      <c r="G22" s="59">
        <v>110117</v>
      </c>
      <c r="H22" s="10" t="s">
        <v>4</v>
      </c>
      <c r="I22" s="81">
        <f>'Dec 2021'!G12</f>
        <v>478506.51626176049</v>
      </c>
      <c r="J22" s="81">
        <f>GETPIVOTDATA("Amt in loc.cur.",'Receivables 31.12.2021'!$A$3,"Account",110259,"Customer","NPDC/NECONDE OML 42","Venture","JV","Category","Revenue","sub-category","Crude Handling","Action party","Orupabo, Amoni ","Debts Class","Not Overdue")</f>
        <v>1329813.17</v>
      </c>
      <c r="K22" s="10">
        <f>GETPIVOTDATA("Amt in loc.cur.",'Receivables 31.12.2021'!$A$3,"Account",110259,"Customer","NPDC/NECONDE OML 42","Venture","JV","Category","Revenue","sub-category","Crude Handling","Action party","Orupabo, Amoni ","Debts Class","Overdue")</f>
        <v>2085996.4</v>
      </c>
      <c r="L22" s="10">
        <f t="shared" si="2"/>
        <v>3894316.0862617604</v>
      </c>
      <c r="M22" s="10">
        <f t="shared" si="10"/>
        <v>3660657.1210860545</v>
      </c>
      <c r="N22" s="11">
        <f t="shared" si="1"/>
        <v>1220219.0403620182</v>
      </c>
      <c r="O22" s="12">
        <v>184228.43</v>
      </c>
      <c r="P22" s="12">
        <f t="shared" si="7"/>
        <v>61409.476666666662</v>
      </c>
      <c r="Q22" s="12"/>
      <c r="R22" s="12">
        <f t="shared" si="11"/>
        <v>0</v>
      </c>
      <c r="S22" s="12"/>
      <c r="T22" s="12">
        <f t="shared" si="8"/>
        <v>0</v>
      </c>
      <c r="U22" s="12"/>
      <c r="V22" s="12"/>
      <c r="W22" s="54"/>
    </row>
    <row r="23" spans="3:23" s="57" customFormat="1" x14ac:dyDescent="0.25">
      <c r="H23" s="10" t="s">
        <v>7</v>
      </c>
      <c r="I23" s="81">
        <f>'Dec 2021'!G14</f>
        <v>6245852.2558929063</v>
      </c>
      <c r="J23" s="81">
        <f>GETPIVOTDATA("Amt in loc.cur.",'Receivables 31.12.2021'!$A$3,"Account",110260,"Customer","NPDC/HERITAGE/SHORELINE OML 30","Venture","JV","Category","Revenue","sub-category","Crude Handling","Action party","Orupabo, Amoni ","Debts Class","Not Overdue")</f>
        <v>12502386.23</v>
      </c>
      <c r="K23" s="10">
        <f>GETPIVOTDATA("Amt in loc.cur.",'Receivables 31.12.2021'!$A$3,"Account",110260,"Customer","NPDC/HERITAGE/SHORELINE OML 30","Venture","JV","Category","Revenue","sub-category","Crude Handling","Action party","Orupabo, Amoni ","Debts Class","Overdue")</f>
        <v>2621535.2300000023</v>
      </c>
      <c r="L23" s="10">
        <f t="shared" si="2"/>
        <v>21369773.715892911</v>
      </c>
      <c r="M23" s="10">
        <f t="shared" si="10"/>
        <v>20087587.292939335</v>
      </c>
      <c r="N23" s="11">
        <f t="shared" si="1"/>
        <v>6695862.4309797781</v>
      </c>
      <c r="O23" s="12">
        <v>4391728.88</v>
      </c>
      <c r="P23" s="12">
        <f t="shared" si="7"/>
        <v>1463909.6266666667</v>
      </c>
      <c r="Q23" s="12"/>
      <c r="R23" s="12">
        <f t="shared" si="11"/>
        <v>0</v>
      </c>
      <c r="S23" s="12"/>
      <c r="T23" s="12">
        <f t="shared" si="8"/>
        <v>0</v>
      </c>
      <c r="U23" s="12"/>
      <c r="V23" s="12"/>
      <c r="W23" s="54"/>
    </row>
    <row r="24" spans="3:23" s="57" customFormat="1" x14ac:dyDescent="0.25">
      <c r="H24" s="10" t="s">
        <v>6</v>
      </c>
      <c r="I24" s="81">
        <f>'Dec 2021'!G15</f>
        <v>1523832.3882810862</v>
      </c>
      <c r="J24" s="81">
        <f>GETPIVOTDATA("Amt in loc.cur.",'Receivables 31.12.2021'!$A$3,"Account",110261,"Customer","NPDC/ND WESTERN OML 34","Venture","JV","Category","Revenue","sub-category","Crude Handling","Action party","Orupabo, Amoni ","Debts Class","Not Overdue")</f>
        <v>2607964.29</v>
      </c>
      <c r="K24" s="10">
        <f>GETPIVOTDATA("Amt in loc.cur.",'Receivables 31.12.2021'!$A$3,"Account",110261,"Customer","NPDC/ND WESTERN OML 34","Venture","JV","Category","Revenue","sub-category","Crude Handling","Action party","Orupabo, Amoni ","Debts Class","Overdue")</f>
        <v>3396654.3499999996</v>
      </c>
      <c r="L24" s="10">
        <f t="shared" si="2"/>
        <v>7528451.0282810861</v>
      </c>
      <c r="M24" s="10">
        <f t="shared" si="10"/>
        <v>7076743.9665842205</v>
      </c>
      <c r="N24" s="11">
        <f t="shared" si="1"/>
        <v>2358914.6555280737</v>
      </c>
      <c r="O24" s="12">
        <v>981360.29</v>
      </c>
      <c r="P24" s="12">
        <f t="shared" si="7"/>
        <v>327120.09666666668</v>
      </c>
      <c r="Q24" s="12"/>
      <c r="R24" s="12">
        <f t="shared" si="11"/>
        <v>0</v>
      </c>
      <c r="S24" s="12"/>
      <c r="T24" s="12">
        <f t="shared" si="8"/>
        <v>0</v>
      </c>
      <c r="U24" s="12"/>
      <c r="V24" s="12"/>
      <c r="W24" s="58"/>
    </row>
    <row r="25" spans="3:23" s="57" customFormat="1" x14ac:dyDescent="0.25">
      <c r="H25" s="10" t="s">
        <v>5</v>
      </c>
      <c r="I25" s="81">
        <f>'Dec 2021'!G13</f>
        <v>1577254.6119634807</v>
      </c>
      <c r="J25" s="81">
        <f>GETPIVOTDATA("Amt in loc.cur.",'Receivables 31.12.2021'!$A$3,"Account",110262,"Customer","NPDC/ELCREST OML 40","Venture","JV","Category","Revenue","sub-category","Crude Handling","Action party","Orupabo, Amoni ","Debts Class","Not Overdue")</f>
        <v>4327412.16</v>
      </c>
      <c r="K25" s="10">
        <f>GETPIVOTDATA("Amt in loc.cur.",'Receivables 31.12.2021'!$A$3,"Account",110262,"Customer","NPDC/ELCREST OML 40","Venture","JV","Category","Revenue","sub-category","Crude Handling","Action party","Orupabo, Amoni ","Debts Class","Overdue")</f>
        <v>1835281.1099999999</v>
      </c>
      <c r="L25" s="10">
        <f t="shared" si="2"/>
        <v>7739947.8819634803</v>
      </c>
      <c r="M25" s="10">
        <f t="shared" si="10"/>
        <v>7275551.0090456707</v>
      </c>
      <c r="N25" s="11">
        <f t="shared" si="1"/>
        <v>2425183.6696818904</v>
      </c>
      <c r="O25" s="12">
        <v>716033.2</v>
      </c>
      <c r="P25" s="12">
        <f t="shared" si="7"/>
        <v>238677.73333333331</v>
      </c>
      <c r="Q25" s="12"/>
      <c r="R25" s="12">
        <f t="shared" si="11"/>
        <v>0</v>
      </c>
      <c r="S25" s="12"/>
      <c r="T25" s="12">
        <f t="shared" si="8"/>
        <v>0</v>
      </c>
      <c r="U25" s="12"/>
      <c r="V25" s="12"/>
      <c r="W25" s="58"/>
    </row>
    <row r="26" spans="3:23" s="57" customFormat="1" x14ac:dyDescent="0.25">
      <c r="C26" s="57" t="s">
        <v>8</v>
      </c>
      <c r="F26" s="57">
        <v>3.0070000000000001</v>
      </c>
      <c r="H26" s="10" t="s">
        <v>2</v>
      </c>
      <c r="I26" s="81">
        <f>'Dec 2021'!G18</f>
        <v>678939.75603266316</v>
      </c>
      <c r="J26" s="81">
        <f>GETPIVOTDATA("Amt in loc.cur.",'Receivables 31.12.2021'!$A$3,"Account",110442,"Customer","MIDWESTERN OIL &amp; GAS COMPANY LTD","Venture","JV","Category","Revenue","sub-category","Crude Handling","Action party","Orupabo, Amoni ","Debts Class","Not Overdue")</f>
        <v>1049006.6599999999</v>
      </c>
      <c r="K26" s="10">
        <f>GETPIVOTDATA("Amt in loc.cur.",'Receivables 31.12.2021'!$A$3,"Account",110442,"Customer","MIDWESTERN OIL &amp; GAS COMPANY LTD","Venture","JV","Category","Revenue","sub-category","Crude Handling","Action party","Orupabo, Amoni ","Debts Class","Overdue")</f>
        <v>6901.1699999996927</v>
      </c>
      <c r="L26" s="10">
        <f t="shared" si="2"/>
        <v>1734847.5860326628</v>
      </c>
      <c r="M26" s="10">
        <f t="shared" si="10"/>
        <v>1630756.730870703</v>
      </c>
      <c r="N26" s="11">
        <f t="shared" si="1"/>
        <v>543585.576956901</v>
      </c>
      <c r="O26" s="12">
        <f>597898.65+(207253223.66/411.1329)</f>
        <v>1102001.3955112447</v>
      </c>
      <c r="P26" s="12">
        <f t="shared" si="7"/>
        <v>367333.7985037482</v>
      </c>
      <c r="R26" s="12">
        <f t="shared" si="11"/>
        <v>0</v>
      </c>
      <c r="S26" s="12"/>
      <c r="T26" s="12">
        <f t="shared" si="8"/>
        <v>0</v>
      </c>
      <c r="U26" s="12"/>
      <c r="V26" s="12"/>
      <c r="W26" s="54"/>
    </row>
    <row r="27" spans="3:23" s="57" customFormat="1" x14ac:dyDescent="0.25">
      <c r="C27" s="57" t="s">
        <v>7</v>
      </c>
      <c r="F27" s="57">
        <v>18.556999999999999</v>
      </c>
      <c r="H27" s="10" t="s">
        <v>10</v>
      </c>
      <c r="I27" s="81">
        <f>'Dec 2021'!G6</f>
        <v>434615.68888101901</v>
      </c>
      <c r="J27" s="81">
        <f>GETPIVOTDATA("Amt in loc.cur.",'Receivables 31.12.2021'!$A$3,"Account",110467,"Customer","NPDC OREDO","Venture","JV","Category","Revenue","sub-category","Crude Handling","Action party","Orupabo, Amoni ","Debts Class","Not Overdue")</f>
        <v>1242841.52</v>
      </c>
      <c r="K27" s="10">
        <f>GETPIVOTDATA("Amt in loc.cur.",'Receivables 31.12.2021'!$A$3,"Account",110467,"Customer","NPDC OREDO","Venture","JV","Category","Revenue","sub-category","Crude Handling","Action party","Orupabo, Amoni ","Debts Class","Overdue")</f>
        <v>788533.85</v>
      </c>
      <c r="L27" s="10">
        <f t="shared" si="2"/>
        <v>2465991.0588810192</v>
      </c>
      <c r="M27" s="10">
        <f t="shared" si="10"/>
        <v>2318031.5953481579</v>
      </c>
      <c r="N27" s="11">
        <f t="shared" si="1"/>
        <v>772677.19844938593</v>
      </c>
      <c r="O27" s="12">
        <v>230439.99</v>
      </c>
      <c r="P27" s="12">
        <f>O27/3</f>
        <v>76813.33</v>
      </c>
      <c r="Q27" s="12"/>
      <c r="R27" s="12">
        <f t="shared" si="11"/>
        <v>0</v>
      </c>
      <c r="S27" s="12"/>
      <c r="T27" s="12">
        <f t="shared" si="8"/>
        <v>0</v>
      </c>
      <c r="U27" s="12"/>
      <c r="V27" s="12"/>
      <c r="W27" s="58"/>
    </row>
    <row r="28" spans="3:23" s="57" customFormat="1" x14ac:dyDescent="0.25">
      <c r="C28" s="57" t="s">
        <v>5</v>
      </c>
      <c r="E28" s="57">
        <v>3.1</v>
      </c>
      <c r="F28" s="57">
        <v>8.5969999999999995</v>
      </c>
      <c r="H28" s="10" t="s">
        <v>1</v>
      </c>
      <c r="I28" s="81">
        <f>'Dec 2021'!G23</f>
        <v>41726.595757426687</v>
      </c>
      <c r="J28" s="81">
        <f>GETPIVOTDATA("Amt in loc.cur.",'Receivables 31.12.2021'!$A$3,"Account",110521,"Customer","EXCEL E&amp;P LIMITED","Venture","JV","Category","Revenue","sub-category","Crude Handling","Action party","Orupabo, Amoni ","Debts Class","Not Overdue")</f>
        <v>35058.050000000003</v>
      </c>
      <c r="K28" s="10">
        <f>GETPIVOTDATA("Amt in loc.cur.",'Receivables 31.12.2021'!$A$3,"Account",110521,"Customer","EXCEL E&amp;P LIMITED","Venture","JV","Category","Revenue","sub-category","Crude Handling","Action party","Orupabo, Amoni ","Debts Class","Overdue")</f>
        <v>38395.630000000005</v>
      </c>
      <c r="L28" s="10">
        <f t="shared" si="2"/>
        <v>115180.27575742669</v>
      </c>
      <c r="M28" s="10">
        <f t="shared" si="10"/>
        <v>108269.45921198108</v>
      </c>
      <c r="N28" s="11">
        <f t="shared" si="1"/>
        <v>36089.81973732703</v>
      </c>
      <c r="O28" s="12"/>
      <c r="P28" s="12">
        <f t="shared" si="7"/>
        <v>0</v>
      </c>
      <c r="Q28" s="12"/>
      <c r="R28" s="12">
        <f t="shared" si="11"/>
        <v>0</v>
      </c>
      <c r="S28" s="12"/>
      <c r="T28" s="12"/>
      <c r="U28" s="12">
        <v>70521.326000000001</v>
      </c>
      <c r="V28" s="12">
        <f>U28*0.3</f>
        <v>21156.397799999999</v>
      </c>
      <c r="W28" s="58" t="s">
        <v>171</v>
      </c>
    </row>
    <row r="29" spans="3:23" s="57" customFormat="1" x14ac:dyDescent="0.25">
      <c r="C29" s="57" t="s">
        <v>3</v>
      </c>
      <c r="F29" s="57">
        <v>0</v>
      </c>
      <c r="H29" s="10" t="s">
        <v>30</v>
      </c>
      <c r="I29" s="81"/>
      <c r="J29" s="81">
        <f>GETPIVOTDATA("Amt in loc.cur.",'Receivables 31.12.2021'!$A$3,"Account",110647,"Customer","PAN OCEAN OIL CORP   OML 147","Venture","JV","Category","Revenue","sub-category","Crude Handling","Action party","Orupabo, Amoni ","Debts Class","Not Overdue")</f>
        <v>188303.15</v>
      </c>
      <c r="K29" s="10">
        <f>GETPIVOTDATA("Amt in loc.cur.",'Receivables 31.12.2021'!$A$3,"Account",110647,"Customer","PAN OCEAN OIL CORP   OML 147","Venture","JV","Category","Revenue","sub-category","Crude Handling","Action party","Orupabo, Amoni ","Debts Class","Overdue")</f>
        <v>5880078.8799999999</v>
      </c>
      <c r="L29" s="10">
        <f t="shared" si="2"/>
        <v>6068382.0300000003</v>
      </c>
      <c r="M29" s="10">
        <f t="shared" si="10"/>
        <v>5704279.1081999997</v>
      </c>
      <c r="N29" s="11">
        <f t="shared" si="1"/>
        <v>1901426.3694</v>
      </c>
      <c r="O29" s="12">
        <f>3531614.23+(838639036.97/411.1329)</f>
        <v>5571438.9119215878</v>
      </c>
      <c r="P29" s="12">
        <f t="shared" si="7"/>
        <v>1857146.3039738627</v>
      </c>
      <c r="Q29" s="12">
        <f>165478745.84/414.5035</f>
        <v>399221.58881649975</v>
      </c>
      <c r="R29" s="12">
        <f>Q29*0.3</f>
        <v>119766.47664494991</v>
      </c>
      <c r="S29" s="12"/>
      <c r="T29" s="12">
        <f t="shared" si="8"/>
        <v>0</v>
      </c>
      <c r="U29" s="12"/>
      <c r="V29" s="12"/>
      <c r="W29" s="58"/>
    </row>
    <row r="30" spans="3:23" s="57" customFormat="1" x14ac:dyDescent="0.25">
      <c r="G30" s="57">
        <v>110257</v>
      </c>
      <c r="H30" s="10" t="s">
        <v>126</v>
      </c>
      <c r="I30" s="81"/>
      <c r="J30" s="81">
        <f>I30/1000000</f>
        <v>0</v>
      </c>
      <c r="K30" s="10">
        <f>GETPIVOTDATA("Amt in loc.cur.",'Receivables 31.12.2021'!$A$3,"Account",110006,"Customer","Nigerian Petroleum Development Co","Venture","JV","Category","Revenue","sub-category","Crude Handling","Action party","Orupabo, Amoni ","Debts Class","Overdue")</f>
        <v>835598.45</v>
      </c>
      <c r="L30" s="10">
        <f t="shared" si="2"/>
        <v>835598.45</v>
      </c>
      <c r="M30" s="10">
        <f t="shared" si="10"/>
        <v>785462.54299999995</v>
      </c>
      <c r="N30" s="11">
        <f t="shared" si="1"/>
        <v>261820.84766666664</v>
      </c>
      <c r="O30" s="12"/>
      <c r="P30" s="12">
        <f t="shared" si="7"/>
        <v>0</v>
      </c>
      <c r="Q30" s="12"/>
      <c r="R30" s="12">
        <f t="shared" si="11"/>
        <v>0</v>
      </c>
      <c r="S30" s="12"/>
      <c r="T30" s="12">
        <f t="shared" si="8"/>
        <v>0</v>
      </c>
      <c r="U30" s="12"/>
      <c r="V30" s="12"/>
      <c r="W30" s="58"/>
    </row>
    <row r="31" spans="3:23" s="57" customFormat="1" ht="22.5" x14ac:dyDescent="0.25">
      <c r="C31" s="60" t="s">
        <v>2</v>
      </c>
      <c r="D31" s="61"/>
      <c r="E31" s="62">
        <v>1.2</v>
      </c>
      <c r="F31" s="63">
        <v>2.637</v>
      </c>
      <c r="G31" s="64"/>
      <c r="H31" s="11" t="s">
        <v>31</v>
      </c>
      <c r="I31" s="84">
        <f t="shared" ref="I31:M31" si="12">SUM(I1:I30)</f>
        <v>26795867.740175582</v>
      </c>
      <c r="J31" s="84">
        <f t="shared" si="12"/>
        <v>34336682.890000001</v>
      </c>
      <c r="K31" s="11">
        <f t="shared" si="12"/>
        <v>85296515.359999999</v>
      </c>
      <c r="L31" s="11">
        <f t="shared" si="12"/>
        <v>146429065.9901756</v>
      </c>
      <c r="M31" s="11">
        <f t="shared" si="12"/>
        <v>126064557.55919835</v>
      </c>
      <c r="N31" s="11">
        <f>M31/3</f>
        <v>42021519.186399452</v>
      </c>
      <c r="O31" s="12">
        <f>N31/3</f>
        <v>14007173.06213315</v>
      </c>
      <c r="P31" s="112">
        <f>SUM(P5:P30)</f>
        <v>6608867.8523938041</v>
      </c>
      <c r="Q31" s="112">
        <f>Q5+Q15+Q29</f>
        <v>2872748.5893169902</v>
      </c>
      <c r="R31" s="112">
        <f>Q31*0.3</f>
        <v>861824.57679509709</v>
      </c>
      <c r="S31" s="112"/>
      <c r="T31" s="112">
        <f>SUM(T4:T30)</f>
        <v>3081459.9935800442</v>
      </c>
      <c r="U31" s="112"/>
      <c r="V31" s="112">
        <f>SUM(V4:V30)</f>
        <v>811473.25462114892</v>
      </c>
      <c r="W31" s="58"/>
    </row>
    <row r="32" spans="3:23" ht="22.5" x14ac:dyDescent="0.25">
      <c r="C32" s="4" t="s">
        <v>1</v>
      </c>
      <c r="D32" s="6"/>
      <c r="E32" s="5">
        <v>2.0682385574412536E-2</v>
      </c>
      <c r="F32" s="1">
        <v>0.29600000000000004</v>
      </c>
      <c r="G32" s="9"/>
      <c r="L32" s="13"/>
      <c r="M32" s="13"/>
      <c r="N32" s="13"/>
      <c r="R32" s="12">
        <f t="shared" si="11"/>
        <v>0</v>
      </c>
      <c r="S32" s="109"/>
      <c r="T32" s="109"/>
      <c r="U32" s="109"/>
      <c r="V32" s="109"/>
    </row>
    <row r="33" spans="3:22" ht="22.5" x14ac:dyDescent="0.25">
      <c r="C33" s="4" t="s">
        <v>0</v>
      </c>
      <c r="D33" s="3"/>
      <c r="E33" s="2"/>
      <c r="F33" s="1">
        <v>16.687000000000001</v>
      </c>
      <c r="G33" s="9"/>
      <c r="L33" s="13"/>
      <c r="M33" s="13"/>
      <c r="N33" s="13"/>
      <c r="R33" s="12">
        <f t="shared" si="11"/>
        <v>0</v>
      </c>
      <c r="S33" s="109"/>
      <c r="T33" s="109"/>
      <c r="U33" s="109"/>
      <c r="V33" s="10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SPDC</cp:lastModifiedBy>
  <dcterms:created xsi:type="dcterms:W3CDTF">2020-03-05T11:20:55Z</dcterms:created>
  <dcterms:modified xsi:type="dcterms:W3CDTF">2022-02-17T11:33:46Z</dcterms:modified>
</cp:coreProperties>
</file>