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ginikanwa.nwaghodoh\Desktop\CHB\Cadence\"/>
    </mc:Choice>
  </mc:AlternateContent>
  <xr:revisionPtr revIDLastSave="0" documentId="8_{42AB2E6E-393A-4ED0-8202-36F99FA43205}" xr6:coauthVersionLast="47" xr6:coauthVersionMax="47" xr10:uidLastSave="{00000000-0000-0000-0000-000000000000}"/>
  <bookViews>
    <workbookView xWindow="-110" yWindow="-110" windowWidth="19420" windowHeight="10420" activeTab="1" xr2:uid="{5E3CB0A1-392E-42CD-954F-541C55241E98}"/>
  </bookViews>
  <sheets>
    <sheet name="NPDC_HCA_Input " sheetId="1" r:id="rId1"/>
    <sheet name="FRM - FOT Terminal DPR" sheetId="2" r:id="rId2"/>
  </sheets>
  <externalReferences>
    <externalReference r:id="rId3"/>
    <externalReference r:id="rId4"/>
  </externalReferences>
  <definedNames>
    <definedName name="_xlnm._FilterDatabase" localSheetId="1" hidden="1">'FRM - FOT Terminal DPR'!$C$4:$AG$4</definedName>
    <definedName name="_xlnm._FilterDatabase" localSheetId="0" hidden="1">'NPDC_HCA_Input '!$A$3:$AF$42</definedName>
    <definedName name="AREA" localSheetId="1">#REF!</definedName>
    <definedName name="AREA" localSheetId="0">#REF!</definedName>
    <definedName name="AREA">#REF!</definedName>
    <definedName name="EA" localSheetId="1">#REF!</definedName>
    <definedName name="EA" localSheetId="0">#REF!</definedName>
    <definedName name="EA">#REF!</definedName>
    <definedName name="_xlnm.Print_Area" localSheetId="1">'FRM - FOT Terminal DPR'!$C$4:$AG$43</definedName>
    <definedName name="VCF_DPR" localSheetId="0">'NPDC_HCA_Input '!#REF!</definedName>
    <definedName name="VCF_DPR">[1]Summay_Fix_Values!$D$18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6" i="2" l="1"/>
  <c r="G65" i="2"/>
  <c r="W64" i="2"/>
  <c r="G64" i="2"/>
  <c r="N64" i="2" s="1"/>
  <c r="W63" i="2"/>
  <c r="G63" i="2"/>
  <c r="N63" i="2" s="1"/>
  <c r="G62" i="2"/>
  <c r="G61" i="2"/>
  <c r="W60" i="2"/>
  <c r="W59" i="2"/>
  <c r="W66" i="2" s="1"/>
  <c r="G58" i="2"/>
  <c r="AI42" i="2"/>
  <c r="O42" i="2"/>
  <c r="N42" i="2"/>
  <c r="M42" i="2"/>
  <c r="L42" i="2"/>
  <c r="K42" i="2"/>
  <c r="J42" i="2"/>
  <c r="G42" i="2"/>
  <c r="H42" i="2" s="1"/>
  <c r="F42" i="2"/>
  <c r="AX42" i="2" s="1"/>
  <c r="B42" i="2"/>
  <c r="R42" i="2" s="1"/>
  <c r="AU42" i="2" s="1"/>
  <c r="AI41" i="2"/>
  <c r="R41" i="2"/>
  <c r="AU41" i="2" s="1"/>
  <c r="O41" i="2"/>
  <c r="N41" i="2"/>
  <c r="M41" i="2"/>
  <c r="J41" i="2"/>
  <c r="G41" i="2"/>
  <c r="BC41" i="2" s="1"/>
  <c r="F41" i="2"/>
  <c r="AX41" i="2" s="1"/>
  <c r="B41" i="2"/>
  <c r="AI40" i="2"/>
  <c r="O40" i="2"/>
  <c r="N40" i="2"/>
  <c r="M40" i="2"/>
  <c r="J40" i="2"/>
  <c r="G40" i="2"/>
  <c r="BC40" i="2" s="1"/>
  <c r="F40" i="2"/>
  <c r="B40" i="2"/>
  <c r="AI39" i="2"/>
  <c r="O39" i="2"/>
  <c r="N39" i="2"/>
  <c r="M39" i="2"/>
  <c r="L39" i="2"/>
  <c r="J39" i="2"/>
  <c r="K39" i="2" s="1"/>
  <c r="G39" i="2"/>
  <c r="BC39" i="2" s="1"/>
  <c r="F39" i="2"/>
  <c r="AX39" i="2" s="1"/>
  <c r="B39" i="2"/>
  <c r="AI38" i="2"/>
  <c r="O38" i="2"/>
  <c r="N38" i="2"/>
  <c r="M38" i="2"/>
  <c r="L38" i="2"/>
  <c r="K38" i="2"/>
  <c r="J38" i="2"/>
  <c r="G38" i="2"/>
  <c r="F38" i="2"/>
  <c r="B38" i="2"/>
  <c r="R38" i="2" s="1"/>
  <c r="AU38" i="2" s="1"/>
  <c r="AI37" i="2"/>
  <c r="O37" i="2"/>
  <c r="N37" i="2"/>
  <c r="M37" i="2"/>
  <c r="J37" i="2"/>
  <c r="K37" i="2" s="1"/>
  <c r="G37" i="2"/>
  <c r="BC37" i="2" s="1"/>
  <c r="F37" i="2"/>
  <c r="B37" i="2"/>
  <c r="AI36" i="2"/>
  <c r="O36" i="2"/>
  <c r="N36" i="2"/>
  <c r="M36" i="2"/>
  <c r="J36" i="2"/>
  <c r="G36" i="2"/>
  <c r="BC36" i="2" s="1"/>
  <c r="F36" i="2"/>
  <c r="B36" i="2"/>
  <c r="AI35" i="2"/>
  <c r="O35" i="2"/>
  <c r="N35" i="2"/>
  <c r="M35" i="2"/>
  <c r="L35" i="2"/>
  <c r="J35" i="2"/>
  <c r="K35" i="2" s="1"/>
  <c r="G35" i="2"/>
  <c r="F35" i="2"/>
  <c r="P35" i="2" s="1"/>
  <c r="BA35" i="2" s="1"/>
  <c r="B35" i="2"/>
  <c r="AI34" i="2"/>
  <c r="O34" i="2"/>
  <c r="N34" i="2"/>
  <c r="M34" i="2"/>
  <c r="K34" i="2"/>
  <c r="J34" i="2"/>
  <c r="L34" i="2" s="1"/>
  <c r="P34" i="2" s="1"/>
  <c r="G34" i="2"/>
  <c r="BC34" i="2" s="1"/>
  <c r="F34" i="2"/>
  <c r="AX34" i="2" s="1"/>
  <c r="B34" i="2"/>
  <c r="AI33" i="2"/>
  <c r="O33" i="2"/>
  <c r="N33" i="2"/>
  <c r="M33" i="2"/>
  <c r="J33" i="2"/>
  <c r="K33" i="2" s="1"/>
  <c r="G33" i="2"/>
  <c r="BC33" i="2" s="1"/>
  <c r="F33" i="2"/>
  <c r="AX33" i="2" s="1"/>
  <c r="B33" i="2"/>
  <c r="AI32" i="2"/>
  <c r="O32" i="2"/>
  <c r="N32" i="2"/>
  <c r="M32" i="2"/>
  <c r="J32" i="2"/>
  <c r="G32" i="2"/>
  <c r="BC32" i="2" s="1"/>
  <c r="F32" i="2"/>
  <c r="B32" i="2"/>
  <c r="R32" i="2" s="1"/>
  <c r="AU32" i="2" s="1"/>
  <c r="AI31" i="2"/>
  <c r="O31" i="2"/>
  <c r="N31" i="2"/>
  <c r="M31" i="2"/>
  <c r="L31" i="2"/>
  <c r="K31" i="2"/>
  <c r="J31" i="2"/>
  <c r="G31" i="2"/>
  <c r="BC31" i="2" s="1"/>
  <c r="F31" i="2"/>
  <c r="AX31" i="2" s="1"/>
  <c r="B31" i="2"/>
  <c r="AI30" i="2"/>
  <c r="O30" i="2"/>
  <c r="N30" i="2"/>
  <c r="M30" i="2"/>
  <c r="L30" i="2"/>
  <c r="J30" i="2"/>
  <c r="K30" i="2" s="1"/>
  <c r="G30" i="2"/>
  <c r="BC30" i="2" s="1"/>
  <c r="F30" i="2"/>
  <c r="B30" i="2"/>
  <c r="R30" i="2" s="1"/>
  <c r="AU30" i="2" s="1"/>
  <c r="AI29" i="2"/>
  <c r="O29" i="2"/>
  <c r="N29" i="2"/>
  <c r="M29" i="2"/>
  <c r="J29" i="2"/>
  <c r="K29" i="2" s="1"/>
  <c r="E29" i="2"/>
  <c r="F29" i="2" s="1"/>
  <c r="B29" i="2"/>
  <c r="R29" i="2" s="1"/>
  <c r="AU29" i="2" s="1"/>
  <c r="AI28" i="2"/>
  <c r="O28" i="2"/>
  <c r="N28" i="2"/>
  <c r="M28" i="2"/>
  <c r="K28" i="2"/>
  <c r="J28" i="2"/>
  <c r="L28" i="2" s="1"/>
  <c r="E28" i="2"/>
  <c r="B28" i="2"/>
  <c r="R28" i="2" s="1"/>
  <c r="AU28" i="2" s="1"/>
  <c r="AI27" i="2"/>
  <c r="R27" i="2"/>
  <c r="AU27" i="2" s="1"/>
  <c r="O27" i="2"/>
  <c r="N27" i="2"/>
  <c r="M27" i="2"/>
  <c r="J27" i="2"/>
  <c r="F27" i="2"/>
  <c r="E27" i="2"/>
  <c r="AV27" i="2" s="1"/>
  <c r="B27" i="2"/>
  <c r="AI26" i="2"/>
  <c r="O26" i="2"/>
  <c r="N26" i="2"/>
  <c r="M26" i="2"/>
  <c r="K26" i="2"/>
  <c r="J26" i="2"/>
  <c r="E26" i="2"/>
  <c r="F26" i="2" s="1"/>
  <c r="B26" i="2"/>
  <c r="R26" i="2" s="1"/>
  <c r="AU26" i="2" s="1"/>
  <c r="AI25" i="2"/>
  <c r="O25" i="2"/>
  <c r="N25" i="2"/>
  <c r="M25" i="2"/>
  <c r="J25" i="2"/>
  <c r="K25" i="2" s="1"/>
  <c r="F25" i="2"/>
  <c r="AX25" i="2" s="1"/>
  <c r="E25" i="2"/>
  <c r="AV25" i="2" s="1"/>
  <c r="B25" i="2"/>
  <c r="R25" i="2" s="1"/>
  <c r="AU25" i="2" s="1"/>
  <c r="AI24" i="2"/>
  <c r="O24" i="2"/>
  <c r="N24" i="2"/>
  <c r="M24" i="2"/>
  <c r="J24" i="2"/>
  <c r="E24" i="2"/>
  <c r="F24" i="2" s="1"/>
  <c r="AX24" i="2" s="1"/>
  <c r="B24" i="2"/>
  <c r="R24" i="2" s="1"/>
  <c r="AU24" i="2" s="1"/>
  <c r="AI23" i="2"/>
  <c r="O23" i="2"/>
  <c r="N23" i="2"/>
  <c r="M23" i="2"/>
  <c r="J23" i="2"/>
  <c r="K23" i="2" s="1"/>
  <c r="F23" i="2"/>
  <c r="E23" i="2"/>
  <c r="AV23" i="2" s="1"/>
  <c r="B23" i="2"/>
  <c r="R23" i="2" s="1"/>
  <c r="AU23" i="2" s="1"/>
  <c r="AV22" i="2"/>
  <c r="AI22" i="2"/>
  <c r="O22" i="2"/>
  <c r="N22" i="2"/>
  <c r="M22" i="2"/>
  <c r="J22" i="2"/>
  <c r="G22" i="2"/>
  <c r="BC22" i="2" s="1"/>
  <c r="F22" i="2"/>
  <c r="E22" i="2"/>
  <c r="B22" i="2"/>
  <c r="R22" i="2" s="1"/>
  <c r="AU22" i="2" s="1"/>
  <c r="DE21" i="2"/>
  <c r="DD21" i="2"/>
  <c r="DA21" i="2"/>
  <c r="CW21" i="2"/>
  <c r="CV21" i="2"/>
  <c r="AX21" i="2"/>
  <c r="AI21" i="2"/>
  <c r="O21" i="2"/>
  <c r="N21" i="2"/>
  <c r="M21" i="2"/>
  <c r="L21" i="2"/>
  <c r="K21" i="2"/>
  <c r="J21" i="2"/>
  <c r="G21" i="2"/>
  <c r="BC21" i="2" s="1"/>
  <c r="F21" i="2"/>
  <c r="B21" i="2"/>
  <c r="R21" i="2" s="1"/>
  <c r="DE20" i="2"/>
  <c r="DD20" i="2"/>
  <c r="DA20" i="2"/>
  <c r="CW20" i="2"/>
  <c r="CV20" i="2"/>
  <c r="AI20" i="2"/>
  <c r="O20" i="2"/>
  <c r="N20" i="2"/>
  <c r="M20" i="2"/>
  <c r="J20" i="2"/>
  <c r="G20" i="2"/>
  <c r="BC20" i="2" s="1"/>
  <c r="F20" i="2"/>
  <c r="B20" i="2"/>
  <c r="DE19" i="2"/>
  <c r="DD19" i="2"/>
  <c r="DA19" i="2"/>
  <c r="CW19" i="2"/>
  <c r="CV19" i="2"/>
  <c r="AI19" i="2"/>
  <c r="O19" i="2"/>
  <c r="N19" i="2"/>
  <c r="M19" i="2"/>
  <c r="J19" i="2"/>
  <c r="G19" i="2"/>
  <c r="BC19" i="2" s="1"/>
  <c r="F19" i="2"/>
  <c r="AX19" i="2" s="1"/>
  <c r="B19" i="2"/>
  <c r="DE18" i="2"/>
  <c r="DD18" i="2"/>
  <c r="CW18" i="2"/>
  <c r="CV18" i="2"/>
  <c r="BJ18" i="2"/>
  <c r="AI18" i="2"/>
  <c r="O18" i="2"/>
  <c r="N18" i="2"/>
  <c r="M18" i="2"/>
  <c r="J18" i="2"/>
  <c r="G18" i="2"/>
  <c r="BC18" i="2" s="1"/>
  <c r="F18" i="2"/>
  <c r="AX18" i="2" s="1"/>
  <c r="B18" i="2"/>
  <c r="DE17" i="2"/>
  <c r="DD17" i="2"/>
  <c r="CW17" i="2"/>
  <c r="CV17" i="2"/>
  <c r="BJ17" i="2"/>
  <c r="AI17" i="2"/>
  <c r="O17" i="2"/>
  <c r="N17" i="2"/>
  <c r="M17" i="2"/>
  <c r="J17" i="2"/>
  <c r="K17" i="2" s="1"/>
  <c r="G17" i="2"/>
  <c r="BC17" i="2" s="1"/>
  <c r="F17" i="2"/>
  <c r="AX17" i="2" s="1"/>
  <c r="DE16" i="2"/>
  <c r="DD16" i="2"/>
  <c r="AI16" i="2"/>
  <c r="O16" i="2"/>
  <c r="N16" i="2"/>
  <c r="M16" i="2"/>
  <c r="L16" i="2"/>
  <c r="J16" i="2"/>
  <c r="K16" i="2" s="1"/>
  <c r="P16" i="2" s="1"/>
  <c r="G16" i="2"/>
  <c r="BC16" i="2" s="1"/>
  <c r="F16" i="2"/>
  <c r="AX16" i="2" s="1"/>
  <c r="B16" i="2"/>
  <c r="DK15" i="2"/>
  <c r="DJ15" i="2"/>
  <c r="DI15" i="2"/>
  <c r="DH15" i="2"/>
  <c r="AI15" i="2"/>
  <c r="O15" i="2"/>
  <c r="N15" i="2"/>
  <c r="M15" i="2"/>
  <c r="J15" i="2"/>
  <c r="K15" i="2" s="1"/>
  <c r="G15" i="2"/>
  <c r="BC15" i="2" s="1"/>
  <c r="F15" i="2"/>
  <c r="B15" i="2"/>
  <c r="AI14" i="2"/>
  <c r="O14" i="2"/>
  <c r="N14" i="2"/>
  <c r="M14" i="2"/>
  <c r="J14" i="2"/>
  <c r="K14" i="2" s="1"/>
  <c r="G14" i="2"/>
  <c r="BC14" i="2" s="1"/>
  <c r="F14" i="2"/>
  <c r="H14" i="2" s="1"/>
  <c r="AR14" i="2" s="1"/>
  <c r="B14" i="2"/>
  <c r="DE13" i="2"/>
  <c r="DD13" i="2"/>
  <c r="AI13" i="2"/>
  <c r="O13" i="2"/>
  <c r="N13" i="2"/>
  <c r="M13" i="2"/>
  <c r="J13" i="2"/>
  <c r="K13" i="2" s="1"/>
  <c r="G13" i="2"/>
  <c r="BC13" i="2" s="1"/>
  <c r="F13" i="2"/>
  <c r="B13" i="2"/>
  <c r="DE12" i="2"/>
  <c r="DD12" i="2"/>
  <c r="AI12" i="2"/>
  <c r="O12" i="2"/>
  <c r="N12" i="2"/>
  <c r="M12" i="2"/>
  <c r="J12" i="2"/>
  <c r="K12" i="2" s="1"/>
  <c r="G12" i="2"/>
  <c r="BC12" i="2" s="1"/>
  <c r="F12" i="2"/>
  <c r="B12" i="2"/>
  <c r="DM11" i="2"/>
  <c r="DE11" i="2" s="1"/>
  <c r="DL11" i="2"/>
  <c r="DD11" i="2" s="1"/>
  <c r="AI11" i="2"/>
  <c r="O11" i="2"/>
  <c r="N11" i="2"/>
  <c r="M11" i="2"/>
  <c r="J11" i="2"/>
  <c r="K11" i="2" s="1"/>
  <c r="G11" i="2"/>
  <c r="BC11" i="2" s="1"/>
  <c r="F11" i="2"/>
  <c r="AX11" i="2" s="1"/>
  <c r="B11" i="2"/>
  <c r="DE10" i="2"/>
  <c r="DD10" i="2"/>
  <c r="AI10" i="2"/>
  <c r="AA10" i="2"/>
  <c r="O10" i="2"/>
  <c r="N10" i="2"/>
  <c r="M10" i="2"/>
  <c r="J10" i="2"/>
  <c r="K10" i="2" s="1"/>
  <c r="H10" i="2"/>
  <c r="AZ10" i="2" s="1"/>
  <c r="G10" i="2"/>
  <c r="BC10" i="2" s="1"/>
  <c r="F10" i="2"/>
  <c r="AX10" i="2" s="1"/>
  <c r="B10" i="2"/>
  <c r="DM9" i="2"/>
  <c r="DL9" i="2"/>
  <c r="DE9" i="2"/>
  <c r="AI9" i="2"/>
  <c r="O9" i="2"/>
  <c r="N9" i="2"/>
  <c r="M9" i="2"/>
  <c r="J9" i="2"/>
  <c r="L9" i="2" s="1"/>
  <c r="G9" i="2"/>
  <c r="BC9" i="2" s="1"/>
  <c r="F9" i="2"/>
  <c r="B9" i="2"/>
  <c r="DE8" i="2"/>
  <c r="DD8" i="2"/>
  <c r="AI8" i="2"/>
  <c r="O8" i="2"/>
  <c r="N8" i="2"/>
  <c r="M8" i="2"/>
  <c r="J8" i="2"/>
  <c r="K8" i="2" s="1"/>
  <c r="G8" i="2"/>
  <c r="BC8" i="2" s="1"/>
  <c r="F8" i="2"/>
  <c r="AX8" i="2" s="1"/>
  <c r="B8" i="2"/>
  <c r="DE7" i="2"/>
  <c r="DD7" i="2"/>
  <c r="AI7" i="2"/>
  <c r="O7" i="2"/>
  <c r="N7" i="2"/>
  <c r="M7" i="2"/>
  <c r="J7" i="2"/>
  <c r="K7" i="2" s="1"/>
  <c r="G7" i="2"/>
  <c r="BC7" i="2" s="1"/>
  <c r="F7" i="2"/>
  <c r="B7" i="2"/>
  <c r="DE6" i="2"/>
  <c r="DD6" i="2"/>
  <c r="AI6" i="2"/>
  <c r="O6" i="2"/>
  <c r="N6" i="2"/>
  <c r="M6" i="2"/>
  <c r="K6" i="2"/>
  <c r="J6" i="2"/>
  <c r="G6" i="2"/>
  <c r="BC6" i="2" s="1"/>
  <c r="F6" i="2"/>
  <c r="AX6" i="2" s="1"/>
  <c r="B6" i="2"/>
  <c r="DE5" i="2"/>
  <c r="DD5" i="2"/>
  <c r="AI5" i="2"/>
  <c r="O5" i="2"/>
  <c r="N5" i="2"/>
  <c r="M5" i="2"/>
  <c r="L5" i="2"/>
  <c r="J5" i="2"/>
  <c r="G5" i="2"/>
  <c r="BC5" i="2" s="1"/>
  <c r="F5" i="2"/>
  <c r="B5" i="2"/>
  <c r="G115" i="1"/>
  <c r="G116" i="1" s="1"/>
  <c r="F115" i="1"/>
  <c r="E115" i="1" s="1"/>
  <c r="E116" i="1" s="1"/>
  <c r="C110" i="1"/>
  <c r="C109" i="1"/>
  <c r="C108" i="1"/>
  <c r="C107" i="1"/>
  <c r="C106" i="1"/>
  <c r="C105" i="1"/>
  <c r="C104" i="1"/>
  <c r="C103" i="1"/>
  <c r="C102" i="1"/>
  <c r="C101" i="1"/>
  <c r="C100" i="1"/>
  <c r="C99" i="1"/>
  <c r="E92" i="1"/>
  <c r="G90" i="1"/>
  <c r="F90" i="1"/>
  <c r="F94" i="1" s="1"/>
  <c r="F100" i="1" s="1"/>
  <c r="D81" i="1"/>
  <c r="W58" i="2" s="1"/>
  <c r="D69" i="1"/>
  <c r="G91" i="1" s="1"/>
  <c r="D67" i="1"/>
  <c r="F91" i="1" s="1"/>
  <c r="D52" i="1"/>
  <c r="D50" i="1"/>
  <c r="D48" i="1"/>
  <c r="D46" i="1"/>
  <c r="N42" i="1"/>
  <c r="I42" i="1"/>
  <c r="H42" i="1"/>
  <c r="F42" i="1"/>
  <c r="F52" i="1" s="1"/>
  <c r="N41" i="1"/>
  <c r="I41" i="1"/>
  <c r="H41" i="1"/>
  <c r="J41" i="1" s="1"/>
  <c r="F41" i="1"/>
  <c r="G41" i="1" s="1"/>
  <c r="N40" i="1"/>
  <c r="I40" i="1"/>
  <c r="J40" i="1" s="1"/>
  <c r="K40" i="1" s="1"/>
  <c r="H40" i="1"/>
  <c r="G40" i="1"/>
  <c r="F40" i="1"/>
  <c r="N39" i="1"/>
  <c r="I39" i="1"/>
  <c r="H39" i="1"/>
  <c r="F39" i="1"/>
  <c r="G39" i="1" s="1"/>
  <c r="N38" i="1"/>
  <c r="I38" i="1"/>
  <c r="H38" i="1"/>
  <c r="F38" i="1"/>
  <c r="G38" i="1" s="1"/>
  <c r="N37" i="1"/>
  <c r="I37" i="1"/>
  <c r="H37" i="1"/>
  <c r="F37" i="1"/>
  <c r="G37" i="1" s="1"/>
  <c r="N36" i="1"/>
  <c r="I36" i="1"/>
  <c r="J36" i="1" s="1"/>
  <c r="K36" i="1" s="1"/>
  <c r="H36" i="1"/>
  <c r="F36" i="1"/>
  <c r="G36" i="1" s="1"/>
  <c r="N35" i="1"/>
  <c r="I35" i="1"/>
  <c r="H35" i="1"/>
  <c r="J35" i="1" s="1"/>
  <c r="F35" i="1"/>
  <c r="G35" i="1" s="1"/>
  <c r="N34" i="1"/>
  <c r="I34" i="1"/>
  <c r="H34" i="1"/>
  <c r="J34" i="1" s="1"/>
  <c r="K34" i="1" s="1"/>
  <c r="G34" i="1"/>
  <c r="F34" i="1"/>
  <c r="N33" i="1"/>
  <c r="I33" i="1"/>
  <c r="H33" i="1"/>
  <c r="F33" i="1"/>
  <c r="G33" i="1" s="1"/>
  <c r="N32" i="1"/>
  <c r="I32" i="1"/>
  <c r="G32" i="1"/>
  <c r="K110" i="1" s="1"/>
  <c r="F32" i="1"/>
  <c r="J110" i="1" s="1"/>
  <c r="I110" i="1" s="1"/>
  <c r="H32" i="1" s="1"/>
  <c r="N31" i="1"/>
  <c r="F31" i="1"/>
  <c r="G31" i="1" s="1"/>
  <c r="K109" i="1" s="1"/>
  <c r="N30" i="1"/>
  <c r="F30" i="1"/>
  <c r="G30" i="1" s="1"/>
  <c r="K108" i="1" s="1"/>
  <c r="K30" i="1" s="1"/>
  <c r="N29" i="1"/>
  <c r="F29" i="1"/>
  <c r="G29" i="1" s="1"/>
  <c r="K107" i="1" s="1"/>
  <c r="N28" i="1"/>
  <c r="F28" i="1"/>
  <c r="J106" i="1" s="1"/>
  <c r="J28" i="1" s="1"/>
  <c r="N27" i="1"/>
  <c r="F27" i="1"/>
  <c r="J105" i="1" s="1"/>
  <c r="N26" i="1"/>
  <c r="G26" i="1"/>
  <c r="K104" i="1" s="1"/>
  <c r="K26" i="1" s="1"/>
  <c r="F26" i="1"/>
  <c r="J104" i="1" s="1"/>
  <c r="J26" i="1" s="1"/>
  <c r="N25" i="1"/>
  <c r="F25" i="1"/>
  <c r="G25" i="1" s="1"/>
  <c r="K103" i="1" s="1"/>
  <c r="K25" i="1" s="1"/>
  <c r="N24" i="1"/>
  <c r="G24" i="1"/>
  <c r="K102" i="1" s="1"/>
  <c r="K24" i="1" s="1"/>
  <c r="F24" i="1"/>
  <c r="J102" i="1" s="1"/>
  <c r="N23" i="1"/>
  <c r="F23" i="1"/>
  <c r="G23" i="1" s="1"/>
  <c r="K101" i="1" s="1"/>
  <c r="K23" i="1" s="1"/>
  <c r="N22" i="1"/>
  <c r="F22" i="1"/>
  <c r="G22" i="1" s="1"/>
  <c r="N21" i="1"/>
  <c r="F21" i="1"/>
  <c r="N20" i="1"/>
  <c r="I20" i="1"/>
  <c r="H20" i="1"/>
  <c r="G20" i="1"/>
  <c r="F20" i="1"/>
  <c r="N19" i="1"/>
  <c r="I19" i="1"/>
  <c r="J19" i="1" s="1"/>
  <c r="H19" i="1"/>
  <c r="F19" i="1"/>
  <c r="G19" i="1" s="1"/>
  <c r="N18" i="1"/>
  <c r="I18" i="1"/>
  <c r="H18" i="1"/>
  <c r="F18" i="1"/>
  <c r="G18" i="1" s="1"/>
  <c r="N17" i="1"/>
  <c r="I17" i="1"/>
  <c r="H17" i="1"/>
  <c r="J17" i="1" s="1"/>
  <c r="F17" i="1"/>
  <c r="G17" i="1" s="1"/>
  <c r="N16" i="1"/>
  <c r="I16" i="1"/>
  <c r="J16" i="1" s="1"/>
  <c r="K16" i="1" s="1"/>
  <c r="H16" i="1"/>
  <c r="F16" i="1"/>
  <c r="G16" i="1" s="1"/>
  <c r="N15" i="1"/>
  <c r="I15" i="1"/>
  <c r="H15" i="1"/>
  <c r="F15" i="1"/>
  <c r="G15" i="1" s="1"/>
  <c r="N14" i="1"/>
  <c r="I14" i="1"/>
  <c r="H14" i="1"/>
  <c r="J14" i="1" s="1"/>
  <c r="K14" i="1" s="1"/>
  <c r="F14" i="1"/>
  <c r="G14" i="1" s="1"/>
  <c r="N13" i="1"/>
  <c r="I13" i="1"/>
  <c r="H13" i="1"/>
  <c r="F13" i="1"/>
  <c r="G13" i="1" s="1"/>
  <c r="N12" i="1"/>
  <c r="I12" i="1"/>
  <c r="J12" i="1" s="1"/>
  <c r="K12" i="1" s="1"/>
  <c r="H12" i="1"/>
  <c r="F12" i="1"/>
  <c r="G12" i="1" s="1"/>
  <c r="N11" i="1"/>
  <c r="I11" i="1"/>
  <c r="H11" i="1"/>
  <c r="J11" i="1" s="1"/>
  <c r="F11" i="1"/>
  <c r="G11" i="1" s="1"/>
  <c r="N10" i="1"/>
  <c r="I10" i="1"/>
  <c r="H10" i="1"/>
  <c r="J10" i="1" s="1"/>
  <c r="K10" i="1" s="1"/>
  <c r="G10" i="1"/>
  <c r="F10" i="1"/>
  <c r="N9" i="1"/>
  <c r="I9" i="1"/>
  <c r="H9" i="1"/>
  <c r="J9" i="1" s="1"/>
  <c r="F9" i="1"/>
  <c r="G9" i="1" s="1"/>
  <c r="N8" i="1"/>
  <c r="I8" i="1"/>
  <c r="J8" i="1" s="1"/>
  <c r="K8" i="1" s="1"/>
  <c r="H8" i="1"/>
  <c r="F8" i="1"/>
  <c r="G8" i="1" s="1"/>
  <c r="N7" i="1"/>
  <c r="J7" i="1"/>
  <c r="I7" i="1"/>
  <c r="H7" i="1"/>
  <c r="F7" i="1"/>
  <c r="G7" i="1" s="1"/>
  <c r="N6" i="1"/>
  <c r="I6" i="1"/>
  <c r="H6" i="1"/>
  <c r="J6" i="1" s="1"/>
  <c r="K6" i="1" s="1"/>
  <c r="F6" i="1"/>
  <c r="G6" i="1" s="1"/>
  <c r="N5" i="1"/>
  <c r="I5" i="1"/>
  <c r="H5" i="1"/>
  <c r="F5" i="1"/>
  <c r="G28" i="1" l="1"/>
  <c r="K106" i="1" s="1"/>
  <c r="K28" i="1" s="1"/>
  <c r="G42" i="1"/>
  <c r="G52" i="1" s="1"/>
  <c r="J103" i="1"/>
  <c r="J25" i="1" s="1"/>
  <c r="L7" i="2"/>
  <c r="L12" i="2"/>
  <c r="H35" i="2"/>
  <c r="AX35" i="2"/>
  <c r="P42" i="2"/>
  <c r="J18" i="1"/>
  <c r="K18" i="1" s="1"/>
  <c r="J42" i="1"/>
  <c r="J52" i="1" s="1"/>
  <c r="I52" i="1" s="1"/>
  <c r="H52" i="1"/>
  <c r="J108" i="1"/>
  <c r="F116" i="1"/>
  <c r="K15" i="1"/>
  <c r="P21" i="2"/>
  <c r="Q21" i="2" s="1"/>
  <c r="AS21" i="2" s="1"/>
  <c r="I38" i="2"/>
  <c r="H39" i="2"/>
  <c r="AR39" i="2" s="1"/>
  <c r="K7" i="1"/>
  <c r="J15" i="1"/>
  <c r="J20" i="1"/>
  <c r="J39" i="1"/>
  <c r="K39" i="1" s="1"/>
  <c r="I7" i="2"/>
  <c r="AY7" i="2" s="1"/>
  <c r="I10" i="2"/>
  <c r="AY10" i="2" s="1"/>
  <c r="AR10" i="2"/>
  <c r="L13" i="2"/>
  <c r="G25" i="2"/>
  <c r="BC25" i="2" s="1"/>
  <c r="L29" i="2"/>
  <c r="P29" i="2" s="1"/>
  <c r="H30" i="2"/>
  <c r="I30" i="2" s="1"/>
  <c r="H38" i="2"/>
  <c r="AR38" i="2" s="1"/>
  <c r="W74" i="2"/>
  <c r="K19" i="1"/>
  <c r="H5" i="2"/>
  <c r="I5" i="2" s="1"/>
  <c r="H25" i="2"/>
  <c r="H34" i="2"/>
  <c r="AZ34" i="2" s="1"/>
  <c r="F50" i="1"/>
  <c r="E50" i="1" s="1"/>
  <c r="J33" i="1"/>
  <c r="J38" i="1"/>
  <c r="K38" i="1" s="1"/>
  <c r="G94" i="1"/>
  <c r="G100" i="1" s="1"/>
  <c r="K100" i="1" s="1"/>
  <c r="K22" i="1" s="1"/>
  <c r="H7" i="2"/>
  <c r="AR7" i="2" s="1"/>
  <c r="AX14" i="2"/>
  <c r="AV26" i="2"/>
  <c r="P30" i="2"/>
  <c r="AX38" i="2"/>
  <c r="P39" i="2"/>
  <c r="G59" i="2"/>
  <c r="K11" i="1"/>
  <c r="K35" i="1"/>
  <c r="E52" i="1"/>
  <c r="J107" i="1"/>
  <c r="I107" i="1" s="1"/>
  <c r="H29" i="1" s="1"/>
  <c r="P7" i="2"/>
  <c r="BA7" i="2" s="1"/>
  <c r="DM15" i="2"/>
  <c r="L25" i="2"/>
  <c r="G26" i="2"/>
  <c r="BC26" i="2" s="1"/>
  <c r="BC38" i="2"/>
  <c r="J27" i="1"/>
  <c r="I102" i="1"/>
  <c r="H24" i="1" s="1"/>
  <c r="I24" i="1" s="1"/>
  <c r="K42" i="1"/>
  <c r="K52" i="1" s="1"/>
  <c r="E100" i="1"/>
  <c r="E112" i="1" s="1"/>
  <c r="F112" i="1"/>
  <c r="F117" i="1"/>
  <c r="J100" i="1"/>
  <c r="I108" i="1"/>
  <c r="H30" i="1" s="1"/>
  <c r="I26" i="1"/>
  <c r="K20" i="1"/>
  <c r="J32" i="1"/>
  <c r="K32" i="1" s="1"/>
  <c r="AO7" i="2"/>
  <c r="I30" i="1"/>
  <c r="G112" i="1"/>
  <c r="G117" i="1"/>
  <c r="G118" i="1" s="1"/>
  <c r="E91" i="1"/>
  <c r="AS7" i="2"/>
  <c r="Q7" i="2"/>
  <c r="G5" i="1"/>
  <c r="G86" i="1" s="1"/>
  <c r="K9" i="1"/>
  <c r="K17" i="1"/>
  <c r="G21" i="1"/>
  <c r="K99" i="1" s="1"/>
  <c r="J24" i="1"/>
  <c r="K33" i="1"/>
  <c r="K41" i="1"/>
  <c r="I104" i="1"/>
  <c r="H26" i="1" s="1"/>
  <c r="I106" i="1"/>
  <c r="H28" i="1" s="1"/>
  <c r="I28" i="1" s="1"/>
  <c r="AX5" i="2"/>
  <c r="DE15" i="2"/>
  <c r="W7" i="2"/>
  <c r="AX7" i="2"/>
  <c r="L11" i="2"/>
  <c r="P11" i="2" s="1"/>
  <c r="AX9" i="2"/>
  <c r="DL15" i="2"/>
  <c r="DD9" i="2"/>
  <c r="DD15" i="2" s="1"/>
  <c r="BA16" i="2"/>
  <c r="AS16" i="2"/>
  <c r="W16" i="2"/>
  <c r="Q16" i="2"/>
  <c r="G27" i="1"/>
  <c r="K105" i="1" s="1"/>
  <c r="K27" i="1" s="1"/>
  <c r="J99" i="1"/>
  <c r="AZ5" i="2"/>
  <c r="L6" i="2"/>
  <c r="P6" i="2" s="1"/>
  <c r="AZ7" i="2"/>
  <c r="H8" i="2"/>
  <c r="AO10" i="2"/>
  <c r="BA21" i="2"/>
  <c r="J5" i="1"/>
  <c r="J13" i="1"/>
  <c r="K13" i="1" s="1"/>
  <c r="J29" i="1"/>
  <c r="K29" i="1" s="1"/>
  <c r="I29" i="1" s="1"/>
  <c r="J37" i="1"/>
  <c r="K37" i="1" s="1"/>
  <c r="F46" i="1"/>
  <c r="F48" i="1"/>
  <c r="E48" i="1" s="1"/>
  <c r="F86" i="1"/>
  <c r="E90" i="1"/>
  <c r="H9" i="2"/>
  <c r="AM10" i="2"/>
  <c r="P12" i="2"/>
  <c r="H12" i="2"/>
  <c r="I12" i="2" s="1"/>
  <c r="AX12" i="2"/>
  <c r="K5" i="1"/>
  <c r="I103" i="1"/>
  <c r="H25" i="1" s="1"/>
  <c r="I25" i="1" s="1"/>
  <c r="K5" i="2"/>
  <c r="P5" i="2" s="1"/>
  <c r="AR5" i="2"/>
  <c r="I9" i="2"/>
  <c r="H48" i="1"/>
  <c r="J101" i="1"/>
  <c r="J109" i="1"/>
  <c r="W65" i="2"/>
  <c r="N65" i="2" s="1"/>
  <c r="X58" i="2"/>
  <c r="F87" i="1"/>
  <c r="N90" i="2"/>
  <c r="N91" i="2"/>
  <c r="H6" i="2"/>
  <c r="L8" i="2"/>
  <c r="P8" i="2" s="1"/>
  <c r="K9" i="2"/>
  <c r="P9" i="2" s="1"/>
  <c r="H11" i="2"/>
  <c r="I11" i="2" s="1"/>
  <c r="E85" i="1"/>
  <c r="N54" i="2"/>
  <c r="F46" i="2"/>
  <c r="AX13" i="2"/>
  <c r="H16" i="2"/>
  <c r="K20" i="2"/>
  <c r="L20" i="2"/>
  <c r="P20" i="2" s="1"/>
  <c r="H21" i="2"/>
  <c r="L22" i="2"/>
  <c r="K22" i="2"/>
  <c r="P22" i="2" s="1"/>
  <c r="H13" i="2"/>
  <c r="P13" i="2"/>
  <c r="W13" i="2" s="1"/>
  <c r="AZ14" i="2"/>
  <c r="L15" i="2"/>
  <c r="P15" i="2" s="1"/>
  <c r="L18" i="2"/>
  <c r="H19" i="2"/>
  <c r="I14" i="2"/>
  <c r="K18" i="2"/>
  <c r="P18" i="2" s="1"/>
  <c r="AX15" i="2"/>
  <c r="W15" i="2"/>
  <c r="H17" i="2"/>
  <c r="L19" i="2"/>
  <c r="H20" i="2"/>
  <c r="AX20" i="2"/>
  <c r="AU21" i="2"/>
  <c r="L10" i="2"/>
  <c r="P10" i="2" s="1"/>
  <c r="W10" i="2" s="1"/>
  <c r="L14" i="2"/>
  <c r="P14" i="2" s="1"/>
  <c r="H15" i="2"/>
  <c r="K19" i="2"/>
  <c r="W93" i="2"/>
  <c r="W98" i="2"/>
  <c r="W92" i="2"/>
  <c r="W97" i="2"/>
  <c r="AX22" i="2"/>
  <c r="H22" i="2"/>
  <c r="I22" i="2" s="1"/>
  <c r="BA30" i="2"/>
  <c r="Q30" i="2"/>
  <c r="AS30" i="2" s="1"/>
  <c r="L17" i="2"/>
  <c r="P17" i="2" s="1"/>
  <c r="H18" i="2"/>
  <c r="I18" i="2" s="1"/>
  <c r="I20" i="2"/>
  <c r="L23" i="2"/>
  <c r="P23" i="2" s="1"/>
  <c r="AX29" i="2"/>
  <c r="BA34" i="2"/>
  <c r="Q34" i="2"/>
  <c r="AR35" i="2"/>
  <c r="AZ35" i="2"/>
  <c r="I35" i="2"/>
  <c r="K24" i="2"/>
  <c r="L24" i="2"/>
  <c r="AZ25" i="2"/>
  <c r="AR25" i="2"/>
  <c r="I33" i="2"/>
  <c r="AX27" i="2"/>
  <c r="AX23" i="2"/>
  <c r="L27" i="2"/>
  <c r="P27" i="2" s="1"/>
  <c r="K27" i="2"/>
  <c r="AV28" i="2"/>
  <c r="G28" i="2"/>
  <c r="BC28" i="2" s="1"/>
  <c r="F28" i="2"/>
  <c r="G54" i="2" s="1"/>
  <c r="P24" i="2"/>
  <c r="AX26" i="2"/>
  <c r="H26" i="2"/>
  <c r="I26" i="2" s="1"/>
  <c r="G24" i="2"/>
  <c r="BC24" i="2" s="1"/>
  <c r="AV24" i="2"/>
  <c r="I25" i="2"/>
  <c r="P25" i="2"/>
  <c r="AR30" i="2"/>
  <c r="AZ30" i="2"/>
  <c r="G29" i="2"/>
  <c r="AV29" i="2"/>
  <c r="W30" i="2"/>
  <c r="AX30" i="2"/>
  <c r="H31" i="2"/>
  <c r="P31" i="2"/>
  <c r="W31" i="2" s="1"/>
  <c r="BC35" i="2"/>
  <c r="BD35" i="2" s="1"/>
  <c r="P38" i="2"/>
  <c r="BB35" i="2"/>
  <c r="L36" i="2"/>
  <c r="P36" i="2" s="1"/>
  <c r="K36" i="2"/>
  <c r="BA39" i="2"/>
  <c r="Q39" i="2"/>
  <c r="AR42" i="2"/>
  <c r="AZ42" i="2"/>
  <c r="G23" i="2"/>
  <c r="BC23" i="2" s="1"/>
  <c r="L26" i="2"/>
  <c r="P26" i="2" s="1"/>
  <c r="K32" i="2"/>
  <c r="P32" i="2" s="1"/>
  <c r="W32" i="2" s="1"/>
  <c r="L33" i="2"/>
  <c r="P33" i="2" s="1"/>
  <c r="AR34" i="2"/>
  <c r="Q35" i="2"/>
  <c r="L32" i="2"/>
  <c r="W34" i="2"/>
  <c r="AS35" i="2"/>
  <c r="I37" i="2"/>
  <c r="H37" i="2"/>
  <c r="AX37" i="2"/>
  <c r="W35" i="2"/>
  <c r="AY38" i="2"/>
  <c r="AO38" i="2"/>
  <c r="G27" i="2"/>
  <c r="BC27" i="2" s="1"/>
  <c r="AX32" i="2"/>
  <c r="H33" i="2"/>
  <c r="I34" i="2"/>
  <c r="H36" i="2"/>
  <c r="I36" i="2" s="1"/>
  <c r="AX36" i="2"/>
  <c r="L37" i="2"/>
  <c r="P37" i="2" s="1"/>
  <c r="W37" i="2" s="1"/>
  <c r="AZ38" i="2"/>
  <c r="N59" i="2"/>
  <c r="H32" i="2"/>
  <c r="AX40" i="2"/>
  <c r="H41" i="2"/>
  <c r="I42" i="2"/>
  <c r="Q42" i="2"/>
  <c r="N66" i="2"/>
  <c r="W39" i="2"/>
  <c r="H40" i="2"/>
  <c r="I41" i="2"/>
  <c r="BA42" i="2"/>
  <c r="I39" i="2"/>
  <c r="AZ39" i="2"/>
  <c r="K41" i="2"/>
  <c r="P41" i="2" s="1"/>
  <c r="AS42" i="2"/>
  <c r="BC42" i="2"/>
  <c r="H58" i="2"/>
  <c r="K40" i="2"/>
  <c r="P40" i="2" s="1"/>
  <c r="L41" i="2"/>
  <c r="N58" i="2"/>
  <c r="L40" i="2"/>
  <c r="G60" i="2"/>
  <c r="G74" i="2" s="1"/>
  <c r="W42" i="2"/>
  <c r="AY5" i="2" l="1"/>
  <c r="AO5" i="2"/>
  <c r="BA29" i="2"/>
  <c r="BB29" i="2" s="1"/>
  <c r="W29" i="2"/>
  <c r="AO30" i="2"/>
  <c r="AY30" i="2"/>
  <c r="G50" i="1"/>
  <c r="G87" i="1"/>
  <c r="G88" i="1" s="1"/>
  <c r="G95" i="1" s="1"/>
  <c r="P19" i="2"/>
  <c r="Q19" i="2" s="1"/>
  <c r="AS19" i="2" s="1"/>
  <c r="E94" i="1"/>
  <c r="W21" i="2"/>
  <c r="AY18" i="2"/>
  <c r="AO18" i="2"/>
  <c r="Q6" i="2"/>
  <c r="AS6" i="2" s="1"/>
  <c r="W6" i="2"/>
  <c r="BA6" i="2"/>
  <c r="BA17" i="2"/>
  <c r="Q17" i="2"/>
  <c r="W17" i="2"/>
  <c r="BA8" i="2"/>
  <c r="Q8" i="2"/>
  <c r="AS8" i="2" s="1"/>
  <c r="W8" i="2"/>
  <c r="Q11" i="2"/>
  <c r="AS11" i="2" s="1"/>
  <c r="W11" i="2"/>
  <c r="BA11" i="2"/>
  <c r="Q14" i="2"/>
  <c r="BA14" i="2"/>
  <c r="W14" i="2"/>
  <c r="BA36" i="2"/>
  <c r="Q36" i="2"/>
  <c r="AS36" i="2" s="1"/>
  <c r="W36" i="2"/>
  <c r="Q33" i="2"/>
  <c r="AS33" i="2" s="1"/>
  <c r="W33" i="2"/>
  <c r="BA33" i="2"/>
  <c r="AY22" i="2"/>
  <c r="AO22" i="2"/>
  <c r="Q26" i="2"/>
  <c r="AS26" i="2" s="1"/>
  <c r="BA26" i="2"/>
  <c r="W26" i="2"/>
  <c r="AS27" i="2"/>
  <c r="BA27" i="2"/>
  <c r="Q27" i="2"/>
  <c r="W27" i="2"/>
  <c r="BA23" i="2"/>
  <c r="Q23" i="2"/>
  <c r="AS23" i="2" s="1"/>
  <c r="W23" i="2"/>
  <c r="Q18" i="2"/>
  <c r="AS18" i="2" s="1"/>
  <c r="BA18" i="2"/>
  <c r="W18" i="2"/>
  <c r="BA22" i="2"/>
  <c r="Q22" i="2"/>
  <c r="W22" i="2"/>
  <c r="BA41" i="2"/>
  <c r="Q41" i="2"/>
  <c r="W41" i="2"/>
  <c r="AY36" i="2"/>
  <c r="AO36" i="2"/>
  <c r="BA20" i="2"/>
  <c r="Q20" i="2"/>
  <c r="AS20" i="2" s="1"/>
  <c r="W20" i="2"/>
  <c r="W19" i="2"/>
  <c r="BA9" i="2"/>
  <c r="Q9" i="2"/>
  <c r="AS9" i="2" s="1"/>
  <c r="W9" i="2"/>
  <c r="BA40" i="2"/>
  <c r="Q40" i="2"/>
  <c r="AT39" i="2"/>
  <c r="AR31" i="2"/>
  <c r="AZ31" i="2"/>
  <c r="I31" i="2"/>
  <c r="AS32" i="2"/>
  <c r="BA32" i="2"/>
  <c r="Q32" i="2"/>
  <c r="BA24" i="2"/>
  <c r="Q24" i="2"/>
  <c r="AS24" i="2" s="1"/>
  <c r="O58" i="2"/>
  <c r="AY39" i="2"/>
  <c r="AO39" i="2"/>
  <c r="AT42" i="2"/>
  <c r="S42" i="2"/>
  <c r="AY34" i="2"/>
  <c r="AO34" i="2"/>
  <c r="Q37" i="2"/>
  <c r="AS37" i="2"/>
  <c r="BA37" i="2"/>
  <c r="BC29" i="2"/>
  <c r="BC44" i="2" s="1"/>
  <c r="H29" i="2"/>
  <c r="H23" i="2"/>
  <c r="AT34" i="2"/>
  <c r="AR16" i="2"/>
  <c r="AZ16" i="2"/>
  <c r="I16" i="2"/>
  <c r="F45" i="2"/>
  <c r="I109" i="1"/>
  <c r="H31" i="1" s="1"/>
  <c r="J31" i="1"/>
  <c r="BA5" i="2"/>
  <c r="Q5" i="2"/>
  <c r="AR12" i="2"/>
  <c r="AZ12" i="2"/>
  <c r="AZ9" i="2"/>
  <c r="AR9" i="2"/>
  <c r="G85" i="1"/>
  <c r="J22" i="1"/>
  <c r="I100" i="1"/>
  <c r="H22" i="1" s="1"/>
  <c r="I22" i="1" s="1"/>
  <c r="AY26" i="2"/>
  <c r="AO26" i="2"/>
  <c r="BD30" i="2"/>
  <c r="BB30" i="2"/>
  <c r="AR40" i="2"/>
  <c r="AZ40" i="2"/>
  <c r="AY42" i="2"/>
  <c r="AO42" i="2"/>
  <c r="AR20" i="2"/>
  <c r="AZ20" i="2"/>
  <c r="I17" i="2"/>
  <c r="AZ17" i="2"/>
  <c r="AR17" i="2"/>
  <c r="I101" i="1"/>
  <c r="H23" i="1" s="1"/>
  <c r="I23" i="1" s="1"/>
  <c r="J23" i="1"/>
  <c r="BA12" i="2"/>
  <c r="Q12" i="2"/>
  <c r="J48" i="1"/>
  <c r="AT16" i="2"/>
  <c r="F118" i="1"/>
  <c r="E117" i="1"/>
  <c r="E118" i="1" s="1"/>
  <c r="AO14" i="2"/>
  <c r="AY14" i="2"/>
  <c r="AR32" i="2"/>
  <c r="AZ32" i="2"/>
  <c r="AY37" i="2"/>
  <c r="AO37" i="2"/>
  <c r="AZ26" i="2"/>
  <c r="AR26" i="2"/>
  <c r="F47" i="2"/>
  <c r="BD42" i="2"/>
  <c r="BB42" i="2"/>
  <c r="AZ33" i="2"/>
  <c r="AR33" i="2"/>
  <c r="AT35" i="2"/>
  <c r="I32" i="2"/>
  <c r="W54" i="2"/>
  <c r="W68" i="2" s="1"/>
  <c r="BD34" i="2"/>
  <c r="BB34" i="2"/>
  <c r="AR15" i="2"/>
  <c r="I15" i="2"/>
  <c r="AZ15" i="2"/>
  <c r="AZ6" i="2"/>
  <c r="I6" i="2"/>
  <c r="AR6" i="2"/>
  <c r="I48" i="1"/>
  <c r="W5" i="2"/>
  <c r="E87" i="1"/>
  <c r="G48" i="1"/>
  <c r="G46" i="1"/>
  <c r="AY41" i="2"/>
  <c r="AO41" i="2"/>
  <c r="AR41" i="2"/>
  <c r="AZ41" i="2"/>
  <c r="BA31" i="2"/>
  <c r="Q31" i="2"/>
  <c r="AS31" i="2" s="1"/>
  <c r="AY33" i="2"/>
  <c r="AO33" i="2"/>
  <c r="AY35" i="2"/>
  <c r="BK35" i="2" s="1"/>
  <c r="AO35" i="2"/>
  <c r="AT30" i="2"/>
  <c r="S30" i="2"/>
  <c r="K48" i="1"/>
  <c r="F88" i="1"/>
  <c r="F95" i="1" s="1"/>
  <c r="F85" i="1"/>
  <c r="AT7" i="2"/>
  <c r="AS10" i="2"/>
  <c r="BA10" i="2"/>
  <c r="Q10" i="2"/>
  <c r="BA15" i="2"/>
  <c r="Q15" i="2"/>
  <c r="AS15" i="2" s="1"/>
  <c r="AZ21" i="2"/>
  <c r="I21" i="2"/>
  <c r="AR21" i="2"/>
  <c r="BD21" i="2"/>
  <c r="BB21" i="2"/>
  <c r="BD7" i="2"/>
  <c r="BB7" i="2"/>
  <c r="BK7" i="2" s="1"/>
  <c r="W40" i="2"/>
  <c r="BB39" i="2"/>
  <c r="BD39" i="2"/>
  <c r="Q25" i="2"/>
  <c r="AS25" i="2" s="1"/>
  <c r="BA25" i="2"/>
  <c r="W25" i="2"/>
  <c r="AY11" i="2"/>
  <c r="AO11" i="2"/>
  <c r="AY12" i="2"/>
  <c r="AO12" i="2"/>
  <c r="BD16" i="2"/>
  <c r="BB16" i="2"/>
  <c r="AX28" i="2"/>
  <c r="AX44" i="2" s="1"/>
  <c r="P28" i="2"/>
  <c r="P45" i="2" s="1"/>
  <c r="G75" i="2" s="1"/>
  <c r="H28" i="2"/>
  <c r="I28" i="2" s="1"/>
  <c r="AY20" i="2"/>
  <c r="AO20" i="2"/>
  <c r="I40" i="2"/>
  <c r="AY25" i="2"/>
  <c r="AO25" i="2"/>
  <c r="AZ18" i="2"/>
  <c r="AR18" i="2"/>
  <c r="AR19" i="2"/>
  <c r="AZ19" i="2"/>
  <c r="AS13" i="2"/>
  <c r="BA13" i="2"/>
  <c r="Q13" i="2"/>
  <c r="AR11" i="2"/>
  <c r="AZ11" i="2"/>
  <c r="W12" i="2"/>
  <c r="AT21" i="2"/>
  <c r="S21" i="2"/>
  <c r="AR8" i="2"/>
  <c r="AZ8" i="2"/>
  <c r="I8" i="2"/>
  <c r="J112" i="1"/>
  <c r="J21" i="1"/>
  <c r="I99" i="1"/>
  <c r="N56" i="2"/>
  <c r="I105" i="1"/>
  <c r="H27" i="1" s="1"/>
  <c r="I27" i="1" s="1"/>
  <c r="N60" i="2"/>
  <c r="N68" i="2" s="1"/>
  <c r="G68" i="2"/>
  <c r="AR36" i="2"/>
  <c r="AZ36" i="2"/>
  <c r="AS39" i="2"/>
  <c r="AZ37" i="2"/>
  <c r="AR37" i="2"/>
  <c r="BA38" i="2"/>
  <c r="Q38" i="2"/>
  <c r="AS38" i="2" s="1"/>
  <c r="W38" i="2"/>
  <c r="H24" i="2"/>
  <c r="H27" i="2"/>
  <c r="W24" i="2"/>
  <c r="AS34" i="2"/>
  <c r="AR22" i="2"/>
  <c r="AZ22" i="2"/>
  <c r="I19" i="2"/>
  <c r="Q29" i="2"/>
  <c r="AR13" i="2"/>
  <c r="AZ13" i="2"/>
  <c r="AO9" i="2"/>
  <c r="AY9" i="2"/>
  <c r="E86" i="1"/>
  <c r="I13" i="2"/>
  <c r="H46" i="2"/>
  <c r="G46" i="2" s="1"/>
  <c r="K21" i="1"/>
  <c r="K112" i="1"/>
  <c r="E46" i="1"/>
  <c r="J30" i="1"/>
  <c r="J50" i="1" l="1"/>
  <c r="P46" i="2"/>
  <c r="BD29" i="2"/>
  <c r="BA19" i="2"/>
  <c r="BD19" i="2" s="1"/>
  <c r="H45" i="2"/>
  <c r="G45" i="2" s="1"/>
  <c r="BK30" i="2"/>
  <c r="AZ48" i="2"/>
  <c r="E88" i="1"/>
  <c r="E95" i="1" s="1"/>
  <c r="I115" i="1" s="1"/>
  <c r="AO28" i="2"/>
  <c r="AY28" i="2"/>
  <c r="BF30" i="2"/>
  <c r="AQ30" i="2"/>
  <c r="T30" i="2"/>
  <c r="U30" i="2" s="1"/>
  <c r="J46" i="1"/>
  <c r="J53" i="1" s="1"/>
  <c r="W28" i="2"/>
  <c r="W47" i="2" s="1"/>
  <c r="AT25" i="2"/>
  <c r="S25" i="2"/>
  <c r="AT15" i="2"/>
  <c r="Q46" i="2"/>
  <c r="AT5" i="2"/>
  <c r="N57" i="2"/>
  <c r="N83" i="2" s="1"/>
  <c r="N78" i="2"/>
  <c r="AT29" i="2"/>
  <c r="S29" i="2"/>
  <c r="AS29" i="2"/>
  <c r="AR24" i="2"/>
  <c r="AZ24" i="2"/>
  <c r="I24" i="2"/>
  <c r="AT12" i="2"/>
  <c r="BK42" i="2"/>
  <c r="BD5" i="2"/>
  <c r="BB5" i="2"/>
  <c r="AO16" i="2"/>
  <c r="AY16" i="2"/>
  <c r="BK16" i="2" s="1"/>
  <c r="AZ23" i="2"/>
  <c r="I23" i="2"/>
  <c r="AR23" i="2"/>
  <c r="W57" i="2"/>
  <c r="W83" i="2" s="1"/>
  <c r="BD24" i="2"/>
  <c r="BB24" i="2"/>
  <c r="BB36" i="2"/>
  <c r="BK36" i="2" s="1"/>
  <c r="BD36" i="2"/>
  <c r="AY19" i="2"/>
  <c r="AO19" i="2"/>
  <c r="BK11" i="2"/>
  <c r="BB15" i="2"/>
  <c r="BD15" i="2"/>
  <c r="AY6" i="2"/>
  <c r="AO6" i="2"/>
  <c r="N55" i="2"/>
  <c r="I46" i="2"/>
  <c r="X68" i="2"/>
  <c r="X60" i="2"/>
  <c r="BD12" i="2"/>
  <c r="BB12" i="2"/>
  <c r="AY17" i="2"/>
  <c r="AO17" i="2"/>
  <c r="AS5" i="2"/>
  <c r="N74" i="2"/>
  <c r="N75" i="2" s="1"/>
  <c r="BB19" i="2"/>
  <c r="BD18" i="2"/>
  <c r="BB18" i="2"/>
  <c r="BB11" i="2"/>
  <c r="BD11" i="2"/>
  <c r="N73" i="2"/>
  <c r="O56" i="2"/>
  <c r="BF21" i="2"/>
  <c r="AQ21" i="2"/>
  <c r="T21" i="2"/>
  <c r="AT13" i="2"/>
  <c r="AY21" i="2"/>
  <c r="BK21" i="2" s="1"/>
  <c r="AO21" i="2"/>
  <c r="AY32" i="2"/>
  <c r="AO32" i="2"/>
  <c r="AS12" i="2"/>
  <c r="AR29" i="2"/>
  <c r="AZ29" i="2"/>
  <c r="I29" i="2"/>
  <c r="BK34" i="2"/>
  <c r="N69" i="2"/>
  <c r="O69" i="2" s="1"/>
  <c r="P47" i="2"/>
  <c r="W75" i="2" s="1"/>
  <c r="AT18" i="2"/>
  <c r="AT27" i="2"/>
  <c r="S27" i="2"/>
  <c r="AT26" i="2"/>
  <c r="S26" i="2"/>
  <c r="I112" i="1"/>
  <c r="H21" i="1"/>
  <c r="I21" i="1" s="1"/>
  <c r="BD13" i="2"/>
  <c r="BB13" i="2"/>
  <c r="AT10" i="2"/>
  <c r="W46" i="2"/>
  <c r="W45" i="2"/>
  <c r="AT32" i="2"/>
  <c r="S32" i="2"/>
  <c r="AT9" i="2"/>
  <c r="BB27" i="2"/>
  <c r="BD27" i="2"/>
  <c r="AT33" i="2"/>
  <c r="BB14" i="2"/>
  <c r="BD14" i="2"/>
  <c r="AT17" i="2"/>
  <c r="AT6" i="2"/>
  <c r="AT38" i="2"/>
  <c r="S38" i="2"/>
  <c r="AR28" i="2"/>
  <c r="AZ28" i="2"/>
  <c r="H47" i="2"/>
  <c r="G47" i="2" s="1"/>
  <c r="BD10" i="2"/>
  <c r="BB10" i="2"/>
  <c r="BD37" i="2"/>
  <c r="BB37" i="2"/>
  <c r="BF42" i="2"/>
  <c r="T42" i="2"/>
  <c r="U42" i="2" s="1"/>
  <c r="AQ42" i="2"/>
  <c r="BD32" i="2"/>
  <c r="BB32" i="2"/>
  <c r="S22" i="2"/>
  <c r="AT22" i="2"/>
  <c r="AT14" i="2"/>
  <c r="AT11" i="2"/>
  <c r="BD38" i="2"/>
  <c r="BB38" i="2"/>
  <c r="H60" i="2"/>
  <c r="H68" i="2"/>
  <c r="BA28" i="2"/>
  <c r="Q28" i="2"/>
  <c r="Q45" i="2" s="1"/>
  <c r="BD25" i="2"/>
  <c r="BB25" i="2"/>
  <c r="G56" i="2"/>
  <c r="W56" i="2"/>
  <c r="AO15" i="2"/>
  <c r="AY15" i="2"/>
  <c r="BK15" i="2" s="1"/>
  <c r="AT40" i="2"/>
  <c r="BB9" i="2"/>
  <c r="BK9" i="2" s="1"/>
  <c r="BM11" i="2" s="1"/>
  <c r="BM12" i="2" s="1"/>
  <c r="BD9" i="2"/>
  <c r="AT41" i="2"/>
  <c r="S41" i="2"/>
  <c r="BB22" i="2"/>
  <c r="BK22" i="2" s="1"/>
  <c r="BD22" i="2"/>
  <c r="AT23" i="2"/>
  <c r="S23" i="2"/>
  <c r="AS14" i="2"/>
  <c r="BD17" i="2"/>
  <c r="BB17" i="2"/>
  <c r="AT31" i="2"/>
  <c r="G57" i="2"/>
  <c r="G83" i="2" s="1"/>
  <c r="K31" i="1"/>
  <c r="K50" i="1" s="1"/>
  <c r="S24" i="2"/>
  <c r="AT24" i="2"/>
  <c r="BD40" i="2"/>
  <c r="BB40" i="2"/>
  <c r="AT20" i="2"/>
  <c r="BD41" i="2"/>
  <c r="BB41" i="2"/>
  <c r="BK41" i="2" s="1"/>
  <c r="AS22" i="2"/>
  <c r="BB23" i="2"/>
  <c r="BD23" i="2"/>
  <c r="AT8" i="2"/>
  <c r="AS17" i="2"/>
  <c r="BK18" i="2"/>
  <c r="O68" i="2"/>
  <c r="O60" i="2"/>
  <c r="AY13" i="2"/>
  <c r="AO13" i="2"/>
  <c r="AR27" i="2"/>
  <c r="AZ27" i="2"/>
  <c r="I27" i="2"/>
  <c r="Q48" i="2" s="1"/>
  <c r="G78" i="2" s="1"/>
  <c r="AY8" i="2"/>
  <c r="BK8" i="2" s="1"/>
  <c r="AO8" i="2"/>
  <c r="AY40" i="2"/>
  <c r="AO40" i="2"/>
  <c r="BK12" i="2"/>
  <c r="BD31" i="2"/>
  <c r="BB31" i="2"/>
  <c r="AR46" i="2"/>
  <c r="AT37" i="2"/>
  <c r="BK39" i="2"/>
  <c r="AY31" i="2"/>
  <c r="BK31" i="2" s="1"/>
  <c r="AO31" i="2"/>
  <c r="AS40" i="2"/>
  <c r="AT19" i="2"/>
  <c r="BB20" i="2"/>
  <c r="BK20" i="2" s="1"/>
  <c r="BD20" i="2"/>
  <c r="AS41" i="2"/>
  <c r="BD26" i="2"/>
  <c r="BB26" i="2"/>
  <c r="BK26" i="2" s="1"/>
  <c r="BD33" i="2"/>
  <c r="BB33" i="2"/>
  <c r="BK33" i="2" s="1"/>
  <c r="AT36" i="2"/>
  <c r="BD8" i="2"/>
  <c r="BB8" i="2"/>
  <c r="BD6" i="2"/>
  <c r="BB6" i="2"/>
  <c r="AS46" i="2" l="1"/>
  <c r="AR47" i="2"/>
  <c r="AR45" i="2"/>
  <c r="AZ44" i="2"/>
  <c r="N77" i="2"/>
  <c r="G77" i="2"/>
  <c r="G76" i="2"/>
  <c r="BD28" i="2"/>
  <c r="BB28" i="2"/>
  <c r="BB44" i="2" s="1"/>
  <c r="U21" i="2"/>
  <c r="P58" i="2"/>
  <c r="N85" i="2"/>
  <c r="P62" i="2"/>
  <c r="P59" i="2"/>
  <c r="N70" i="2"/>
  <c r="O70" i="2" s="1"/>
  <c r="BK5" i="2"/>
  <c r="AQ29" i="2"/>
  <c r="BF29" i="2"/>
  <c r="T29" i="2"/>
  <c r="U29" i="2" s="1"/>
  <c r="BK13" i="2"/>
  <c r="BF41" i="2"/>
  <c r="T41" i="2"/>
  <c r="U41" i="2" s="1"/>
  <c r="AQ41" i="2"/>
  <c r="AS28" i="2"/>
  <c r="AS47" i="2" s="1"/>
  <c r="BK10" i="2"/>
  <c r="BM19" i="2" s="1"/>
  <c r="AO46" i="2"/>
  <c r="BD44" i="2"/>
  <c r="BD48" i="2"/>
  <c r="BD49" i="2" s="1"/>
  <c r="W73" i="2"/>
  <c r="X56" i="2"/>
  <c r="W69" i="2"/>
  <c r="X69" i="2" s="1"/>
  <c r="W78" i="2"/>
  <c r="AT46" i="2"/>
  <c r="W84" i="2"/>
  <c r="W55" i="2"/>
  <c r="BK6" i="2"/>
  <c r="BA44" i="2"/>
  <c r="G73" i="2"/>
  <c r="G69" i="2"/>
  <c r="H69" i="2" s="1"/>
  <c r="H56" i="2"/>
  <c r="I47" i="2"/>
  <c r="BK19" i="2"/>
  <c r="AO23" i="2"/>
  <c r="AY23" i="2"/>
  <c r="BK23" i="2" s="1"/>
  <c r="AO24" i="2"/>
  <c r="AY24" i="2"/>
  <c r="BK24" i="2" s="1"/>
  <c r="BK37" i="2"/>
  <c r="G84" i="2"/>
  <c r="T22" i="2"/>
  <c r="U22" i="2" s="1"/>
  <c r="BF22" i="2"/>
  <c r="AQ22" i="2"/>
  <c r="T26" i="2"/>
  <c r="U26" i="2" s="1"/>
  <c r="AQ26" i="2"/>
  <c r="BF26" i="2"/>
  <c r="N76" i="2"/>
  <c r="N84" i="2"/>
  <c r="R17" i="2"/>
  <c r="R19" i="2"/>
  <c r="R13" i="2"/>
  <c r="R11" i="2"/>
  <c r="R9" i="2"/>
  <c r="R7" i="2"/>
  <c r="R5" i="2"/>
  <c r="R8" i="2"/>
  <c r="R6" i="2"/>
  <c r="R10" i="2"/>
  <c r="R16" i="2"/>
  <c r="R14" i="2"/>
  <c r="R18" i="2"/>
  <c r="R15" i="2"/>
  <c r="R12" i="2"/>
  <c r="V30" i="2"/>
  <c r="X30" i="2"/>
  <c r="BK28" i="2"/>
  <c r="AQ24" i="2"/>
  <c r="T24" i="2"/>
  <c r="U24" i="2" s="1"/>
  <c r="BF24" i="2"/>
  <c r="BF23" i="2"/>
  <c r="AQ23" i="2"/>
  <c r="T23" i="2"/>
  <c r="U23" i="2" s="1"/>
  <c r="AY29" i="2"/>
  <c r="BK29" i="2" s="1"/>
  <c r="AO29" i="2"/>
  <c r="BK32" i="2"/>
  <c r="AS45" i="2"/>
  <c r="I45" i="2"/>
  <c r="I31" i="1"/>
  <c r="K46" i="1"/>
  <c r="K53" i="1" s="1"/>
  <c r="S28" i="2"/>
  <c r="AT28" i="2"/>
  <c r="AT47" i="2" s="1"/>
  <c r="Q47" i="2"/>
  <c r="BF32" i="2"/>
  <c r="T32" i="2"/>
  <c r="U32" i="2" s="1"/>
  <c r="AQ32" i="2"/>
  <c r="BF27" i="2"/>
  <c r="T27" i="2"/>
  <c r="U27" i="2" s="1"/>
  <c r="AQ27" i="2"/>
  <c r="AO27" i="2"/>
  <c r="AY27" i="2"/>
  <c r="BK27" i="2" s="1"/>
  <c r="BK38" i="2"/>
  <c r="BK40" i="2"/>
  <c r="BK14" i="2"/>
  <c r="AQ38" i="2"/>
  <c r="BF38" i="2"/>
  <c r="T38" i="2"/>
  <c r="U38" i="2" s="1"/>
  <c r="AO47" i="2"/>
  <c r="G55" i="2"/>
  <c r="AQ25" i="2"/>
  <c r="BF25" i="2"/>
  <c r="T25" i="2"/>
  <c r="U25" i="2" s="1"/>
  <c r="BK25" i="2"/>
  <c r="V42" i="2"/>
  <c r="X42" i="2"/>
  <c r="H50" i="1"/>
  <c r="I50" i="1" s="1"/>
  <c r="H46" i="1"/>
  <c r="BK17" i="2"/>
  <c r="AT45" i="2" l="1"/>
  <c r="AO45" i="2"/>
  <c r="V21" i="2"/>
  <c r="X21" i="2"/>
  <c r="BG42" i="2"/>
  <c r="BO42" i="2" s="1"/>
  <c r="AP42" i="2"/>
  <c r="AH42" i="2"/>
  <c r="Y42" i="2"/>
  <c r="AN42" i="2" s="1"/>
  <c r="G85" i="2"/>
  <c r="G70" i="2"/>
  <c r="H70" i="2" s="1"/>
  <c r="H55" i="2"/>
  <c r="AU15" i="2"/>
  <c r="S15" i="2"/>
  <c r="AU7" i="2"/>
  <c r="S7" i="2"/>
  <c r="V41" i="2"/>
  <c r="X41" i="2"/>
  <c r="AU5" i="2"/>
  <c r="S5" i="2"/>
  <c r="V27" i="2"/>
  <c r="X27" i="2"/>
  <c r="BF28" i="2"/>
  <c r="T28" i="2"/>
  <c r="U28" i="2" s="1"/>
  <c r="AQ28" i="2"/>
  <c r="V23" i="2"/>
  <c r="X23" i="2"/>
  <c r="AU18" i="2"/>
  <c r="S18" i="2"/>
  <c r="AU9" i="2"/>
  <c r="S9" i="2"/>
  <c r="W85" i="2"/>
  <c r="W70" i="2"/>
  <c r="X70" i="2" s="1"/>
  <c r="AU14" i="2"/>
  <c r="S14" i="2"/>
  <c r="AU11" i="2"/>
  <c r="S11" i="2"/>
  <c r="V26" i="2"/>
  <c r="X26" i="2"/>
  <c r="W77" i="2"/>
  <c r="AU16" i="2"/>
  <c r="S16" i="2"/>
  <c r="AU13" i="2"/>
  <c r="S13" i="2"/>
  <c r="W76" i="2"/>
  <c r="V29" i="2"/>
  <c r="X29" i="2"/>
  <c r="AU12" i="2"/>
  <c r="S12" i="2"/>
  <c r="V38" i="2"/>
  <c r="X38" i="2"/>
  <c r="V32" i="2"/>
  <c r="X32" i="2"/>
  <c r="AU10" i="2"/>
  <c r="S10" i="2"/>
  <c r="AU19" i="2"/>
  <c r="S19" i="2"/>
  <c r="BM22" i="2"/>
  <c r="BM21" i="2"/>
  <c r="I46" i="1"/>
  <c r="H53" i="1"/>
  <c r="V25" i="2"/>
  <c r="X25" i="2"/>
  <c r="V24" i="2"/>
  <c r="X24" i="2"/>
  <c r="AP30" i="2"/>
  <c r="AH30" i="2"/>
  <c r="BG30" i="2"/>
  <c r="BO30" i="2" s="1"/>
  <c r="Y30" i="2"/>
  <c r="AN30" i="2" s="1"/>
  <c r="AU6" i="2"/>
  <c r="S6" i="2"/>
  <c r="AU17" i="2"/>
  <c r="S17" i="2"/>
  <c r="V22" i="2"/>
  <c r="X22" i="2"/>
  <c r="AU8" i="2"/>
  <c r="S8" i="2"/>
  <c r="AY44" i="2"/>
  <c r="BK44" i="2"/>
  <c r="BM5" i="2"/>
  <c r="AH24" i="2" l="1"/>
  <c r="AP24" i="2"/>
  <c r="BG24" i="2"/>
  <c r="BO24" i="2" s="1"/>
  <c r="Y24" i="2"/>
  <c r="AN24" i="2" s="1"/>
  <c r="AP26" i="2"/>
  <c r="AH26" i="2"/>
  <c r="BG26" i="2"/>
  <c r="BO26" i="2" s="1"/>
  <c r="Y26" i="2"/>
  <c r="AN26" i="2" s="1"/>
  <c r="T19" i="2"/>
  <c r="U19" i="2" s="1"/>
  <c r="BF19" i="2"/>
  <c r="AQ19" i="2"/>
  <c r="AP38" i="2"/>
  <c r="AH38" i="2"/>
  <c r="BG38" i="2"/>
  <c r="BO38" i="2" s="1"/>
  <c r="Y38" i="2"/>
  <c r="AN38" i="2" s="1"/>
  <c r="BF13" i="2"/>
  <c r="T13" i="2"/>
  <c r="U13" i="2" s="1"/>
  <c r="AQ13" i="2"/>
  <c r="BF11" i="2"/>
  <c r="T11" i="2"/>
  <c r="U11" i="2" s="1"/>
  <c r="AQ11" i="2"/>
  <c r="BF5" i="2"/>
  <c r="T5" i="2"/>
  <c r="AQ5" i="2"/>
  <c r="AP29" i="2"/>
  <c r="AH29" i="2"/>
  <c r="BG29" i="2"/>
  <c r="BO29" i="2" s="1"/>
  <c r="Y29" i="2"/>
  <c r="AN29" i="2" s="1"/>
  <c r="AP25" i="2"/>
  <c r="AH25" i="2"/>
  <c r="BG25" i="2"/>
  <c r="BO25" i="2" s="1"/>
  <c r="Y25" i="2"/>
  <c r="AN25" i="2" s="1"/>
  <c r="T18" i="2"/>
  <c r="U18" i="2" s="1"/>
  <c r="BF18" i="2"/>
  <c r="AQ18" i="2"/>
  <c r="T17" i="2"/>
  <c r="U17" i="2" s="1"/>
  <c r="AQ17" i="2"/>
  <c r="BF17" i="2"/>
  <c r="R37" i="2"/>
  <c r="R20" i="2"/>
  <c r="R31" i="2"/>
  <c r="R34" i="2"/>
  <c r="R33" i="2"/>
  <c r="R36" i="2"/>
  <c r="R40" i="2"/>
  <c r="R35" i="2"/>
  <c r="R39" i="2"/>
  <c r="T10" i="2"/>
  <c r="U10" i="2" s="1"/>
  <c r="AQ10" i="2"/>
  <c r="BF10" i="2"/>
  <c r="BF16" i="2"/>
  <c r="AQ16" i="2"/>
  <c r="T16" i="2"/>
  <c r="U16" i="2" s="1"/>
  <c r="BG27" i="2"/>
  <c r="BO27" i="2" s="1"/>
  <c r="AP27" i="2"/>
  <c r="AH27" i="2"/>
  <c r="Y27" i="2"/>
  <c r="AN27" i="2" s="1"/>
  <c r="G91" i="2"/>
  <c r="AP22" i="2"/>
  <c r="AH22" i="2"/>
  <c r="BG22" i="2"/>
  <c r="BO22" i="2" s="1"/>
  <c r="Y22" i="2"/>
  <c r="AN22" i="2" s="1"/>
  <c r="T12" i="2"/>
  <c r="U12" i="2" s="1"/>
  <c r="AQ12" i="2"/>
  <c r="BF12" i="2"/>
  <c r="T14" i="2"/>
  <c r="U14" i="2" s="1"/>
  <c r="BF14" i="2"/>
  <c r="AQ14" i="2"/>
  <c r="BG41" i="2"/>
  <c r="BO41" i="2" s="1"/>
  <c r="AP41" i="2"/>
  <c r="AH41" i="2"/>
  <c r="Y41" i="2"/>
  <c r="AN41" i="2" s="1"/>
  <c r="W91" i="2"/>
  <c r="AP21" i="2"/>
  <c r="AH21" i="2"/>
  <c r="BG21" i="2"/>
  <c r="BO21" i="2" s="1"/>
  <c r="Y21" i="2"/>
  <c r="BG32" i="2"/>
  <c r="BO32" i="2" s="1"/>
  <c r="AP32" i="2"/>
  <c r="AH32" i="2"/>
  <c r="Y32" i="2"/>
  <c r="AN32" i="2" s="1"/>
  <c r="BF7" i="2"/>
  <c r="T7" i="2"/>
  <c r="U7" i="2" s="1"/>
  <c r="AQ7" i="2"/>
  <c r="AP23" i="2"/>
  <c r="AH23" i="2"/>
  <c r="BG23" i="2"/>
  <c r="BO23" i="2" s="1"/>
  <c r="Y23" i="2"/>
  <c r="AN23" i="2" s="1"/>
  <c r="BF6" i="2"/>
  <c r="T6" i="2"/>
  <c r="U6" i="2" s="1"/>
  <c r="AQ6" i="2"/>
  <c r="T8" i="2"/>
  <c r="U8" i="2" s="1"/>
  <c r="AQ8" i="2"/>
  <c r="BF8" i="2"/>
  <c r="T9" i="2"/>
  <c r="U9" i="2" s="1"/>
  <c r="BF9" i="2"/>
  <c r="AQ9" i="2"/>
  <c r="V28" i="2"/>
  <c r="X28" i="2"/>
  <c r="W90" i="2" s="1"/>
  <c r="BF15" i="2"/>
  <c r="AQ15" i="2"/>
  <c r="T15" i="2"/>
  <c r="U15" i="2" s="1"/>
  <c r="V7" i="2" l="1"/>
  <c r="X7" i="2"/>
  <c r="AN21" i="2"/>
  <c r="AU34" i="2"/>
  <c r="S34" i="2"/>
  <c r="G90" i="2"/>
  <c r="V9" i="2"/>
  <c r="X9" i="2"/>
  <c r="AU31" i="2"/>
  <c r="R47" i="2"/>
  <c r="S31" i="2"/>
  <c r="AD10" i="2"/>
  <c r="AK10" i="2" s="1"/>
  <c r="BH10" i="2" s="1"/>
  <c r="V10" i="2"/>
  <c r="X10" i="2"/>
  <c r="N93" i="2"/>
  <c r="G93" i="2"/>
  <c r="AU20" i="2"/>
  <c r="S20" i="2"/>
  <c r="R46" i="2"/>
  <c r="R45" i="2"/>
  <c r="U5" i="2"/>
  <c r="V13" i="2"/>
  <c r="X13" i="2"/>
  <c r="V12" i="2"/>
  <c r="X12" i="2"/>
  <c r="BG28" i="2"/>
  <c r="BO28" i="2" s="1"/>
  <c r="AH28" i="2"/>
  <c r="AP28" i="2"/>
  <c r="Y28" i="2"/>
  <c r="V8" i="2"/>
  <c r="X8" i="2"/>
  <c r="AU39" i="2"/>
  <c r="S39" i="2"/>
  <c r="AU37" i="2"/>
  <c r="S37" i="2"/>
  <c r="BF48" i="2"/>
  <c r="BF49" i="2" s="1"/>
  <c r="BF50" i="2" s="1"/>
  <c r="V19" i="2"/>
  <c r="X19" i="2"/>
  <c r="AU35" i="2"/>
  <c r="S35" i="2"/>
  <c r="V6" i="2"/>
  <c r="X6" i="2"/>
  <c r="V16" i="2"/>
  <c r="X16" i="2"/>
  <c r="AU40" i="2"/>
  <c r="S40" i="2"/>
  <c r="V14" i="2"/>
  <c r="X14" i="2"/>
  <c r="AU36" i="2"/>
  <c r="S36" i="2"/>
  <c r="V17" i="2"/>
  <c r="X17" i="2"/>
  <c r="V18" i="2"/>
  <c r="X18" i="2"/>
  <c r="V15" i="2"/>
  <c r="X15" i="2"/>
  <c r="AU33" i="2"/>
  <c r="S33" i="2"/>
  <c r="V11" i="2"/>
  <c r="X11" i="2"/>
  <c r="AP11" i="2" l="1"/>
  <c r="AH11" i="2"/>
  <c r="BG11" i="2"/>
  <c r="BO11" i="2" s="1"/>
  <c r="Y11" i="2"/>
  <c r="AN11" i="2" s="1"/>
  <c r="BG18" i="2"/>
  <c r="BO18" i="2" s="1"/>
  <c r="AH18" i="2"/>
  <c r="AP18" i="2"/>
  <c r="Y18" i="2"/>
  <c r="AN18" i="2" s="1"/>
  <c r="AP6" i="2"/>
  <c r="AH6" i="2"/>
  <c r="BG6" i="2"/>
  <c r="BO6" i="2" s="1"/>
  <c r="Y6" i="2"/>
  <c r="AN6" i="2" s="1"/>
  <c r="BG19" i="2"/>
  <c r="BO19" i="2" s="1"/>
  <c r="AH19" i="2"/>
  <c r="AP19" i="2"/>
  <c r="Y19" i="2"/>
  <c r="AN19" i="2" s="1"/>
  <c r="AP8" i="2"/>
  <c r="AH8" i="2"/>
  <c r="BG8" i="2"/>
  <c r="BO8" i="2" s="1"/>
  <c r="Y8" i="2"/>
  <c r="AN8" i="2" s="1"/>
  <c r="BG12" i="2"/>
  <c r="BO12" i="2" s="1"/>
  <c r="AP12" i="2"/>
  <c r="AH12" i="2"/>
  <c r="Y12" i="2"/>
  <c r="AN12" i="2" s="1"/>
  <c r="G92" i="2"/>
  <c r="N92" i="2"/>
  <c r="AU47" i="2"/>
  <c r="BG14" i="2"/>
  <c r="BO14" i="2" s="1"/>
  <c r="AH14" i="2"/>
  <c r="AP14" i="2"/>
  <c r="Y14" i="2"/>
  <c r="AN14" i="2" s="1"/>
  <c r="BF33" i="2"/>
  <c r="T33" i="2"/>
  <c r="U33" i="2" s="1"/>
  <c r="AQ33" i="2"/>
  <c r="BF40" i="2"/>
  <c r="T40" i="2"/>
  <c r="U40" i="2" s="1"/>
  <c r="AQ40" i="2"/>
  <c r="BG10" i="2"/>
  <c r="BO10" i="2" s="1"/>
  <c r="AH10" i="2"/>
  <c r="AP10" i="2"/>
  <c r="N98" i="2"/>
  <c r="Y10" i="2"/>
  <c r="G98" i="2"/>
  <c r="AN28" i="2"/>
  <c r="T37" i="2"/>
  <c r="U37" i="2" s="1"/>
  <c r="AQ37" i="2"/>
  <c r="BF37" i="2"/>
  <c r="AP13" i="2"/>
  <c r="AH13" i="2"/>
  <c r="BG13" i="2"/>
  <c r="BO13" i="2" s="1"/>
  <c r="Y13" i="2"/>
  <c r="AN13" i="2" s="1"/>
  <c r="BG9" i="2"/>
  <c r="BO9" i="2" s="1"/>
  <c r="AP9" i="2"/>
  <c r="AH9" i="2"/>
  <c r="Y9" i="2"/>
  <c r="AN9" i="2" s="1"/>
  <c r="T36" i="2"/>
  <c r="U36" i="2" s="1"/>
  <c r="AQ36" i="2"/>
  <c r="BF36" i="2"/>
  <c r="BG16" i="2"/>
  <c r="BO16" i="2" s="1"/>
  <c r="AH16" i="2"/>
  <c r="AP16" i="2"/>
  <c r="Y16" i="2"/>
  <c r="AN16" i="2" s="1"/>
  <c r="T20" i="2"/>
  <c r="AQ20" i="2"/>
  <c r="S46" i="2"/>
  <c r="S45" i="2"/>
  <c r="G81" i="2" s="1"/>
  <c r="BF35" i="2"/>
  <c r="AQ35" i="2"/>
  <c r="T35" i="2"/>
  <c r="U35" i="2" s="1"/>
  <c r="BG15" i="2"/>
  <c r="BO15" i="2" s="1"/>
  <c r="AH15" i="2"/>
  <c r="AP15" i="2"/>
  <c r="Y15" i="2"/>
  <c r="AN15" i="2" s="1"/>
  <c r="T39" i="2"/>
  <c r="U39" i="2" s="1"/>
  <c r="AQ39" i="2"/>
  <c r="BF39" i="2"/>
  <c r="AU45" i="2"/>
  <c r="AU46" i="2"/>
  <c r="AQ34" i="2"/>
  <c r="BF34" i="2"/>
  <c r="T34" i="2"/>
  <c r="U34" i="2" s="1"/>
  <c r="AP7" i="2"/>
  <c r="AH7" i="2"/>
  <c r="BG7" i="2"/>
  <c r="BO7" i="2" s="1"/>
  <c r="Y7" i="2"/>
  <c r="AN7" i="2" s="1"/>
  <c r="AP17" i="2"/>
  <c r="BG17" i="2"/>
  <c r="BO17" i="2" s="1"/>
  <c r="AH17" i="2"/>
  <c r="Y17" i="2"/>
  <c r="AN17" i="2" s="1"/>
  <c r="V5" i="2"/>
  <c r="X5" i="2"/>
  <c r="BF31" i="2"/>
  <c r="T31" i="2"/>
  <c r="AQ31" i="2"/>
  <c r="S47" i="2"/>
  <c r="AQ47" i="2" l="1"/>
  <c r="BF44" i="2"/>
  <c r="V35" i="2"/>
  <c r="X35" i="2"/>
  <c r="V40" i="2"/>
  <c r="X40" i="2"/>
  <c r="U31" i="2"/>
  <c r="T47" i="2"/>
  <c r="AN10" i="2"/>
  <c r="N97" i="2"/>
  <c r="G97" i="2"/>
  <c r="V39" i="2"/>
  <c r="X39" i="2"/>
  <c r="V33" i="2"/>
  <c r="X33" i="2"/>
  <c r="V34" i="2"/>
  <c r="X34" i="2"/>
  <c r="AP5" i="2"/>
  <c r="AH5" i="2"/>
  <c r="BG5" i="2"/>
  <c r="Y5" i="2"/>
  <c r="V37" i="2"/>
  <c r="X37" i="2"/>
  <c r="AQ46" i="2"/>
  <c r="AQ45" i="2"/>
  <c r="BV6" i="2"/>
  <c r="U20" i="2"/>
  <c r="T46" i="2"/>
  <c r="T45" i="2"/>
  <c r="V36" i="2"/>
  <c r="X36" i="2"/>
  <c r="AP37" i="2" l="1"/>
  <c r="AH37" i="2"/>
  <c r="BG37" i="2"/>
  <c r="BO37" i="2" s="1"/>
  <c r="Y37" i="2"/>
  <c r="AN37" i="2" s="1"/>
  <c r="BG36" i="2"/>
  <c r="BO36" i="2" s="1"/>
  <c r="AH36" i="2"/>
  <c r="AP36" i="2"/>
  <c r="Y36" i="2"/>
  <c r="AN36" i="2" s="1"/>
  <c r="V31" i="2"/>
  <c r="X31" i="2"/>
  <c r="X47" i="2" s="1"/>
  <c r="U47" i="2"/>
  <c r="V20" i="2"/>
  <c r="X20" i="2"/>
  <c r="U45" i="2"/>
  <c r="G87" i="2" s="1"/>
  <c r="H87" i="2" s="1"/>
  <c r="U46" i="2"/>
  <c r="AN5" i="2"/>
  <c r="AP39" i="2"/>
  <c r="AH39" i="2"/>
  <c r="BG39" i="2"/>
  <c r="BO39" i="2" s="1"/>
  <c r="Y39" i="2"/>
  <c r="AN39" i="2" s="1"/>
  <c r="AP34" i="2"/>
  <c r="AH34" i="2"/>
  <c r="BG34" i="2"/>
  <c r="BO34" i="2" s="1"/>
  <c r="Y34" i="2"/>
  <c r="AN34" i="2" s="1"/>
  <c r="AP40" i="2"/>
  <c r="AH40" i="2"/>
  <c r="BG40" i="2"/>
  <c r="BO40" i="2" s="1"/>
  <c r="Y40" i="2"/>
  <c r="BO5" i="2"/>
  <c r="AP33" i="2"/>
  <c r="AH33" i="2"/>
  <c r="BG33" i="2"/>
  <c r="BO33" i="2" s="1"/>
  <c r="Y33" i="2"/>
  <c r="AN33" i="2" s="1"/>
  <c r="AH35" i="2"/>
  <c r="BG35" i="2"/>
  <c r="BO35" i="2" s="1"/>
  <c r="AP35" i="2"/>
  <c r="Y35" i="2"/>
  <c r="AN35" i="2" s="1"/>
  <c r="AN40" i="2" l="1"/>
  <c r="N101" i="2"/>
  <c r="N81" i="2"/>
  <c r="W101" i="2"/>
  <c r="W81" i="2"/>
  <c r="X45" i="2"/>
  <c r="X46" i="2"/>
  <c r="BG31" i="2"/>
  <c r="BO31" i="2" s="1"/>
  <c r="AP31" i="2"/>
  <c r="AP47" i="2" s="1"/>
  <c r="AH31" i="2"/>
  <c r="Y31" i="2"/>
  <c r="W89" i="2" s="1"/>
  <c r="V47" i="2"/>
  <c r="BQ5" i="2"/>
  <c r="BG20" i="2"/>
  <c r="AH20" i="2"/>
  <c r="AP20" i="2"/>
  <c r="Y20" i="2"/>
  <c r="G94" i="2" s="1"/>
  <c r="V45" i="2"/>
  <c r="V46" i="2"/>
  <c r="BV5" i="2"/>
  <c r="S48" i="2" l="1"/>
  <c r="Y48" i="2"/>
  <c r="X48" i="2"/>
  <c r="G99" i="2"/>
  <c r="W96" i="2"/>
  <c r="V50" i="2"/>
  <c r="G89" i="2"/>
  <c r="X49" i="2"/>
  <c r="G95" i="2"/>
  <c r="BO20" i="2"/>
  <c r="BO44" i="2" s="1"/>
  <c r="BG44" i="2"/>
  <c r="N86" i="2"/>
  <c r="N80" i="2"/>
  <c r="N100" i="2"/>
  <c r="G80" i="2"/>
  <c r="AB44" i="2" s="1"/>
  <c r="G101" i="2"/>
  <c r="G86" i="2"/>
  <c r="H86" i="2" s="1"/>
  <c r="G100" i="2"/>
  <c r="W100" i="2"/>
  <c r="W86" i="2"/>
  <c r="W80" i="2"/>
  <c r="AA39" i="2"/>
  <c r="AA40" i="2"/>
  <c r="AA36" i="2"/>
  <c r="AA37" i="2"/>
  <c r="AA34" i="2"/>
  <c r="AA30" i="2"/>
  <c r="AA29" i="2"/>
  <c r="AA31" i="2"/>
  <c r="AA28" i="2"/>
  <c r="AA33" i="2"/>
  <c r="AA38" i="2"/>
  <c r="AA23" i="2"/>
  <c r="AA32" i="2"/>
  <c r="AA42" i="2"/>
  <c r="AA21" i="2"/>
  <c r="AA41" i="2"/>
  <c r="AA26" i="2"/>
  <c r="AA24" i="2"/>
  <c r="AA22" i="2"/>
  <c r="AA25" i="2"/>
  <c r="AA27" i="2"/>
  <c r="AA35" i="2"/>
  <c r="AN20" i="2"/>
  <c r="N89" i="2"/>
  <c r="N95" i="2"/>
  <c r="N96" i="2"/>
  <c r="N99" i="2"/>
  <c r="N94" i="2"/>
  <c r="Y46" i="2"/>
  <c r="Y45" i="2"/>
  <c r="AN31" i="2"/>
  <c r="AN47" i="2" s="1"/>
  <c r="Y47" i="2"/>
  <c r="W95" i="2"/>
  <c r="W94" i="2"/>
  <c r="W99" i="2"/>
  <c r="S49" i="2"/>
  <c r="Y50" i="2"/>
  <c r="AP46" i="2"/>
  <c r="AP45" i="2"/>
  <c r="AA18" i="2"/>
  <c r="AA14" i="2"/>
  <c r="AA19" i="2"/>
  <c r="AA12" i="2"/>
  <c r="AA9" i="2"/>
  <c r="AA8" i="2"/>
  <c r="AA5" i="2"/>
  <c r="AA16" i="2"/>
  <c r="AA7" i="2"/>
  <c r="AA17" i="2"/>
  <c r="AA6" i="2"/>
  <c r="AA11" i="2"/>
  <c r="AA20" i="2"/>
  <c r="AA15" i="2"/>
  <c r="AA13" i="2"/>
  <c r="G96" i="2"/>
  <c r="AM20" i="2" l="1"/>
  <c r="AD20" i="2"/>
  <c r="AK20" i="2" s="1"/>
  <c r="BH20" i="2" s="1"/>
  <c r="AM9" i="2"/>
  <c r="AD9" i="2"/>
  <c r="AK9" i="2" s="1"/>
  <c r="BH9" i="2" s="1"/>
  <c r="AM25" i="2"/>
  <c r="AD25" i="2"/>
  <c r="AK25" i="2" s="1"/>
  <c r="BH25" i="2" s="1"/>
  <c r="AM23" i="2"/>
  <c r="AD23" i="2"/>
  <c r="AK23" i="2" s="1"/>
  <c r="BH23" i="2" s="1"/>
  <c r="AM37" i="2"/>
  <c r="AD37" i="2"/>
  <c r="AK37" i="2" s="1"/>
  <c r="BH37" i="2" s="1"/>
  <c r="AM11" i="2"/>
  <c r="AD11" i="2"/>
  <c r="AK11" i="2" s="1"/>
  <c r="BH11" i="2" s="1"/>
  <c r="AM12" i="2"/>
  <c r="AD12" i="2"/>
  <c r="AK12" i="2" s="1"/>
  <c r="BH12" i="2" s="1"/>
  <c r="AM22" i="2"/>
  <c r="AD22" i="2"/>
  <c r="AK22" i="2" s="1"/>
  <c r="BH22" i="2" s="1"/>
  <c r="AM38" i="2"/>
  <c r="AD38" i="2"/>
  <c r="AK38" i="2" s="1"/>
  <c r="BH38" i="2" s="1"/>
  <c r="AM36" i="2"/>
  <c r="AD36" i="2"/>
  <c r="AK36" i="2" s="1"/>
  <c r="BH36" i="2" s="1"/>
  <c r="AM24" i="2"/>
  <c r="AD24" i="2"/>
  <c r="AK24" i="2" s="1"/>
  <c r="BH24" i="2" s="1"/>
  <c r="AM33" i="2"/>
  <c r="AD33" i="2"/>
  <c r="AK33" i="2" s="1"/>
  <c r="BH33" i="2" s="1"/>
  <c r="AM40" i="2"/>
  <c r="AD40" i="2"/>
  <c r="AK40" i="2" s="1"/>
  <c r="BH40" i="2" s="1"/>
  <c r="AM26" i="2"/>
  <c r="AD26" i="2"/>
  <c r="AK26" i="2" s="1"/>
  <c r="BH26" i="2" s="1"/>
  <c r="AM28" i="2"/>
  <c r="AD28" i="2"/>
  <c r="AK28" i="2" s="1"/>
  <c r="BH28" i="2" s="1"/>
  <c r="AM39" i="2"/>
  <c r="AD39" i="2"/>
  <c r="AK39" i="2" s="1"/>
  <c r="BH39" i="2" s="1"/>
  <c r="AM6" i="2"/>
  <c r="AD6" i="2"/>
  <c r="AK6" i="2" s="1"/>
  <c r="AM7" i="2"/>
  <c r="AD7" i="2"/>
  <c r="AK7" i="2" s="1"/>
  <c r="BH7" i="2" s="1"/>
  <c r="AM18" i="2"/>
  <c r="AD18" i="2"/>
  <c r="AK18" i="2" s="1"/>
  <c r="BH18" i="2" s="1"/>
  <c r="AM41" i="2"/>
  <c r="AD41" i="2"/>
  <c r="AK41" i="2" s="1"/>
  <c r="BH41" i="2" s="1"/>
  <c r="AM31" i="2"/>
  <c r="AD31" i="2"/>
  <c r="AK31" i="2" s="1"/>
  <c r="BH31" i="2" s="1"/>
  <c r="AB39" i="2"/>
  <c r="AB42" i="2"/>
  <c r="Z42" i="2" s="1"/>
  <c r="AC42" i="2" s="1"/>
  <c r="AB34" i="2"/>
  <c r="AB31" i="2"/>
  <c r="Z31" i="2" s="1"/>
  <c r="AC31" i="2" s="1"/>
  <c r="AB28" i="2"/>
  <c r="AB38" i="2"/>
  <c r="AB35" i="2"/>
  <c r="Z35" i="2" s="1"/>
  <c r="AC35" i="2" s="1"/>
  <c r="AB25" i="2"/>
  <c r="AB29" i="2"/>
  <c r="AB30" i="2"/>
  <c r="AB21" i="2"/>
  <c r="Z21" i="2" s="1"/>
  <c r="AB40" i="2"/>
  <c r="Z40" i="2" s="1"/>
  <c r="AC40" i="2" s="1"/>
  <c r="AB41" i="2"/>
  <c r="AB23" i="2"/>
  <c r="AB26" i="2"/>
  <c r="AB22" i="2"/>
  <c r="AB33" i="2"/>
  <c r="Z33" i="2" s="1"/>
  <c r="AC33" i="2" s="1"/>
  <c r="AB37" i="2"/>
  <c r="Z37" i="2" s="1"/>
  <c r="AC37" i="2" s="1"/>
  <c r="AB24" i="2"/>
  <c r="Z24" i="2" s="1"/>
  <c r="AC24" i="2" s="1"/>
  <c r="AB27" i="2"/>
  <c r="Z27" i="2" s="1"/>
  <c r="AC27" i="2" s="1"/>
  <c r="AB36" i="2"/>
  <c r="AB32" i="2"/>
  <c r="Z32" i="2" s="1"/>
  <c r="AC32" i="2" s="1"/>
  <c r="AB13" i="2"/>
  <c r="Z13" i="2" s="1"/>
  <c r="AC13" i="2" s="1"/>
  <c r="AB12" i="2"/>
  <c r="AB16" i="2"/>
  <c r="Z16" i="2" s="1"/>
  <c r="AC16" i="2" s="1"/>
  <c r="AB7" i="2"/>
  <c r="Z7" i="2" s="1"/>
  <c r="AC7" i="2" s="1"/>
  <c r="AB5" i="2"/>
  <c r="Z5" i="2" s="1"/>
  <c r="AB10" i="2"/>
  <c r="AB20" i="2"/>
  <c r="AB19" i="2"/>
  <c r="Z19" i="2" s="1"/>
  <c r="AC19" i="2" s="1"/>
  <c r="AB6" i="2"/>
  <c r="AB8" i="2"/>
  <c r="Z8" i="2" s="1"/>
  <c r="AC8" i="2" s="1"/>
  <c r="AB14" i="2"/>
  <c r="AB11" i="2"/>
  <c r="AB9" i="2"/>
  <c r="Z9" i="2" s="1"/>
  <c r="AC9" i="2" s="1"/>
  <c r="AB18" i="2"/>
  <c r="Z18" i="2" s="1"/>
  <c r="AC18" i="2" s="1"/>
  <c r="AB15" i="2"/>
  <c r="Z15" i="2" s="1"/>
  <c r="AC15" i="2" s="1"/>
  <c r="AB17" i="2"/>
  <c r="Z17" i="2" s="1"/>
  <c r="AC17" i="2" s="1"/>
  <c r="AM19" i="2"/>
  <c r="AD19" i="2"/>
  <c r="AK19" i="2" s="1"/>
  <c r="BH19" i="2" s="1"/>
  <c r="AM14" i="2"/>
  <c r="AD14" i="2"/>
  <c r="AK14" i="2" s="1"/>
  <c r="BH14" i="2" s="1"/>
  <c r="AM16" i="2"/>
  <c r="AD16" i="2"/>
  <c r="AK16" i="2" s="1"/>
  <c r="BH16" i="2" s="1"/>
  <c r="AN46" i="2"/>
  <c r="AN45" i="2"/>
  <c r="AA47" i="2"/>
  <c r="AM21" i="2"/>
  <c r="AD21" i="2"/>
  <c r="AM29" i="2"/>
  <c r="AD29" i="2"/>
  <c r="AK29" i="2" s="1"/>
  <c r="BH29" i="2" s="1"/>
  <c r="X86" i="2"/>
  <c r="W87" i="2"/>
  <c r="X87" i="2" s="1"/>
  <c r="O86" i="2"/>
  <c r="N87" i="2"/>
  <c r="O87" i="2" s="1"/>
  <c r="AM17" i="2"/>
  <c r="AD17" i="2"/>
  <c r="AK17" i="2" s="1"/>
  <c r="BH17" i="2" s="1"/>
  <c r="AM13" i="2"/>
  <c r="AD13" i="2"/>
  <c r="AK13" i="2" s="1"/>
  <c r="BH13" i="2" s="1"/>
  <c r="AA46" i="2"/>
  <c r="AA45" i="2"/>
  <c r="AM5" i="2"/>
  <c r="AD5" i="2"/>
  <c r="AM35" i="2"/>
  <c r="AD35" i="2"/>
  <c r="AK35" i="2" s="1"/>
  <c r="BH35" i="2" s="1"/>
  <c r="AM42" i="2"/>
  <c r="AD42" i="2"/>
  <c r="AK42" i="2" s="1"/>
  <c r="BH42" i="2" s="1"/>
  <c r="AM30" i="2"/>
  <c r="Z30" i="2"/>
  <c r="AC30" i="2" s="1"/>
  <c r="AD30" i="2"/>
  <c r="AK30" i="2" s="1"/>
  <c r="BH30" i="2" s="1"/>
  <c r="AM15" i="2"/>
  <c r="AD15" i="2"/>
  <c r="AK15" i="2" s="1"/>
  <c r="BH15" i="2" s="1"/>
  <c r="AM8" i="2"/>
  <c r="AD8" i="2"/>
  <c r="AK8" i="2" s="1"/>
  <c r="BH8" i="2" s="1"/>
  <c r="AM27" i="2"/>
  <c r="AD27" i="2"/>
  <c r="AK27" i="2" s="1"/>
  <c r="BH27" i="2" s="1"/>
  <c r="AM32" i="2"/>
  <c r="AD32" i="2"/>
  <c r="AK32" i="2" s="1"/>
  <c r="BH32" i="2" s="1"/>
  <c r="Z34" i="2"/>
  <c r="AC34" i="2" s="1"/>
  <c r="AM34" i="2"/>
  <c r="AD34" i="2"/>
  <c r="AK34" i="2" s="1"/>
  <c r="BH34" i="2" s="1"/>
  <c r="AL39" i="2" l="1"/>
  <c r="AE39" i="2"/>
  <c r="AL29" i="2"/>
  <c r="AE29" i="2"/>
  <c r="AL8" i="2"/>
  <c r="AE8" i="2"/>
  <c r="AL12" i="2"/>
  <c r="AE12" i="2"/>
  <c r="AL22" i="2"/>
  <c r="AE22" i="2"/>
  <c r="AL25" i="2"/>
  <c r="AE25" i="2"/>
  <c r="Z22" i="2"/>
  <c r="AC22" i="2" s="1"/>
  <c r="Z25" i="2"/>
  <c r="AC25" i="2" s="1"/>
  <c r="AD46" i="2"/>
  <c r="AD45" i="2"/>
  <c r="AK5" i="2"/>
  <c r="Z29" i="2"/>
  <c r="AC29" i="2" s="1"/>
  <c r="AL6" i="2"/>
  <c r="AE6" i="2"/>
  <c r="AL13" i="2"/>
  <c r="AE13" i="2"/>
  <c r="AL26" i="2"/>
  <c r="AE26" i="2"/>
  <c r="AL35" i="2"/>
  <c r="AE35" i="2"/>
  <c r="Z39" i="2"/>
  <c r="AC39" i="2" s="1"/>
  <c r="AC5" i="2"/>
  <c r="AL17" i="2"/>
  <c r="AE17" i="2"/>
  <c r="AL19" i="2"/>
  <c r="AE19" i="2"/>
  <c r="AL32" i="2"/>
  <c r="AE32" i="2"/>
  <c r="AL23" i="2"/>
  <c r="AE23" i="2"/>
  <c r="AL38" i="2"/>
  <c r="AE38" i="2"/>
  <c r="AM45" i="2"/>
  <c r="AD47" i="2"/>
  <c r="AK21" i="2"/>
  <c r="AL15" i="2"/>
  <c r="AE15" i="2"/>
  <c r="AL20" i="2"/>
  <c r="AE20" i="2"/>
  <c r="AL36" i="2"/>
  <c r="AE36" i="2"/>
  <c r="AL41" i="2"/>
  <c r="AE41" i="2"/>
  <c r="AL28" i="2"/>
  <c r="AE28" i="2"/>
  <c r="Z28" i="2"/>
  <c r="AC28" i="2" s="1"/>
  <c r="Z36" i="2"/>
  <c r="AC36" i="2" s="1"/>
  <c r="AL14" i="2"/>
  <c r="AE14" i="2"/>
  <c r="AC21" i="2"/>
  <c r="AL18" i="2"/>
  <c r="AE18" i="2"/>
  <c r="AL10" i="2"/>
  <c r="Z10" i="2"/>
  <c r="AC10" i="2" s="1"/>
  <c r="AE10" i="2"/>
  <c r="AL27" i="2"/>
  <c r="AE27" i="2"/>
  <c r="AL40" i="2"/>
  <c r="AE40" i="2"/>
  <c r="AL31" i="2"/>
  <c r="AE31" i="2"/>
  <c r="Z41" i="2"/>
  <c r="AC41" i="2" s="1"/>
  <c r="AK46" i="2"/>
  <c r="BH6" i="2"/>
  <c r="Z12" i="2"/>
  <c r="AC12" i="2" s="1"/>
  <c r="Z23" i="2"/>
  <c r="AC23" i="2" s="1"/>
  <c r="AL16" i="2"/>
  <c r="AE16" i="2"/>
  <c r="AM47" i="2"/>
  <c r="Z14" i="2"/>
  <c r="AC14" i="2" s="1"/>
  <c r="AL9" i="2"/>
  <c r="AE9" i="2"/>
  <c r="AB46" i="2"/>
  <c r="AB45" i="2"/>
  <c r="AL5" i="2"/>
  <c r="AE5" i="2"/>
  <c r="AL24" i="2"/>
  <c r="AE24" i="2"/>
  <c r="AB47" i="2"/>
  <c r="AL21" i="2"/>
  <c r="AE21" i="2"/>
  <c r="AL34" i="2"/>
  <c r="AE34" i="2"/>
  <c r="Z6" i="2"/>
  <c r="AC6" i="2" s="1"/>
  <c r="Z20" i="2"/>
  <c r="AC20" i="2" s="1"/>
  <c r="AL33" i="2"/>
  <c r="AE33" i="2"/>
  <c r="AL11" i="2"/>
  <c r="AE11" i="2"/>
  <c r="AL7" i="2"/>
  <c r="AE7" i="2"/>
  <c r="AL37" i="2"/>
  <c r="AE37" i="2"/>
  <c r="AL30" i="2"/>
  <c r="AE30" i="2"/>
  <c r="AL42" i="2"/>
  <c r="AE42" i="2"/>
  <c r="AM46" i="2"/>
  <c r="Z26" i="2"/>
  <c r="AC26" i="2" s="1"/>
  <c r="Z38" i="2"/>
  <c r="AC38" i="2" s="1"/>
  <c r="Z11" i="2"/>
  <c r="AC11" i="2" s="1"/>
  <c r="AJ24" i="2" l="1"/>
  <c r="BI24" i="2" s="1"/>
  <c r="AG24" i="2"/>
  <c r="AG17" i="2"/>
  <c r="AJ17" i="2"/>
  <c r="BI17" i="2" s="1"/>
  <c r="AJ31" i="2"/>
  <c r="BI31" i="2" s="1"/>
  <c r="AG31" i="2"/>
  <c r="AE46" i="2"/>
  <c r="AG46" i="2" s="1"/>
  <c r="AE45" i="2"/>
  <c r="AG45" i="2" s="1"/>
  <c r="AJ5" i="2"/>
  <c r="AG5" i="2"/>
  <c r="AJ16" i="2"/>
  <c r="BI16" i="2" s="1"/>
  <c r="AG16" i="2"/>
  <c r="AG18" i="2"/>
  <c r="AJ18" i="2"/>
  <c r="BI18" i="2" s="1"/>
  <c r="AJ28" i="2"/>
  <c r="BI28" i="2" s="1"/>
  <c r="AG28" i="2"/>
  <c r="AJ15" i="2"/>
  <c r="BI15" i="2" s="1"/>
  <c r="AG15" i="2"/>
  <c r="AJ23" i="2"/>
  <c r="BI23" i="2" s="1"/>
  <c r="AG23" i="2"/>
  <c r="AC46" i="2"/>
  <c r="AC45" i="2"/>
  <c r="AJ13" i="2"/>
  <c r="BI13" i="2" s="1"/>
  <c r="AG13" i="2"/>
  <c r="AJ8" i="2"/>
  <c r="BI8" i="2" s="1"/>
  <c r="AG8" i="2"/>
  <c r="AJ20" i="2"/>
  <c r="BI20" i="2" s="1"/>
  <c r="AG20" i="2"/>
  <c r="AG38" i="2"/>
  <c r="AJ38" i="2"/>
  <c r="BI38" i="2" s="1"/>
  <c r="AG26" i="2"/>
  <c r="AJ26" i="2"/>
  <c r="BI26" i="2" s="1"/>
  <c r="AG12" i="2"/>
  <c r="AJ12" i="2"/>
  <c r="BI12" i="2" s="1"/>
  <c r="AG37" i="2"/>
  <c r="AJ37" i="2"/>
  <c r="BI37" i="2" s="1"/>
  <c r="AJ7" i="2"/>
  <c r="BI7" i="2" s="1"/>
  <c r="AG7" i="2"/>
  <c r="AJ34" i="2"/>
  <c r="BI34" i="2" s="1"/>
  <c r="AG34" i="2"/>
  <c r="AL45" i="2"/>
  <c r="BW5" i="2"/>
  <c r="AJ40" i="2"/>
  <c r="BI40" i="2" s="1"/>
  <c r="AG40" i="2"/>
  <c r="Z46" i="2"/>
  <c r="AC47" i="2"/>
  <c r="AJ41" i="2"/>
  <c r="BI41" i="2" s="1"/>
  <c r="AG41" i="2"/>
  <c r="AK47" i="2"/>
  <c r="BH21" i="2"/>
  <c r="AG32" i="2"/>
  <c r="AJ32" i="2"/>
  <c r="BI32" i="2" s="1"/>
  <c r="Z45" i="2"/>
  <c r="AG6" i="2"/>
  <c r="AJ6" i="2"/>
  <c r="AJ25" i="2"/>
  <c r="BI25" i="2" s="1"/>
  <c r="AG25" i="2"/>
  <c r="AJ29" i="2"/>
  <c r="BI29" i="2" s="1"/>
  <c r="AG29" i="2"/>
  <c r="AG42" i="2"/>
  <c r="AJ42" i="2"/>
  <c r="BI42" i="2" s="1"/>
  <c r="AJ11" i="2"/>
  <c r="BI11" i="2" s="1"/>
  <c r="AG11" i="2"/>
  <c r="AE47" i="2"/>
  <c r="AG47" i="2" s="1"/>
  <c r="AG21" i="2"/>
  <c r="AJ21" i="2"/>
  <c r="AG27" i="2"/>
  <c r="AJ27" i="2"/>
  <c r="BI27" i="2" s="1"/>
  <c r="Z47" i="2"/>
  <c r="AL46" i="2"/>
  <c r="BW6" i="2"/>
  <c r="AL47" i="2"/>
  <c r="AJ9" i="2"/>
  <c r="BI9" i="2" s="1"/>
  <c r="AG9" i="2"/>
  <c r="AJ14" i="2"/>
  <c r="BI14" i="2" s="1"/>
  <c r="AG14" i="2"/>
  <c r="AG36" i="2"/>
  <c r="AJ36" i="2"/>
  <c r="BI36" i="2" s="1"/>
  <c r="AG19" i="2"/>
  <c r="AJ19" i="2"/>
  <c r="BI19" i="2" s="1"/>
  <c r="AJ35" i="2"/>
  <c r="BI35" i="2" s="1"/>
  <c r="AG35" i="2"/>
  <c r="AJ22" i="2"/>
  <c r="BI22" i="2" s="1"/>
  <c r="AG22" i="2"/>
  <c r="AJ39" i="2"/>
  <c r="BI39" i="2" s="1"/>
  <c r="AG39" i="2"/>
  <c r="AJ30" i="2"/>
  <c r="BI30" i="2" s="1"/>
  <c r="AG30" i="2"/>
  <c r="AG33" i="2"/>
  <c r="AJ33" i="2"/>
  <c r="BI33" i="2" s="1"/>
  <c r="AG10" i="2"/>
  <c r="AJ10" i="2"/>
  <c r="BI10" i="2" s="1"/>
  <c r="AK45" i="2"/>
  <c r="BH5" i="2"/>
  <c r="CE5" i="2" l="1"/>
  <c r="CY5" i="2" s="1"/>
  <c r="AJ46" i="2"/>
  <c r="BI6" i="2"/>
  <c r="BH44" i="2"/>
  <c r="AJ47" i="2"/>
  <c r="BI21" i="2"/>
  <c r="CB5" i="2"/>
  <c r="AJ45" i="2"/>
  <c r="CK6" i="2"/>
  <c r="CC6" i="2"/>
  <c r="DC6" i="2" s="1"/>
  <c r="BI5" i="2"/>
  <c r="CJ9" i="2"/>
  <c r="CE8" i="2"/>
  <c r="CY8" i="2" s="1"/>
  <c r="DG8" i="2" s="1"/>
  <c r="CG7" i="2"/>
  <c r="CV7" i="2" s="1"/>
  <c r="CM12" i="2"/>
  <c r="DA12" i="2" s="1"/>
  <c r="CH11" i="2"/>
  <c r="CW11" i="2" s="1"/>
  <c r="CF14" i="2"/>
  <c r="CD14" i="2"/>
  <c r="CL14" i="2"/>
  <c r="CH9" i="2"/>
  <c r="CW9" i="2" s="1"/>
  <c r="CD10" i="2"/>
  <c r="CC7" i="2"/>
  <c r="DC7" i="2" s="1"/>
  <c r="CF10" i="2"/>
  <c r="CZ10" i="2" s="1"/>
  <c r="CH5" i="2"/>
  <c r="CI9" i="2"/>
  <c r="CF6" i="2"/>
  <c r="CZ6" i="2" s="1"/>
  <c r="CM8" i="2"/>
  <c r="DA8" i="2" s="1"/>
  <c r="CE12" i="2"/>
  <c r="CY12" i="2" s="1"/>
  <c r="DG12" i="2" s="1"/>
  <c r="CJ10" i="2"/>
  <c r="CI13" i="2"/>
  <c r="CH13" i="2"/>
  <c r="CW13" i="2" s="1"/>
  <c r="CB14" i="2"/>
  <c r="CK14" i="2"/>
  <c r="CG9" i="2"/>
  <c r="CV9" i="2" s="1"/>
  <c r="CB9" i="2"/>
  <c r="DB9" i="2" s="1"/>
  <c r="CB7" i="2"/>
  <c r="DB7" i="2" s="1"/>
  <c r="CK7" i="2"/>
  <c r="CG10" i="2"/>
  <c r="CV10" i="2" s="1"/>
  <c r="CC12" i="2"/>
  <c r="DC12" i="2" s="1"/>
  <c r="CI10" i="2"/>
  <c r="CF8" i="2"/>
  <c r="CZ8" i="2" s="1"/>
  <c r="CI14" i="2"/>
  <c r="CI11" i="2"/>
  <c r="CB10" i="2"/>
  <c r="DB10" i="2" s="1"/>
  <c r="CJ12" i="2"/>
  <c r="CI12" i="2"/>
  <c r="CF13" i="2"/>
  <c r="CZ13" i="2" s="1"/>
  <c r="CM13" i="2"/>
  <c r="DA13" i="2" s="1"/>
  <c r="CD5" i="2"/>
  <c r="CJ7" i="2"/>
  <c r="CM14" i="2"/>
  <c r="CH14" i="2"/>
  <c r="CM9" i="2"/>
  <c r="DA9" i="2" s="1"/>
  <c r="CB12" i="2"/>
  <c r="DB12" i="2" s="1"/>
  <c r="CM11" i="2"/>
  <c r="DA11" i="2" s="1"/>
  <c r="CG12" i="2"/>
  <c r="CV12" i="2" s="1"/>
  <c r="CE13" i="2"/>
  <c r="CY13" i="2" s="1"/>
  <c r="DG13" i="2" s="1"/>
  <c r="CK12" i="2"/>
  <c r="CE11" i="2"/>
  <c r="CY11" i="2" s="1"/>
  <c r="DG11" i="2" s="1"/>
  <c r="CI8" i="2"/>
  <c r="CB8" i="2"/>
  <c r="DB8" i="2" s="1"/>
  <c r="CM6" i="2"/>
  <c r="DA6" i="2" s="1"/>
  <c r="CE7" i="2"/>
  <c r="CY7" i="2" s="1"/>
  <c r="DG7" i="2" s="1"/>
  <c r="CL9" i="2"/>
  <c r="CE14" i="2"/>
  <c r="CK13" i="2"/>
  <c r="CE9" i="2"/>
  <c r="CY9" i="2" s="1"/>
  <c r="DG9" i="2" s="1"/>
  <c r="CF11" i="2"/>
  <c r="CZ11" i="2" s="1"/>
  <c r="CC14" i="2"/>
  <c r="CK11" i="2"/>
  <c r="CF12" i="2"/>
  <c r="CZ12" i="2" s="1"/>
  <c r="CI6" i="2"/>
  <c r="CB6" i="2"/>
  <c r="DB6" i="2" s="1"/>
  <c r="CD9" i="2"/>
  <c r="CG5" i="2"/>
  <c r="CJ8" i="2"/>
  <c r="CD7" i="2"/>
  <c r="CM7" i="2"/>
  <c r="DA7" i="2" s="1"/>
  <c r="CG6" i="2"/>
  <c r="CV6" i="2" s="1"/>
  <c r="CJ14" i="2"/>
  <c r="CC13" i="2"/>
  <c r="DC13" i="2" s="1"/>
  <c r="CG14" i="2"/>
  <c r="CH10" i="2"/>
  <c r="CW10" i="2" s="1"/>
  <c r="CG13" i="2"/>
  <c r="CV13" i="2" s="1"/>
  <c r="CC11" i="2"/>
  <c r="DC11" i="2" s="1"/>
  <c r="CJ11" i="2"/>
  <c r="CH7" i="2"/>
  <c r="CW7" i="2" s="1"/>
  <c r="CD11" i="2"/>
  <c r="CJ6" i="2"/>
  <c r="CC10" i="2"/>
  <c r="DC10" i="2" s="1"/>
  <c r="CL7" i="2"/>
  <c r="CC8" i="2"/>
  <c r="DC8" i="2" s="1"/>
  <c r="CD8" i="2"/>
  <c r="CH6" i="2"/>
  <c r="CW6" i="2" s="1"/>
  <c r="CL13" i="2"/>
  <c r="CL12" i="2"/>
  <c r="CJ13" i="2"/>
  <c r="CK9" i="2"/>
  <c r="CH12" i="2"/>
  <c r="CW12" i="2" s="1"/>
  <c r="CM10" i="2"/>
  <c r="DA10" i="2" s="1"/>
  <c r="CB11" i="2"/>
  <c r="DB11" i="2" s="1"/>
  <c r="CG8" i="2"/>
  <c r="CV8" i="2" s="1"/>
  <c r="CI7" i="2"/>
  <c r="CG11" i="2"/>
  <c r="CV11" i="2" s="1"/>
  <c r="CD6" i="2"/>
  <c r="CL8" i="2"/>
  <c r="CF7" i="2"/>
  <c r="CZ7" i="2" s="1"/>
  <c r="CK10" i="2"/>
  <c r="CD13" i="2"/>
  <c r="CD12" i="2"/>
  <c r="CB13" i="2"/>
  <c r="DB13" i="2" s="1"/>
  <c r="CC9" i="2"/>
  <c r="DC9" i="2" s="1"/>
  <c r="CL11" i="2"/>
  <c r="CE10" i="2"/>
  <c r="CY10" i="2" s="1"/>
  <c r="DG10" i="2" s="1"/>
  <c r="CL10" i="2"/>
  <c r="CH8" i="2"/>
  <c r="CW8" i="2" s="1"/>
  <c r="CL6" i="2"/>
  <c r="CF9" i="2"/>
  <c r="CZ9" i="2" s="1"/>
  <c r="CK8" i="2"/>
  <c r="CE6" i="2"/>
  <c r="CY6" i="2" s="1"/>
  <c r="DG6" i="2" s="1"/>
  <c r="CL5" i="2"/>
  <c r="CK5" i="2"/>
  <c r="CM5" i="2"/>
  <c r="CJ5" i="2"/>
  <c r="CI5" i="2"/>
  <c r="CF5" i="2"/>
  <c r="CC5" i="2"/>
  <c r="CI16" i="2" l="1"/>
  <c r="CI19" i="2" s="1"/>
  <c r="CJ16" i="2"/>
  <c r="CJ19" i="2" s="1"/>
  <c r="CL16" i="2"/>
  <c r="CL19" i="2" s="1"/>
  <c r="CB16" i="2"/>
  <c r="CB19" i="2" s="1"/>
  <c r="DB5" i="2"/>
  <c r="DB15" i="2" s="1"/>
  <c r="CF16" i="2"/>
  <c r="CF19" i="2" s="1"/>
  <c r="CZ5" i="2"/>
  <c r="CZ15" i="2" s="1"/>
  <c r="CX12" i="2"/>
  <c r="DF12" i="2" s="1"/>
  <c r="CO12" i="2"/>
  <c r="CN12" i="2"/>
  <c r="CC16" i="2"/>
  <c r="CC19" i="2" s="1"/>
  <c r="DC5" i="2"/>
  <c r="DC15" i="2" s="1"/>
  <c r="CX13" i="2"/>
  <c r="DF13" i="2" s="1"/>
  <c r="CO13" i="2"/>
  <c r="CN13" i="2"/>
  <c r="CX8" i="2"/>
  <c r="DF8" i="2" s="1"/>
  <c r="CO8" i="2"/>
  <c r="CN8" i="2"/>
  <c r="DC19" i="2"/>
  <c r="DC21" i="2"/>
  <c r="DC20" i="2"/>
  <c r="CX7" i="2"/>
  <c r="DF7" i="2" s="1"/>
  <c r="CO7" i="2"/>
  <c r="CN7" i="2"/>
  <c r="DA18" i="2"/>
  <c r="DA17" i="2"/>
  <c r="CX10" i="2"/>
  <c r="DF10" i="2" s="1"/>
  <c r="CO10" i="2"/>
  <c r="CN10" i="2"/>
  <c r="CM16" i="2"/>
  <c r="CM19" i="2" s="1"/>
  <c r="DA5" i="2"/>
  <c r="DA15" i="2" s="1"/>
  <c r="CG16" i="2"/>
  <c r="CG19" i="2" s="1"/>
  <c r="CV5" i="2"/>
  <c r="CV15" i="2" s="1"/>
  <c r="BI44" i="2"/>
  <c r="CK16" i="2"/>
  <c r="CK19" i="2" s="1"/>
  <c r="CO9" i="2"/>
  <c r="CX9" i="2"/>
  <c r="DF9" i="2" s="1"/>
  <c r="CN9" i="2"/>
  <c r="CO14" i="2"/>
  <c r="CX6" i="2"/>
  <c r="DF6" i="2" s="1"/>
  <c r="CO6" i="2"/>
  <c r="CN6" i="2"/>
  <c r="CD16" i="2"/>
  <c r="CD19" i="2" s="1"/>
  <c r="CO5" i="2"/>
  <c r="CN5" i="2"/>
  <c r="CX5" i="2"/>
  <c r="CY15" i="2"/>
  <c r="DG5" i="2"/>
  <c r="DG15" i="2" s="1"/>
  <c r="DC18" i="2"/>
  <c r="DC17" i="2"/>
  <c r="CN11" i="2"/>
  <c r="CX11" i="2"/>
  <c r="DF11" i="2" s="1"/>
  <c r="CO11" i="2"/>
  <c r="CH16" i="2"/>
  <c r="CH19" i="2" s="1"/>
  <c r="CW5" i="2"/>
  <c r="CW15" i="2" s="1"/>
  <c r="CE16" i="2"/>
  <c r="CE19" i="2" s="1"/>
  <c r="CX15" i="2" l="1"/>
  <c r="DF5" i="2"/>
  <c r="DF15" i="2" s="1"/>
  <c r="CY21" i="2" l="1"/>
  <c r="DG21" i="2" s="1"/>
  <c r="DB21" i="2"/>
  <c r="CX21" i="2"/>
  <c r="DF21" i="2" s="1"/>
  <c r="CZ21" i="2"/>
  <c r="CZ20" i="2"/>
  <c r="CX20" i="2"/>
  <c r="DF20" i="2" s="1"/>
  <c r="DB20" i="2"/>
  <c r="CY20" i="2"/>
  <c r="DG20" i="2" s="1"/>
  <c r="DB18" i="2" l="1"/>
  <c r="DB17" i="2"/>
  <c r="CX17" i="2"/>
  <c r="DF17" i="2" s="1"/>
  <c r="CX18" i="2"/>
  <c r="DF18" i="2" s="1"/>
  <c r="CZ18" i="2"/>
  <c r="CZ17" i="2"/>
  <c r="CY17" i="2"/>
  <c r="DG17" i="2" s="1"/>
  <c r="CY18" i="2"/>
  <c r="DG18" i="2" s="1"/>
  <c r="CV16" i="2"/>
  <c r="CW16" i="2"/>
  <c r="CZ19" i="2"/>
  <c r="CY16" i="2"/>
  <c r="DG16" i="2" s="1"/>
  <c r="DB16" i="2" l="1"/>
  <c r="CX16" i="2"/>
  <c r="DF16" i="2" s="1"/>
  <c r="DC16" i="2"/>
  <c r="DA16" i="2"/>
  <c r="CZ16" i="2"/>
  <c r="CY19" i="2" l="1"/>
  <c r="DG19" i="2" s="1"/>
  <c r="CX19" i="2"/>
  <c r="DF19" i="2" s="1"/>
  <c r="DB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Onyejemeni, Hilary SPDC-UPO/G/UDT</author>
  </authors>
  <commentList>
    <comment ref="M29" authorId="0" shapeId="0" xr:uid="{D9083E34-AE58-4C48-AFE5-FF5541F82E32}">
      <text>
        <r>
          <rPr>
            <b/>
            <sz val="9"/>
            <color indexed="81"/>
            <rFont val="Tahoma"/>
            <family val="2"/>
          </rPr>
          <t>Onyejemeni, Hilary SPDC-UPO/G/UDT:</t>
        </r>
        <r>
          <rPr>
            <sz val="9"/>
            <color indexed="81"/>
            <rFont val="Tahoma"/>
            <family val="2"/>
          </rPr>
          <t xml:space="preserve">
3 consecutive MF applied </t>
        </r>
      </text>
    </comment>
    <comment ref="M31" authorId="0" shapeId="0" xr:uid="{6A7D0E56-AC34-49D3-9A75-70189E3AD62A}">
      <text>
        <r>
          <rPr>
            <b/>
            <sz val="9"/>
            <color indexed="81"/>
            <rFont val="Tahoma"/>
            <family val="2"/>
          </rPr>
          <t>Onyejemeni, Hilary SPDC-UPO/G/UDT:</t>
        </r>
        <r>
          <rPr>
            <sz val="9"/>
            <color indexed="81"/>
            <rFont val="Tahoma"/>
            <family val="2"/>
          </rPr>
          <t xml:space="preserve">
3 consecutive MF applied </t>
        </r>
      </text>
    </comment>
    <comment ref="M41" authorId="0" shapeId="0" xr:uid="{262F927A-4B85-4645-BA33-305EF863EFA4}">
      <text>
        <r>
          <rPr>
            <b/>
            <sz val="9"/>
            <color indexed="81"/>
            <rFont val="Tahoma"/>
            <family val="2"/>
          </rPr>
          <t>Onyejemeni, Hilary SPDC-UPO/G/UDT:</t>
        </r>
        <r>
          <rPr>
            <sz val="9"/>
            <color indexed="81"/>
            <rFont val="Tahoma"/>
            <family val="2"/>
          </rPr>
          <t xml:space="preserve">
3 consecutive MF applied</t>
        </r>
      </text>
    </comment>
  </commentList>
</comments>
</file>

<file path=xl/sharedStrings.xml><?xml version="1.0" encoding="utf-8"?>
<sst xmlns="http://schemas.openxmlformats.org/spreadsheetml/2006/main" count="1127" uniqueCount="409">
  <si>
    <t>GROSS and BS&amp;W autocells.</t>
  </si>
  <si>
    <t>Asset Team</t>
  </si>
  <si>
    <t>Facility</t>
  </si>
  <si>
    <t>Gross Measured</t>
  </si>
  <si>
    <t>BS&amp;W</t>
  </si>
  <si>
    <t>Net Claimed</t>
  </si>
  <si>
    <t>Water Claimed</t>
  </si>
  <si>
    <t>Meter Type</t>
  </si>
  <si>
    <t>Last Prove Date</t>
  </si>
  <si>
    <t>Days Since Last Prove</t>
  </si>
  <si>
    <t xml:space="preserve"> Compliance category</t>
  </si>
  <si>
    <t>M_Factor in use</t>
  </si>
  <si>
    <t>Meter in Terminal</t>
  </si>
  <si>
    <t>P&amp;T Installed</t>
  </si>
  <si>
    <t>BS&amp;W Measurement Method</t>
  </si>
  <si>
    <t>Remarks</t>
  </si>
  <si>
    <t>Table 1 - Metering Classes &amp; Trust Factors</t>
  </si>
  <si>
    <t>[A]</t>
  </si>
  <si>
    <t>[B]-[A]</t>
  </si>
  <si>
    <t>LACT</t>
  </si>
  <si>
    <t>2W</t>
  </si>
  <si>
    <t>L0</t>
  </si>
  <si>
    <t>Non-LACT</t>
  </si>
  <si>
    <t>1M</t>
  </si>
  <si>
    <t>NL</t>
  </si>
  <si>
    <t>Meter Proving Check</t>
  </si>
  <si>
    <t>SPDC West</t>
  </si>
  <si>
    <t>BENS/1</t>
  </si>
  <si>
    <t>NL2</t>
  </si>
  <si>
    <t>Yes</t>
  </si>
  <si>
    <t>No</t>
  </si>
  <si>
    <t>Online BS&amp;W Meter</t>
  </si>
  <si>
    <t>AP3MF</t>
  </si>
  <si>
    <t>NMF</t>
  </si>
  <si>
    <t>NL0</t>
  </si>
  <si>
    <t>ESCB/1</t>
  </si>
  <si>
    <t>1MA</t>
  </si>
  <si>
    <t>L1</t>
  </si>
  <si>
    <t>NL1</t>
  </si>
  <si>
    <t>FORC/2</t>
  </si>
  <si>
    <t>2MA</t>
  </si>
  <si>
    <t>L2</t>
  </si>
  <si>
    <t>FORC/3</t>
  </si>
  <si>
    <t>FORC/4</t>
  </si>
  <si>
    <t>FORC/GP</t>
  </si>
  <si>
    <r>
      <t xml:space="preserve">[LACT] 2W: Metering Proving in compliance with DPR </t>
    </r>
    <r>
      <rPr>
        <b/>
        <sz val="7"/>
        <rFont val="Arial monospaced for SAP"/>
        <family val="3"/>
      </rPr>
      <t>2</t>
    </r>
    <r>
      <rPr>
        <sz val="7"/>
        <rFont val="Arial monospaced for SAP"/>
        <family val="3"/>
      </rPr>
      <t xml:space="preserve"> Weekly proving requirement </t>
    </r>
  </si>
  <si>
    <t>OML 40</t>
  </si>
  <si>
    <t>Opuama</t>
  </si>
  <si>
    <t>Manual Sampling</t>
  </si>
  <si>
    <t xml:space="preserve">LACT and Autosampler not recognized because certification expired </t>
  </si>
  <si>
    <t>[LACT] AP3MF: Meter factor in use is the Average of Previous 3 Meter Factors [in case of failure of meter proving in three occasions]</t>
  </si>
  <si>
    <t>OPUK/1</t>
  </si>
  <si>
    <t>[LACT] 1MA: 1 Month After of using three consecutive successful meter factor [forth occasion] and in case of failure to prove the meter</t>
  </si>
  <si>
    <t>OTUM/1</t>
  </si>
  <si>
    <t xml:space="preserve">[LACT] 2MA: On fifth occasion of meter proving failure and thereafter </t>
  </si>
  <si>
    <t>TUNU CPF</t>
  </si>
  <si>
    <t>OGBO/1</t>
  </si>
  <si>
    <t>TUNU/1</t>
  </si>
  <si>
    <t>[Non-LACT] NL: Constant Penalty on Gross Volumes for using of non-LACT metering system</t>
  </si>
  <si>
    <t>NTBK/CPF</t>
  </si>
  <si>
    <t>PIPELINE ENGR. FLUSH WATER</t>
  </si>
  <si>
    <t>EXCEL E&amp;P</t>
  </si>
  <si>
    <t>OML 26</t>
  </si>
  <si>
    <t>Ogini</t>
  </si>
  <si>
    <t>Auto Sampler</t>
  </si>
  <si>
    <t xml:space="preserve">[Non-LACT] NL0: Metering Proving in compliance with DPR monthly proving requirement </t>
  </si>
  <si>
    <t>OML 30</t>
  </si>
  <si>
    <t>Afiesere</t>
  </si>
  <si>
    <t>[Non-LACT] NL1: 1 Month After last successful meter prove and in case of failure to prove the meter</t>
  </si>
  <si>
    <t>Eriemu LACT (Eriemu, Olomoro, Oweh &amp; Uzere)</t>
  </si>
  <si>
    <t>[Non-LACT] NL2: 2 Months After last successful meter prove and in case of failure to prove the meter</t>
  </si>
  <si>
    <t>Osioka  LACT (Evwreni &amp; Oroni)</t>
  </si>
  <si>
    <t xml:space="preserve">LACT meter was approved by DPR  on 26th February 2021. </t>
  </si>
  <si>
    <t>[Non-LACT] : Failure to use the meter factor [raw meter readings used for reporting without multiplying by meter factor]</t>
  </si>
  <si>
    <t>Kokori</t>
  </si>
  <si>
    <t>Olomoro</t>
  </si>
  <si>
    <t>Water Cut Measurement Trust Factors</t>
  </si>
  <si>
    <t>Oroni</t>
  </si>
  <si>
    <t>No Penalty will be Applied</t>
  </si>
  <si>
    <t>Oweh</t>
  </si>
  <si>
    <t>Mass Balance</t>
  </si>
  <si>
    <t>Balance Water received at the terminal will be distrubuted propotional to
each injectors reported water</t>
  </si>
  <si>
    <t>Uzere</t>
  </si>
  <si>
    <t>OML 34</t>
  </si>
  <si>
    <t>Ughelli_E LACT</t>
  </si>
  <si>
    <t>DPR approved LACT on 12th Dec 2019
Auto-sampler was non-functional for more than 20days in Jan 2020</t>
  </si>
  <si>
    <t>Ughelli_W</t>
  </si>
  <si>
    <t>Utorogu LACT</t>
  </si>
  <si>
    <t>Volume Correction Factor</t>
  </si>
  <si>
    <t>Utorogu GP</t>
  </si>
  <si>
    <t xml:space="preserve">No Press/Temp. </t>
  </si>
  <si>
    <t>Applied to Non-LACT units without Pressure &amp; Temperature measurement</t>
  </si>
  <si>
    <t>Warri River</t>
  </si>
  <si>
    <t>OML 42</t>
  </si>
  <si>
    <t>Jones Creek</t>
  </si>
  <si>
    <t>Egwa 1</t>
  </si>
  <si>
    <t>Allocation Date:[B]</t>
  </si>
  <si>
    <t>Egwa 2</t>
  </si>
  <si>
    <t xml:space="preserve"> </t>
  </si>
  <si>
    <t>Batan/Ajuju</t>
  </si>
  <si>
    <t>Odidi 1</t>
  </si>
  <si>
    <t>Odidi 2</t>
  </si>
  <si>
    <t>Mid-Western</t>
  </si>
  <si>
    <t xml:space="preserve">DPR approved the use of the LACT meter effective 17th Jan'18 and discontinuation of the PDM same date.
</t>
  </si>
  <si>
    <t>SEPLAT</t>
  </si>
  <si>
    <t>Seplat - Rapele</t>
  </si>
  <si>
    <t>AGIP</t>
  </si>
  <si>
    <t>Total West Inj</t>
  </si>
  <si>
    <t>TEP-TRP Inj</t>
  </si>
  <si>
    <t>TFP Inj</t>
  </si>
  <si>
    <t>AGIP Inj</t>
  </si>
  <si>
    <t>Ref Vol Remoived Check</t>
  </si>
  <si>
    <t>d</t>
  </si>
  <si>
    <t xml:space="preserve">Receipt Terminal Net </t>
  </si>
  <si>
    <t>Receipt Terminal Produced Water</t>
  </si>
  <si>
    <t>UPS Gross Opening Stock</t>
  </si>
  <si>
    <t>UPS Net Opening Stock</t>
  </si>
  <si>
    <t>UPS Gross Closing Stock</t>
  </si>
  <si>
    <t>UPS Net Closing Stock</t>
  </si>
  <si>
    <t>UPS Change in Stock Net Oil vol</t>
  </si>
  <si>
    <t>UPS Change in Stock Water vol</t>
  </si>
  <si>
    <t>Net Oil Supply to Warri Refinery and/or barge</t>
  </si>
  <si>
    <t>Warri Refinery water in crude supply (and water to barge)</t>
  </si>
  <si>
    <t>UPS Water pumped to FOT</t>
  </si>
  <si>
    <t>FRM LACT Gross</t>
  </si>
  <si>
    <t>FRM LACT Net</t>
  </si>
  <si>
    <t>FRM LACT Net(Shrinkage Factor applied)</t>
  </si>
  <si>
    <t>Gross</t>
  </si>
  <si>
    <t>Net Oil</t>
  </si>
  <si>
    <t>Water</t>
  </si>
  <si>
    <t>Total to UPS</t>
  </si>
  <si>
    <t>Refinery/Barged</t>
  </si>
  <si>
    <t>UPS Stock</t>
  </si>
  <si>
    <t>Water supply to FOT</t>
  </si>
  <si>
    <t xml:space="preserve">Refund from OML 30 to OML 34 </t>
  </si>
  <si>
    <t>Total vol to Ref/UPS stock</t>
  </si>
  <si>
    <t>Balance of OML prod</t>
  </si>
  <si>
    <t>Refinery and UPS stock vol to be removed</t>
  </si>
  <si>
    <t>Balance of OML 30 &amp; 34 volume after removed of UPS/Refinry supply</t>
  </si>
  <si>
    <t>Total</t>
  </si>
  <si>
    <t>UPS Stock to OML 34</t>
  </si>
  <si>
    <t>OML 34 vol to Warri Ref</t>
  </si>
  <si>
    <t>WRPC and UPS stock to OML 34</t>
  </si>
  <si>
    <t>UPS Stock to OML 30</t>
  </si>
  <si>
    <t>Claimed Injection [Barrels]</t>
  </si>
  <si>
    <t>Gross Volume Correction</t>
  </si>
  <si>
    <t>Gross Water and Net Corrected volume</t>
  </si>
  <si>
    <t>Measurement Error</t>
  </si>
  <si>
    <t>Excess / Theft Allocation</t>
  </si>
  <si>
    <t>Final Gross Water and Net Oil Allocated volume</t>
  </si>
  <si>
    <t>Div.</t>
  </si>
  <si>
    <t>BS&amp;W %</t>
  </si>
  <si>
    <t>Water Vol.</t>
  </si>
  <si>
    <t>Net Vol.</t>
  </si>
  <si>
    <t>Meter Turst Factor</t>
  </si>
  <si>
    <t>Meter Factor Correction</t>
  </si>
  <si>
    <t>Correction   for T&amp;P</t>
  </si>
  <si>
    <t>Raw Data Correction (Meter Factor)</t>
  </si>
  <si>
    <t>Gross Standard Volume [GSV] Corrected  Injected for Metering Inaccuracies</t>
  </si>
  <si>
    <t>Water Standard Volume [GSV] Corrected  Injected for Metering Inaccuracies</t>
  </si>
  <si>
    <t xml:space="preserve">Facility Water adjustment </t>
  </si>
  <si>
    <t xml:space="preserve">Facility Corrected Water </t>
  </si>
  <si>
    <t xml:space="preserve">Actual Facility Water adjustment </t>
  </si>
  <si>
    <t xml:space="preserve">Actual Facility Corrected Water </t>
  </si>
  <si>
    <t>Net Standard Volume [GSV] Corrected  Injected for Metering Inaccuracies</t>
  </si>
  <si>
    <t xml:space="preserve">Water </t>
  </si>
  <si>
    <t>Net</t>
  </si>
  <si>
    <t>Gross Oil Allocated at the Terminal</t>
  </si>
  <si>
    <t>Water Allocated at the Terminal</t>
  </si>
  <si>
    <t>NET Oil Allocated at the Terminal</t>
  </si>
  <si>
    <t>Pecentage Allocated to Net Claimed</t>
  </si>
  <si>
    <t>% adjustment of metering inaccuracies</t>
  </si>
  <si>
    <t>Allocated Net Oil at the Terminal</t>
  </si>
  <si>
    <t>Allocated Water</t>
  </si>
  <si>
    <t>Shared Oil theft or Excess Oil volumes</t>
  </si>
  <si>
    <t xml:space="preserve">Shared Water theft volumes </t>
  </si>
  <si>
    <t>Metering inaccuracy</t>
  </si>
  <si>
    <t>Claimed Net Oil Injected</t>
  </si>
  <si>
    <t>Corrected Produced Oil Vol</t>
  </si>
  <si>
    <t>Corrected Produced Water</t>
  </si>
  <si>
    <t>Claimed Produced Water</t>
  </si>
  <si>
    <t>Adjusted Net Oil Volume after penalties</t>
  </si>
  <si>
    <t>Adjusted Water Volume after penalties</t>
  </si>
  <si>
    <t>Water Uplift Volume after penalties</t>
  </si>
  <si>
    <t>Claimed gross</t>
  </si>
  <si>
    <t>Revised volumes based on corrected gross and station BS$W
(Volumes after metering penalty)</t>
  </si>
  <si>
    <t>Corrected volume after water uplift</t>
  </si>
  <si>
    <t>Summary of the Computation by Injectors</t>
  </si>
  <si>
    <t>FEBRUARY 2023 SPDC WEST ALLOCATION NETWORK COMPUTATION SIGN OFF WORKSHEET (Barrels)</t>
  </si>
  <si>
    <t>Volume Adjustment</t>
  </si>
  <si>
    <t>Land East SPDC Assets</t>
  </si>
  <si>
    <t>[B]</t>
  </si>
  <si>
    <t>[C]=[A]x[B]</t>
  </si>
  <si>
    <t>[D]=[A]-[C]</t>
  </si>
  <si>
    <t>[E]</t>
  </si>
  <si>
    <t>[F]</t>
  </si>
  <si>
    <t>[G]</t>
  </si>
  <si>
    <t>[H]</t>
  </si>
  <si>
    <t>[I]=[A]x[E]x[F]x[G]x[H]</t>
  </si>
  <si>
    <t>[J]=[I] x [G]</t>
  </si>
  <si>
    <t>[K]=[] x []</t>
  </si>
  <si>
    <t>[L]=[J] x [I]</t>
  </si>
  <si>
    <t>[M]=[O] x [R]</t>
  </si>
  <si>
    <t>Claimed inj net</t>
  </si>
  <si>
    <t>Claimed inj water</t>
  </si>
  <si>
    <t>Corrected gross</t>
  </si>
  <si>
    <t>Revised net</t>
  </si>
  <si>
    <t>Claimed BS&amp;W</t>
  </si>
  <si>
    <t>Revised water</t>
  </si>
  <si>
    <t>Extra water (water uplift)</t>
  </si>
  <si>
    <t>Corrected water</t>
  </si>
  <si>
    <t>corrected net</t>
  </si>
  <si>
    <t>Allocated water</t>
  </si>
  <si>
    <t>Allocated Net</t>
  </si>
  <si>
    <t>Diff btwn claimed net and revised net</t>
  </si>
  <si>
    <t>Diff btwn revised net and corrected net</t>
  </si>
  <si>
    <t>Metering</t>
  </si>
  <si>
    <t>Theft</t>
  </si>
  <si>
    <t xml:space="preserve">Shared Oil theft volumes </t>
  </si>
  <si>
    <t>Metering Inaccuracy</t>
  </si>
  <si>
    <t>Net Oil Claimed inj</t>
  </si>
  <si>
    <t>Water Claimed inj</t>
  </si>
  <si>
    <t>Corrected Oil Volume for Allocation</t>
  </si>
  <si>
    <t>Corrected Water Volume for Allocation</t>
  </si>
  <si>
    <t>Net Oil volume adjustment after Penalties</t>
  </si>
  <si>
    <t>Water volume adjustment after Penalties</t>
  </si>
  <si>
    <t>Water Uplift volume after Penalties</t>
  </si>
  <si>
    <t>Claimed Water Produced</t>
  </si>
  <si>
    <t>Allocated Net Oil at the Terminal for the month</t>
  </si>
  <si>
    <t>Allocated Water for the month</t>
  </si>
  <si>
    <t>Metering Inaccuracy Oil</t>
  </si>
  <si>
    <t xml:space="preserve">Shared water theft volumes </t>
  </si>
  <si>
    <t xml:space="preserve">Oil Volume Adjustment </t>
  </si>
  <si>
    <t xml:space="preserve">Water Volume Adjustment </t>
  </si>
  <si>
    <t>Total Net Oil Allocated (plus vol adjust)</t>
  </si>
  <si>
    <t>Total Water Allocated (plus vol adjust)</t>
  </si>
  <si>
    <t>Jan 2023 UZERE vol recovery - OIL</t>
  </si>
  <si>
    <t>Jan 2023 UZERE vol recovery  - WATER</t>
  </si>
  <si>
    <t>OIL: ORR Recovery from Excel 
Sept 2021-Dec 2022</t>
  </si>
  <si>
    <t>Water: ORR Recovery from Excel 
Sept 2021-Dec 2022</t>
  </si>
  <si>
    <t>Oil: FRM LACT penalty on OML 30</t>
  </si>
  <si>
    <t>Water: FRM LACT penalty on OML 30</t>
  </si>
  <si>
    <t>WEST SPDC</t>
  </si>
  <si>
    <t>SPDC WEST</t>
  </si>
  <si>
    <t>PW</t>
  </si>
  <si>
    <t xml:space="preserve"> BENS/1 </t>
  </si>
  <si>
    <t>TRP</t>
  </si>
  <si>
    <t>SPDC</t>
  </si>
  <si>
    <t xml:space="preserve"> ESCB/1 </t>
  </si>
  <si>
    <t>TEP</t>
  </si>
  <si>
    <t>WEST-NPDC/ELCREST</t>
  </si>
  <si>
    <t>NPDC/ELCREST (OML 40)</t>
  </si>
  <si>
    <t xml:space="preserve"> FORC/2 </t>
  </si>
  <si>
    <t>WEST-NPDC/FHN</t>
  </si>
  <si>
    <t>NPDC/FHN (OML 26)</t>
  </si>
  <si>
    <t xml:space="preserve"> FORC/3 </t>
  </si>
  <si>
    <t>WEST-NPDC/Heritage</t>
  </si>
  <si>
    <t>NPDC/SHORELINE (OML 30)</t>
  </si>
  <si>
    <t xml:space="preserve"> FORC/4 </t>
  </si>
  <si>
    <t>WEST-NDW</t>
  </si>
  <si>
    <t>OML 34 &amp; Abura</t>
  </si>
  <si>
    <t>NPDC/NDWESTERN (OML 34 &amp; Abura)</t>
  </si>
  <si>
    <t xml:space="preserve"> FORC/GP </t>
  </si>
  <si>
    <t>WEST-NPDC/NECONDE</t>
  </si>
  <si>
    <t>NPDC/NECONDE (OML 42)</t>
  </si>
  <si>
    <t xml:space="preserve"> Opuama </t>
  </si>
  <si>
    <t>WEST-SEPLAT</t>
  </si>
  <si>
    <t>SEPLAT/POOC/Oredo</t>
  </si>
  <si>
    <t xml:space="preserve"> OPUK/1 </t>
  </si>
  <si>
    <t>WEST-Midwestern</t>
  </si>
  <si>
    <t>Mid Western</t>
  </si>
  <si>
    <t xml:space="preserve"> OTUM/1 </t>
  </si>
  <si>
    <t>WEST EXCEL</t>
  </si>
  <si>
    <t>Excel E&amp;P</t>
  </si>
  <si>
    <t xml:space="preserve"> SAGR/1 </t>
  </si>
  <si>
    <t>West-AGIP</t>
  </si>
  <si>
    <t>Agip</t>
  </si>
  <si>
    <t xml:space="preserve"> TUNU/1 </t>
  </si>
  <si>
    <t>NPDC/NDWESTERN (OML 34) only</t>
  </si>
  <si>
    <t>NTBK CPF</t>
  </si>
  <si>
    <t>NPDC/NDWESTERN (Abura) only</t>
  </si>
  <si>
    <t>PIPELINE FLUSH WATER</t>
  </si>
  <si>
    <t>OML 147</t>
  </si>
  <si>
    <t xml:space="preserve"> EXCEL E&amp;P </t>
  </si>
  <si>
    <t>NPDC JV Report</t>
  </si>
  <si>
    <t xml:space="preserve">SEPLAT </t>
  </si>
  <si>
    <t xml:space="preserve"> AGIP </t>
  </si>
  <si>
    <t xml:space="preserve"> Ogini </t>
  </si>
  <si>
    <t>NPDC Oredo</t>
  </si>
  <si>
    <t xml:space="preserve"> Afiesere </t>
  </si>
  <si>
    <t>Previous calc with New Method</t>
  </si>
  <si>
    <t>Remark:    1. FRM LACT Penalty Implementation as directed by NURPC. The FRM LACT unit recertification approval letter yet to be made available.</t>
  </si>
  <si>
    <t>Eriemu</t>
  </si>
  <si>
    <t xml:space="preserve"> Eriemu </t>
  </si>
  <si>
    <t>2. Jan 2023 UZERE volume recovery implemented in the Feb 2023. Actual UZERE Allocated fig for Jan 23 was not available however Dec 2022 figures was used pending availability of the figure</t>
  </si>
  <si>
    <t>Evwreni</t>
  </si>
  <si>
    <t xml:space="preserve"> Evwreni </t>
  </si>
  <si>
    <t xml:space="preserve">3. 100% ORRI volume implemented for Sept 2021 to Dec 2022 as recovery from EXCEL E&amp;P volume </t>
  </si>
  <si>
    <t xml:space="preserve"> Kokori </t>
  </si>
  <si>
    <t xml:space="preserve"> Olomoro </t>
  </si>
  <si>
    <t>Signatures</t>
  </si>
  <si>
    <t xml:space="preserve"> Oroni </t>
  </si>
  <si>
    <t>NPDC/FHN (OML26)</t>
  </si>
  <si>
    <t>SEPLAT/POOC/NPDC OREDO</t>
  </si>
  <si>
    <t xml:space="preserve"> Oweh </t>
  </si>
  <si>
    <t xml:space="preserve"> Uzere </t>
  </si>
  <si>
    <t>Ughelli_E</t>
  </si>
  <si>
    <t xml:space="preserve"> Ughelli_E </t>
  </si>
  <si>
    <t xml:space="preserve"> Ughelli_W </t>
  </si>
  <si>
    <t>Excel</t>
  </si>
  <si>
    <t>HERITAGE (OML 30)</t>
  </si>
  <si>
    <t>MIDWESTERN</t>
  </si>
  <si>
    <t>Utorogu FS</t>
  </si>
  <si>
    <t xml:space="preserve"> Utorogu FS </t>
  </si>
  <si>
    <t xml:space="preserve"> Utorogu GP </t>
  </si>
  <si>
    <t xml:space="preserve"> Warri River </t>
  </si>
  <si>
    <t xml:space="preserve"> Jones Creek </t>
  </si>
  <si>
    <t>NPDC/NDWESTERN (OML 34)</t>
  </si>
  <si>
    <t xml:space="preserve"> Egwa 1 </t>
  </si>
  <si>
    <t xml:space="preserve"> Egwa 2 </t>
  </si>
  <si>
    <t xml:space="preserve"> Batan/Ajuju </t>
  </si>
  <si>
    <t xml:space="preserve"> Odidi 1 </t>
  </si>
  <si>
    <t xml:space="preserve"> Odidi 2 </t>
  </si>
  <si>
    <t xml:space="preserve"> Mid-Western </t>
  </si>
  <si>
    <t xml:space="preserve"> Seplat - Rapele </t>
  </si>
  <si>
    <t>Terminal</t>
  </si>
  <si>
    <t>GSV Terminal</t>
  </si>
  <si>
    <t>TEP/TRP</t>
  </si>
  <si>
    <t>TFP</t>
  </si>
  <si>
    <t>Metering Error</t>
  </si>
  <si>
    <t>K</t>
  </si>
  <si>
    <t>Facility Water in FOT</t>
  </si>
  <si>
    <t>Oil Facility in FOT</t>
  </si>
  <si>
    <t>TFP, TRP AND TEP Line</t>
  </si>
  <si>
    <t>TRP and TEP Line</t>
  </si>
  <si>
    <t xml:space="preserve">TFP Line - FRM LACT UNIT </t>
  </si>
  <si>
    <t>Injected</t>
  </si>
  <si>
    <t>Gross Volume Claimed by Parties</t>
  </si>
  <si>
    <t>Net Volume Claimed by Parties</t>
  </si>
  <si>
    <t>Water Volume Produced by Parties [Reported]</t>
  </si>
  <si>
    <t>Lact Unit Water from Auto Sampler</t>
  </si>
  <si>
    <t>Received</t>
  </si>
  <si>
    <t xml:space="preserve">Net Oil Terminal Vol. Received </t>
  </si>
  <si>
    <t xml:space="preserve">Water Terminal Vol. Received </t>
  </si>
  <si>
    <t>Gross loss</t>
  </si>
  <si>
    <t xml:space="preserve">Gross Vol received at the Terminal </t>
  </si>
  <si>
    <t xml:space="preserve">Net UPS Stock diff </t>
  </si>
  <si>
    <t>Water at UPS Stock</t>
  </si>
  <si>
    <t>Crude Supply to Warri Refinery</t>
  </si>
  <si>
    <t>Water Supply to Warri Refinery</t>
  </si>
  <si>
    <t xml:space="preserve">Net Received at the terminal </t>
  </si>
  <si>
    <t xml:space="preserve">Total Produced Water at the Terminal </t>
  </si>
  <si>
    <t>Theft / Losses</t>
  </si>
  <si>
    <t>Gross [Claimed against Terminal]</t>
  </si>
  <si>
    <t>Water [Claimed against Terminal]</t>
  </si>
  <si>
    <t>Net [Claimed against Terminal]</t>
  </si>
  <si>
    <t>Crude Loss</t>
  </si>
  <si>
    <t>[1]</t>
  </si>
  <si>
    <t>Claimed Injection Water [ratio water/gross]</t>
  </si>
  <si>
    <t>[2]</t>
  </si>
  <si>
    <t>Terminal Receipt Water [ratio water/gross]</t>
  </si>
  <si>
    <t>[3]</t>
  </si>
  <si>
    <t>Corrected Injected Water based On Terminal Receipt BS&amp;W</t>
  </si>
  <si>
    <t>[3a]</t>
  </si>
  <si>
    <t>Excess Water in Terminal</t>
  </si>
  <si>
    <t>[3b]</t>
  </si>
  <si>
    <t>Corrected Water imapcted by Uplift</t>
  </si>
  <si>
    <t>[3c]</t>
  </si>
  <si>
    <t>Adjusted LACT unit Water</t>
  </si>
  <si>
    <t>[4]</t>
  </si>
  <si>
    <t>Excess/Theft  Oil Volume for Allocation</t>
  </si>
  <si>
    <t>[5]</t>
  </si>
  <si>
    <t>Excess/Theft  Water Volume for Allocation</t>
  </si>
  <si>
    <t>[6]</t>
  </si>
  <si>
    <t>Water From Auto Sampler</t>
  </si>
  <si>
    <t>[7]</t>
  </si>
  <si>
    <t>Under/Over Stated Water</t>
  </si>
  <si>
    <t>[8]</t>
  </si>
  <si>
    <t>Total Estimated Crude Losses</t>
  </si>
  <si>
    <t>[9]</t>
  </si>
  <si>
    <t>Estimated Crude Theft</t>
  </si>
  <si>
    <t>[10]</t>
  </si>
  <si>
    <t>Measurement</t>
  </si>
  <si>
    <t>Estimated Measurement Error from The Losses</t>
  </si>
  <si>
    <t>[11]</t>
  </si>
  <si>
    <t>NSV</t>
  </si>
  <si>
    <t xml:space="preserve">Metering error for LACT </t>
  </si>
  <si>
    <t>[12]</t>
  </si>
  <si>
    <t>Virtual water measurement error @terminal</t>
  </si>
  <si>
    <t>Water standard volume @terminal</t>
  </si>
  <si>
    <t>[13]</t>
  </si>
  <si>
    <t>Water measurement error for meters @terminal</t>
  </si>
  <si>
    <t>[14]</t>
  </si>
  <si>
    <t>Water standard volume for meters @terminal</t>
  </si>
  <si>
    <t>[15]</t>
  </si>
  <si>
    <t>Metering Error Water</t>
  </si>
  <si>
    <t>[16]</t>
  </si>
  <si>
    <t>Metering Error Oil</t>
  </si>
  <si>
    <t>[17]</t>
  </si>
  <si>
    <t>[18]</t>
  </si>
  <si>
    <t>Metering error for meters @terminal</t>
  </si>
  <si>
    <t>NSV for meters @terminal</t>
  </si>
  <si>
    <t>[19]</t>
  </si>
  <si>
    <t>Corrected vol imapct by theft</t>
  </si>
  <si>
    <t>Corrected vol imapct by theft Oil</t>
  </si>
  <si>
    <t>[20]</t>
  </si>
  <si>
    <t>Corrected vol imapct by theft water</t>
  </si>
  <si>
    <t>OML 98 (NEPL)</t>
  </si>
  <si>
    <t>SEPLAT/OML 98 (NEPL)/NEPL Oredo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</si>
</sst>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_(* #,##0.00_);_(* \(#,##0.00\);_(* &quot;-&quot;??_);_(@_)"/>
    <numFmt numFmtId="165" formatCode="_(* #,##0.0_);_(* \(#,##0.0\);_(* &quot;-&quot;??_);_(@_)"/>
    <numFmt numFmtId="166" formatCode="0.0000"/>
    <numFmt numFmtId="167" formatCode="_-* #,##0.0_-;\-* #,##0.0_-;_-* &quot;-&quot;??_-;_-@_-"/>
    <numFmt numFmtId="168" formatCode="_(* #,##0.0_);_(* \(#,##0.0\);_(* &quot;-&quot;?_);_(@_)"/>
    <numFmt numFmtId="169" formatCode="_(* #,##0_);_(* \(#,##0\);_(* &quot;-&quot;??_);_(@_)"/>
    <numFmt numFmtId="170" formatCode="_-* #,##0_-;\-* #,##0_-;_-* &quot;-&quot;??_-;_-@_-"/>
    <numFmt numFmtId="171" formatCode="0.0"/>
    <numFmt numFmtId="172" formatCode="_-* #,##0.000_-;\-* #,##0.000_-;_-* &quot;-&quot;??_-;_-@_-"/>
    <numFmt numFmtId="173" formatCode="_-* #,##0.000000_-;\-* #,##0.000000_-;_-* &quot;-&quot;??_-;_-@_-"/>
    <numFmt numFmtId="174" formatCode="0.000%"/>
    <numFmt numFmtId="175" formatCode="0.000000"/>
    <numFmt numFmtId="176" formatCode="0.0%"/>
    <numFmt numFmtId="177" formatCode="0.00000"/>
    <numFmt numFmtId="178" formatCode="_(* #,##0.0000_);_(* \(#,##0.0000\);_(* &quot;-&quot;??_);_(@_)"/>
    <numFmt numFmtId="179" formatCode="_(* #,##0.000_);_(* \(#,##0.000\);_(* &quot;-&quot;??_);_(@_)"/>
    <numFmt numFmtId="180" formatCode="0.00_);[Red]\(0.00\)"/>
  </numFmts>
  <fonts count="60">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Arial monospaced for SAP"/>
      <family val="3"/>
    </font>
    <font>
      <b/>
      <sz val="12"/>
      <color theme="0"/>
      <name val="Calibri"/>
      <family val="2"/>
      <scheme val="minor"/>
    </font>
    <font>
      <sz val="11"/>
      <color indexed="8"/>
      <name val="Calibri"/>
      <family val="2"/>
    </font>
    <font>
      <sz val="9"/>
      <name val="Arial monospaced for SAP"/>
      <family val="3"/>
    </font>
    <font>
      <sz val="9"/>
      <color theme="1"/>
      <name val="Arial monospaced for SAP"/>
      <family val="3"/>
    </font>
    <font>
      <sz val="7"/>
      <name val="Arial monospaced for SAP"/>
      <family val="3"/>
    </font>
    <font>
      <b/>
      <sz val="7"/>
      <name val="Arial monospaced for SAP"/>
      <family val="3"/>
    </font>
    <font>
      <sz val="7"/>
      <color theme="1"/>
      <name val="Arial monospaced for SAP"/>
      <family val="3"/>
    </font>
    <font>
      <b/>
      <sz val="9"/>
      <color rgb="FFFF0000"/>
      <name val="Arial monospaced for SAP"/>
      <family val="3"/>
    </font>
    <font>
      <sz val="8"/>
      <name val="Arial monospaced for SAP"/>
      <family val="3"/>
    </font>
    <font>
      <b/>
      <sz val="8"/>
      <color theme="1"/>
      <name val="Arial monospaced for SAP"/>
      <family val="3"/>
    </font>
    <font>
      <sz val="8"/>
      <color theme="1"/>
      <name val="Calibri"/>
      <family val="2"/>
      <scheme val="minor"/>
    </font>
    <font>
      <b/>
      <sz val="9"/>
      <color indexed="81"/>
      <name val="Tahoma"/>
      <family val="2"/>
    </font>
    <font>
      <sz val="9"/>
      <color indexed="81"/>
      <name val="Tahoma"/>
      <family val="2"/>
    </font>
    <font>
      <b/>
      <sz val="12"/>
      <color rgb="FF00B050"/>
      <name val="Calibri"/>
      <family val="2"/>
      <scheme val="minor"/>
    </font>
    <font>
      <sz val="12"/>
      <color theme="1"/>
      <name val="Calibri"/>
      <family val="2"/>
      <scheme val="minor"/>
    </font>
    <font>
      <b/>
      <sz val="11"/>
      <color theme="1"/>
      <name val="Arial monospaced for SAP"/>
      <family val="3"/>
    </font>
    <font>
      <b/>
      <sz val="14"/>
      <color theme="1"/>
      <name val="Calibri"/>
      <family val="2"/>
      <scheme val="minor"/>
    </font>
    <font>
      <b/>
      <sz val="10"/>
      <color rgb="FFFF0000"/>
      <name val="Calibri"/>
      <family val="2"/>
      <scheme val="minor"/>
    </font>
    <font>
      <b/>
      <sz val="18"/>
      <color rgb="FFC00000"/>
      <name val="Calibri"/>
      <family val="2"/>
      <scheme val="minor"/>
    </font>
    <font>
      <b/>
      <sz val="12"/>
      <color rgb="FFC00000"/>
      <name val="Calibri"/>
      <family val="2"/>
      <scheme val="minor"/>
    </font>
    <font>
      <b/>
      <sz val="11"/>
      <color rgb="FFC00000"/>
      <name val="Calibri"/>
      <family val="2"/>
      <scheme val="minor"/>
    </font>
    <font>
      <sz val="18"/>
      <color theme="1"/>
      <name val="Arial monospaced for SAP"/>
      <family val="3"/>
    </font>
    <font>
      <sz val="12"/>
      <color theme="1"/>
      <name val="Arial monospaced for SAP"/>
      <family val="3"/>
    </font>
    <font>
      <sz val="10"/>
      <color theme="1"/>
      <name val="Arial monospaced for SAP"/>
      <family val="3"/>
    </font>
    <font>
      <b/>
      <sz val="18"/>
      <color theme="1"/>
      <name val="Arial monospaced for SAP"/>
      <family val="3"/>
    </font>
    <font>
      <b/>
      <sz val="12"/>
      <color theme="1"/>
      <name val="Arial monospaced for SAP"/>
      <family val="3"/>
    </font>
    <font>
      <sz val="16"/>
      <color theme="1"/>
      <name val="Calibri"/>
      <family val="2"/>
    </font>
    <font>
      <sz val="16"/>
      <color theme="1"/>
      <name val="Calibri"/>
      <family val="2"/>
      <scheme val="minor"/>
    </font>
    <font>
      <sz val="12"/>
      <color theme="1"/>
      <name val="Calibri"/>
      <family val="2"/>
    </font>
    <font>
      <sz val="11"/>
      <name val="Calibri"/>
      <family val="2"/>
      <scheme val="minor"/>
    </font>
    <font>
      <b/>
      <sz val="9"/>
      <name val="Arial monospaced for SAP"/>
      <family val="3"/>
    </font>
    <font>
      <i/>
      <sz val="16"/>
      <color theme="1"/>
      <name val="Arial monospaced for SAP"/>
      <family val="3"/>
    </font>
    <font>
      <b/>
      <sz val="16"/>
      <color theme="1"/>
      <name val="Arial monospaced for SAP"/>
      <family val="3"/>
    </font>
    <font>
      <sz val="10"/>
      <name val="Arial monospaced for SAP"/>
      <family val="3"/>
    </font>
    <font>
      <i/>
      <sz val="11"/>
      <color theme="1"/>
      <name val="Calibri"/>
      <family val="2"/>
      <scheme val="minor"/>
    </font>
    <font>
      <sz val="10"/>
      <color theme="0"/>
      <name val="Arial monospaced for SAP"/>
      <family val="3"/>
    </font>
    <font>
      <b/>
      <sz val="16"/>
      <color rgb="FFFF0000"/>
      <name val="Calibri"/>
      <family val="2"/>
      <scheme val="minor"/>
    </font>
    <font>
      <sz val="10"/>
      <name val="MS Sans Serif"/>
      <family val="2"/>
    </font>
    <font>
      <b/>
      <sz val="16"/>
      <color theme="1"/>
      <name val="Calibri"/>
      <family val="2"/>
      <scheme val="minor"/>
    </font>
    <font>
      <sz val="16"/>
      <color theme="1"/>
      <name val="Arial monospaced for SAP"/>
      <family val="3"/>
    </font>
    <font>
      <sz val="9"/>
      <color theme="0"/>
      <name val="Arial monospaced for SAP"/>
      <family val="3"/>
    </font>
    <font>
      <sz val="11"/>
      <color theme="1"/>
      <name val="Arial monospaced for SAP"/>
      <family val="3"/>
    </font>
    <font>
      <sz val="11"/>
      <color theme="0"/>
      <name val="Arial monospaced for SAP"/>
      <family val="3"/>
    </font>
    <font>
      <sz val="11"/>
      <name val="Arial monospaced for SAP"/>
      <family val="3"/>
    </font>
    <font>
      <b/>
      <sz val="9"/>
      <color rgb="FF7030A0"/>
      <name val="Arial monospaced for SAP"/>
      <family val="3"/>
    </font>
    <font>
      <b/>
      <sz val="11"/>
      <color rgb="FF7030A0"/>
      <name val="Calibri"/>
      <family val="2"/>
      <scheme val="minor"/>
    </font>
    <font>
      <b/>
      <sz val="9"/>
      <color theme="1"/>
      <name val="Arial monospaced for SAP"/>
      <family val="3"/>
    </font>
    <font>
      <b/>
      <sz val="9"/>
      <color theme="9" tint="-0.499984740745262"/>
      <name val="Arial monospaced for SAP"/>
      <family val="3"/>
    </font>
    <font>
      <b/>
      <sz val="9"/>
      <color theme="5" tint="-0.249977111117893"/>
      <name val="Arial monospaced for SAP"/>
      <family val="3"/>
    </font>
    <font>
      <b/>
      <sz val="11"/>
      <color theme="9" tint="-0.499984740745262"/>
      <name val="Calibri"/>
      <family val="2"/>
      <scheme val="minor"/>
    </font>
    <font>
      <b/>
      <sz val="9"/>
      <color theme="3" tint="-0.249977111117893"/>
      <name val="Arial monospaced for SAP"/>
      <family val="3"/>
    </font>
    <font>
      <b/>
      <sz val="11"/>
      <color theme="3" tint="-0.249977111117893"/>
      <name val="Calibri"/>
      <family val="2"/>
      <scheme val="minor"/>
    </font>
    <font>
      <sz val="10"/>
      <color theme="1"/>
      <name val="Calibri"/>
      <family val="2"/>
      <scheme val="minor"/>
    </font>
    <font>
      <b/>
      <sz val="22"/>
      <color theme="1"/>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2"/>
        <bgColor indexed="64"/>
      </patternFill>
    </fill>
    <fill>
      <patternFill patternType="solid">
        <fgColor theme="9"/>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9" tint="0.39997558519241921"/>
        <bgColor indexed="64"/>
      </patternFill>
    </fill>
  </fills>
  <borders count="7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hair">
        <color indexed="64"/>
      </left>
      <right style="hair">
        <color indexed="64"/>
      </right>
      <top style="medium">
        <color indexed="64"/>
      </top>
      <bottom/>
      <diagonal/>
    </border>
    <border>
      <left style="medium">
        <color indexed="64"/>
      </left>
      <right style="thin">
        <color indexed="64"/>
      </right>
      <top/>
      <bottom/>
      <diagonal/>
    </border>
    <border>
      <left style="hair">
        <color indexed="64"/>
      </left>
      <right style="hair">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hair">
        <color indexed="64"/>
      </left>
      <right style="hair">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xf numFmtId="43"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43" fontId="7"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40" fontId="43" fillId="0" borderId="0" applyFont="0" applyFill="0" applyBorder="0" applyAlignment="0" applyProtection="0"/>
  </cellStyleXfs>
  <cellXfs count="638">
    <xf numFmtId="0" fontId="0" fillId="0" borderId="0" xfId="0"/>
    <xf numFmtId="0" fontId="5" fillId="2" borderId="0" xfId="0" applyFont="1" applyFill="1" applyAlignment="1">
      <alignment vertical="center"/>
    </xf>
    <xf numFmtId="0" fontId="0" fillId="2" borderId="0" xfId="0" applyFill="1"/>
    <xf numFmtId="0" fontId="6" fillId="3" borderId="0" xfId="0" applyFont="1" applyFill="1" applyAlignment="1">
      <alignment vertical="center"/>
    </xf>
    <xf numFmtId="10" fontId="5" fillId="2" borderId="0" xfId="2" applyNumberFormat="1" applyFont="1" applyFill="1" applyAlignment="1">
      <alignment vertical="center"/>
    </xf>
    <xf numFmtId="0" fontId="8" fillId="0" borderId="1" xfId="0" applyFont="1" applyBorder="1" applyAlignment="1">
      <alignment horizontal="center" vertical="center" wrapText="1"/>
    </xf>
    <xf numFmtId="0" fontId="5" fillId="0" borderId="2" xfId="0" applyFont="1" applyBorder="1" applyAlignment="1">
      <alignment horizontal="center" vertical="center" wrapText="1"/>
    </xf>
    <xf numFmtId="10" fontId="5" fillId="0" borderId="2" xfId="2" applyNumberFormat="1"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9" fillId="5" borderId="2" xfId="0" applyFont="1" applyFill="1" applyBorder="1" applyAlignment="1">
      <alignment horizontal="left" vertical="center" indent="1"/>
    </xf>
    <xf numFmtId="10" fontId="9" fillId="5" borderId="2" xfId="2" applyNumberFormat="1" applyFont="1" applyFill="1" applyBorder="1" applyAlignment="1">
      <alignment horizontal="left" vertical="center" indent="1"/>
    </xf>
    <xf numFmtId="0" fontId="9" fillId="5" borderId="3" xfId="0" applyFont="1" applyFill="1" applyBorder="1" applyAlignment="1">
      <alignment horizontal="left" vertical="center" indent="1"/>
    </xf>
    <xf numFmtId="0" fontId="9" fillId="5" borderId="9" xfId="0" applyFont="1" applyFill="1" applyBorder="1" applyAlignment="1">
      <alignment horizontal="left" vertical="center" indent="1"/>
    </xf>
    <xf numFmtId="0" fontId="9" fillId="5" borderId="10" xfId="0" applyFont="1" applyFill="1" applyBorder="1" applyAlignment="1">
      <alignment horizontal="left" vertical="center" indent="1"/>
    </xf>
    <xf numFmtId="0" fontId="9" fillId="5" borderId="7" xfId="0" applyFont="1" applyFill="1" applyBorder="1" applyAlignment="1">
      <alignment horizontal="center" vertical="center"/>
    </xf>
    <xf numFmtId="0" fontId="9" fillId="5" borderId="2" xfId="0" applyFont="1" applyFill="1" applyBorder="1" applyAlignment="1">
      <alignment horizontal="center" vertical="center"/>
    </xf>
    <xf numFmtId="0" fontId="5" fillId="4" borderId="2" xfId="0" applyFont="1" applyFill="1" applyBorder="1" applyAlignment="1">
      <alignment horizontal="center" vertical="center"/>
    </xf>
    <xf numFmtId="2" fontId="5" fillId="4" borderId="2" xfId="0" applyNumberFormat="1" applyFont="1" applyFill="1" applyBorder="1" applyAlignment="1">
      <alignment horizontal="center" vertical="center"/>
    </xf>
    <xf numFmtId="0" fontId="5" fillId="2" borderId="0" xfId="0" applyFont="1" applyFill="1" applyAlignment="1">
      <alignment horizontal="center" vertical="center"/>
    </xf>
    <xf numFmtId="2" fontId="5" fillId="4" borderId="2" xfId="3" applyNumberFormat="1" applyFont="1" applyFill="1" applyBorder="1" applyAlignment="1">
      <alignment horizontal="center" vertical="center"/>
    </xf>
    <xf numFmtId="0" fontId="9" fillId="2" borderId="1" xfId="0" applyFont="1" applyFill="1" applyBorder="1" applyAlignment="1">
      <alignment horizontal="left" vertical="center"/>
    </xf>
    <xf numFmtId="0" fontId="9" fillId="2" borderId="2" xfId="0" applyFont="1" applyFill="1" applyBorder="1" applyAlignment="1">
      <alignment horizontal="left" vertical="center"/>
    </xf>
    <xf numFmtId="164" fontId="9" fillId="6" borderId="2" xfId="4" applyFont="1" applyFill="1" applyBorder="1" applyAlignment="1" applyProtection="1">
      <alignment horizontal="left" vertical="center"/>
      <protection locked="0"/>
    </xf>
    <xf numFmtId="10" fontId="9" fillId="6" borderId="2" xfId="2" applyNumberFormat="1" applyFont="1" applyFill="1" applyBorder="1" applyAlignment="1" applyProtection="1">
      <alignment horizontal="center" vertical="center"/>
      <protection locked="0"/>
    </xf>
    <xf numFmtId="165" fontId="9" fillId="6" borderId="2" xfId="4" applyNumberFormat="1" applyFont="1" applyFill="1" applyBorder="1" applyAlignment="1">
      <alignment horizontal="center" vertical="center"/>
    </xf>
    <xf numFmtId="165" fontId="9" fillId="6" borderId="3" xfId="4" applyNumberFormat="1" applyFont="1" applyFill="1" applyBorder="1" applyAlignment="1">
      <alignment horizontal="center" vertical="center"/>
    </xf>
    <xf numFmtId="165" fontId="9" fillId="6" borderId="9" xfId="4" applyNumberFormat="1" applyFont="1" applyFill="1" applyBorder="1" applyAlignment="1">
      <alignment horizontal="center" vertical="center"/>
    </xf>
    <xf numFmtId="10" fontId="9" fillId="6" borderId="2" xfId="3" applyNumberFormat="1" applyFont="1" applyFill="1" applyBorder="1" applyAlignment="1">
      <alignment horizontal="center" vertical="center"/>
    </xf>
    <xf numFmtId="165" fontId="8" fillId="6" borderId="2" xfId="4" applyNumberFormat="1" applyFont="1" applyFill="1" applyBorder="1" applyAlignment="1">
      <alignment horizontal="center" vertical="center"/>
    </xf>
    <xf numFmtId="165" fontId="8" fillId="6" borderId="10" xfId="4" applyNumberFormat="1" applyFont="1" applyFill="1" applyBorder="1" applyAlignment="1">
      <alignment horizontal="center" vertical="center"/>
    </xf>
    <xf numFmtId="4" fontId="9" fillId="7" borderId="2" xfId="0" applyNumberFormat="1" applyFont="1" applyFill="1" applyBorder="1" applyAlignment="1" applyProtection="1">
      <alignment horizontal="left" vertical="center" indent="1"/>
      <protection locked="0"/>
    </xf>
    <xf numFmtId="15" fontId="5" fillId="7" borderId="2" xfId="0" applyNumberFormat="1" applyFont="1" applyFill="1" applyBorder="1" applyAlignment="1" applyProtection="1">
      <alignment vertical="center"/>
      <protection locked="0"/>
    </xf>
    <xf numFmtId="2" fontId="5" fillId="6" borderId="2" xfId="0" applyNumberFormat="1" applyFont="1" applyFill="1" applyBorder="1" applyAlignment="1">
      <alignment vertical="center"/>
    </xf>
    <xf numFmtId="2" fontId="5" fillId="7" borderId="2" xfId="0" applyNumberFormat="1" applyFont="1" applyFill="1" applyBorder="1" applyAlignment="1" applyProtection="1">
      <alignment horizontal="left" vertical="center" indent="1"/>
      <protection locked="0"/>
    </xf>
    <xf numFmtId="14" fontId="5" fillId="2" borderId="2" xfId="0" applyNumberFormat="1" applyFont="1" applyFill="1" applyBorder="1" applyAlignment="1" applyProtection="1">
      <alignment vertical="center" wrapText="1"/>
      <protection locked="0"/>
    </xf>
    <xf numFmtId="2" fontId="5" fillId="2" borderId="2" xfId="0" applyNumberFormat="1" applyFont="1" applyFill="1" applyBorder="1" applyAlignment="1" applyProtection="1">
      <alignment vertical="center" wrapText="1"/>
      <protection locked="0"/>
    </xf>
    <xf numFmtId="2" fontId="5" fillId="2" borderId="0" xfId="3" applyNumberFormat="1" applyFont="1" applyFill="1" applyBorder="1" applyAlignment="1">
      <alignment horizontal="center" vertical="center"/>
    </xf>
    <xf numFmtId="0" fontId="10" fillId="2" borderId="0" xfId="0" applyFont="1" applyFill="1" applyAlignment="1">
      <alignment vertical="center"/>
    </xf>
    <xf numFmtId="0" fontId="9" fillId="0" borderId="14" xfId="0" applyFont="1" applyBorder="1" applyAlignment="1">
      <alignment horizontal="left" vertical="center"/>
    </xf>
    <xf numFmtId="164" fontId="9" fillId="7" borderId="2" xfId="4" applyFont="1" applyFill="1" applyBorder="1" applyAlignment="1" applyProtection="1">
      <alignment horizontal="left" vertical="center"/>
      <protection locked="0"/>
    </xf>
    <xf numFmtId="10" fontId="9" fillId="7" borderId="2" xfId="2" applyNumberFormat="1" applyFont="1" applyFill="1" applyBorder="1" applyAlignment="1" applyProtection="1">
      <alignment horizontal="center" vertical="center"/>
      <protection locked="0"/>
    </xf>
    <xf numFmtId="0" fontId="12" fillId="2" borderId="0" xfId="0" applyFont="1" applyFill="1" applyAlignment="1">
      <alignment vertical="center"/>
    </xf>
    <xf numFmtId="15" fontId="5" fillId="8" borderId="2" xfId="0" applyNumberFormat="1" applyFont="1" applyFill="1" applyBorder="1" applyAlignment="1" applyProtection="1">
      <alignment vertical="center"/>
      <protection locked="0"/>
    </xf>
    <xf numFmtId="165" fontId="13" fillId="6" borderId="9" xfId="4" applyNumberFormat="1" applyFont="1" applyFill="1" applyBorder="1" applyAlignment="1">
      <alignment horizontal="center" vertical="center"/>
    </xf>
    <xf numFmtId="10" fontId="13" fillId="6" borderId="2" xfId="3" applyNumberFormat="1" applyFont="1" applyFill="1" applyBorder="1" applyAlignment="1">
      <alignment horizontal="center" vertical="center"/>
    </xf>
    <xf numFmtId="14" fontId="5" fillId="2" borderId="2" xfId="0" applyNumberFormat="1" applyFont="1" applyFill="1" applyBorder="1" applyAlignment="1" applyProtection="1">
      <alignment horizontal="left" vertical="center" wrapText="1"/>
      <protection locked="0"/>
    </xf>
    <xf numFmtId="0" fontId="9" fillId="9" borderId="2" xfId="0" applyFont="1" applyFill="1" applyBorder="1" applyAlignment="1">
      <alignment horizontal="left" vertical="center" wrapText="1"/>
    </xf>
    <xf numFmtId="0" fontId="9" fillId="10" borderId="2" xfId="0" applyFont="1" applyFill="1" applyBorder="1" applyAlignment="1">
      <alignment horizontal="left" vertical="center"/>
    </xf>
    <xf numFmtId="0" fontId="5" fillId="2" borderId="0" xfId="0" applyFont="1" applyFill="1" applyAlignment="1">
      <alignment horizontal="left" vertical="center" wrapText="1" indent="1"/>
    </xf>
    <xf numFmtId="0" fontId="9" fillId="9" borderId="2" xfId="0" applyFont="1" applyFill="1" applyBorder="1" applyAlignment="1">
      <alignment horizontal="left" vertical="center"/>
    </xf>
    <xf numFmtId="2" fontId="5" fillId="2" borderId="2" xfId="0" applyNumberFormat="1" applyFont="1" applyFill="1" applyBorder="1" applyAlignment="1">
      <alignment horizontal="center" vertical="center"/>
    </xf>
    <xf numFmtId="0" fontId="5" fillId="2" borderId="0" xfId="0" applyFont="1" applyFill="1" applyAlignment="1">
      <alignment horizontal="left" vertical="center" indent="1"/>
    </xf>
    <xf numFmtId="0" fontId="5" fillId="2" borderId="2" xfId="0" applyFont="1" applyFill="1" applyBorder="1" applyAlignment="1">
      <alignment horizontal="center" vertical="center"/>
    </xf>
    <xf numFmtId="166" fontId="5" fillId="2" borderId="2" xfId="0" applyNumberFormat="1" applyFont="1" applyFill="1" applyBorder="1" applyAlignment="1">
      <alignment horizontal="center" vertical="center"/>
    </xf>
    <xf numFmtId="15" fontId="5" fillId="2" borderId="2" xfId="0" applyNumberFormat="1" applyFont="1" applyFill="1" applyBorder="1" applyAlignment="1" applyProtection="1">
      <alignment vertical="center"/>
      <protection locked="0"/>
    </xf>
    <xf numFmtId="0" fontId="14" fillId="2" borderId="0" xfId="0" applyFont="1" applyFill="1" applyAlignment="1">
      <alignment vertical="center"/>
    </xf>
    <xf numFmtId="164" fontId="9" fillId="6" borderId="2" xfId="4" applyFont="1" applyFill="1" applyBorder="1" applyAlignment="1">
      <alignment horizontal="center" vertical="center"/>
    </xf>
    <xf numFmtId="164" fontId="9" fillId="7" borderId="11" xfId="4" applyFont="1" applyFill="1" applyBorder="1" applyAlignment="1" applyProtection="1">
      <alignment horizontal="left" vertical="center"/>
      <protection locked="0"/>
    </xf>
    <xf numFmtId="10" fontId="9" fillId="7" borderId="11" xfId="2" applyNumberFormat="1" applyFont="1" applyFill="1" applyBorder="1" applyAlignment="1" applyProtection="1">
      <alignment horizontal="center" vertical="center"/>
      <protection locked="0"/>
    </xf>
    <xf numFmtId="165" fontId="9" fillId="6" borderId="11" xfId="4" applyNumberFormat="1" applyFont="1" applyFill="1" applyBorder="1" applyAlignment="1">
      <alignment horizontal="center" vertical="center"/>
    </xf>
    <xf numFmtId="165" fontId="9" fillId="6" borderId="16" xfId="4" applyNumberFormat="1" applyFont="1" applyFill="1" applyBorder="1" applyAlignment="1">
      <alignment horizontal="center" vertical="center"/>
    </xf>
    <xf numFmtId="165" fontId="9" fillId="6" borderId="17" xfId="4" applyNumberFormat="1" applyFont="1" applyFill="1" applyBorder="1" applyAlignment="1">
      <alignment horizontal="center" vertical="center"/>
    </xf>
    <xf numFmtId="10" fontId="9" fillId="6" borderId="18" xfId="3" applyNumberFormat="1" applyFont="1" applyFill="1" applyBorder="1" applyAlignment="1">
      <alignment horizontal="center" vertical="center"/>
    </xf>
    <xf numFmtId="165" fontId="8" fillId="6" borderId="18" xfId="4" applyNumberFormat="1" applyFont="1" applyFill="1" applyBorder="1" applyAlignment="1">
      <alignment horizontal="center" vertical="center"/>
    </xf>
    <xf numFmtId="165" fontId="8" fillId="6" borderId="19" xfId="4" applyNumberFormat="1" applyFont="1" applyFill="1" applyBorder="1" applyAlignment="1">
      <alignment horizontal="center" vertical="center"/>
    </xf>
    <xf numFmtId="0" fontId="9" fillId="0" borderId="0" xfId="0" applyFont="1" applyAlignment="1">
      <alignment vertical="center"/>
    </xf>
    <xf numFmtId="0" fontId="5" fillId="2" borderId="20" xfId="0" applyFont="1" applyFill="1" applyBorder="1" applyAlignment="1">
      <alignment vertical="center"/>
    </xf>
    <xf numFmtId="10" fontId="5" fillId="2" borderId="21" xfId="2" applyNumberFormat="1" applyFont="1" applyFill="1" applyBorder="1" applyAlignment="1">
      <alignment vertical="center"/>
    </xf>
    <xf numFmtId="0" fontId="5" fillId="2" borderId="21" xfId="0" applyFont="1" applyFill="1" applyBorder="1" applyAlignment="1">
      <alignment vertical="center"/>
    </xf>
    <xf numFmtId="0" fontId="5" fillId="2" borderId="22" xfId="0" applyFont="1" applyFill="1" applyBorder="1" applyAlignment="1">
      <alignment vertical="center"/>
    </xf>
    <xf numFmtId="0" fontId="5" fillId="2" borderId="23" xfId="0" applyFont="1" applyFill="1" applyBorder="1" applyAlignment="1">
      <alignment vertical="center"/>
    </xf>
    <xf numFmtId="10" fontId="5" fillId="2" borderId="0" xfId="2" applyNumberFormat="1" applyFont="1" applyFill="1" applyBorder="1" applyAlignment="1">
      <alignment vertical="center"/>
    </xf>
    <xf numFmtId="0" fontId="5" fillId="2" borderId="24" xfId="0" applyFont="1" applyFill="1" applyBorder="1" applyAlignment="1">
      <alignment vertical="center"/>
    </xf>
    <xf numFmtId="4" fontId="9" fillId="0" borderId="0" xfId="0" applyNumberFormat="1" applyFont="1" applyAlignment="1">
      <alignment horizontal="right" vertical="center" indent="1"/>
    </xf>
    <xf numFmtId="4" fontId="5" fillId="0" borderId="0" xfId="0" applyNumberFormat="1" applyFont="1" applyAlignment="1">
      <alignment horizontal="left" vertical="center" indent="1"/>
    </xf>
    <xf numFmtId="0" fontId="15" fillId="2" borderId="0" xfId="0" applyFont="1" applyFill="1" applyAlignment="1">
      <alignment vertical="center"/>
    </xf>
    <xf numFmtId="164" fontId="15" fillId="6" borderId="23" xfId="0" applyNumberFormat="1" applyFont="1" applyFill="1" applyBorder="1" applyAlignment="1">
      <alignment vertical="center"/>
    </xf>
    <xf numFmtId="10" fontId="5" fillId="6" borderId="0" xfId="2" applyNumberFormat="1" applyFont="1" applyFill="1" applyBorder="1" applyAlignment="1">
      <alignment horizontal="center" vertical="center"/>
    </xf>
    <xf numFmtId="165" fontId="15" fillId="6" borderId="0" xfId="0" applyNumberFormat="1" applyFont="1" applyFill="1" applyAlignment="1">
      <alignment vertical="center"/>
    </xf>
    <xf numFmtId="167" fontId="15" fillId="6" borderId="24" xfId="1" applyNumberFormat="1" applyFont="1" applyFill="1" applyBorder="1" applyAlignment="1">
      <alignment vertical="center"/>
    </xf>
    <xf numFmtId="10" fontId="5" fillId="6" borderId="0" xfId="3" applyNumberFormat="1" applyFont="1" applyFill="1" applyBorder="1" applyAlignment="1">
      <alignment horizontal="center" vertical="center"/>
    </xf>
    <xf numFmtId="165" fontId="15" fillId="2" borderId="0" xfId="4" applyNumberFormat="1" applyFont="1" applyFill="1" applyAlignment="1">
      <alignment vertical="center"/>
    </xf>
    <xf numFmtId="0" fontId="15" fillId="6" borderId="23" xfId="0" applyFont="1" applyFill="1" applyBorder="1" applyAlignment="1">
      <alignment vertical="center"/>
    </xf>
    <xf numFmtId="0" fontId="5" fillId="6" borderId="0" xfId="0" applyFont="1" applyFill="1" applyAlignment="1">
      <alignment horizontal="center" vertical="center"/>
    </xf>
    <xf numFmtId="164" fontId="15" fillId="6" borderId="25" xfId="0" applyNumberFormat="1" applyFont="1" applyFill="1" applyBorder="1" applyAlignment="1">
      <alignment vertical="center"/>
    </xf>
    <xf numFmtId="10" fontId="5" fillId="6" borderId="26" xfId="2" applyNumberFormat="1" applyFont="1" applyFill="1" applyBorder="1" applyAlignment="1">
      <alignment horizontal="center" vertical="center"/>
    </xf>
    <xf numFmtId="165" fontId="15" fillId="6" borderId="26" xfId="0" applyNumberFormat="1" applyFont="1" applyFill="1" applyBorder="1" applyAlignment="1">
      <alignment vertical="center"/>
    </xf>
    <xf numFmtId="167" fontId="15" fillId="6" borderId="27" xfId="1" applyNumberFormat="1" applyFont="1" applyFill="1" applyBorder="1" applyAlignment="1">
      <alignment vertical="center"/>
    </xf>
    <xf numFmtId="10" fontId="5" fillId="6" borderId="26" xfId="3" applyNumberFormat="1" applyFont="1" applyFill="1" applyBorder="1" applyAlignment="1">
      <alignment horizontal="center" vertical="center"/>
    </xf>
    <xf numFmtId="10" fontId="5" fillId="2" borderId="0" xfId="2" applyNumberFormat="1" applyFont="1" applyFill="1" applyAlignment="1">
      <alignment horizontal="center" vertical="center"/>
    </xf>
    <xf numFmtId="0" fontId="0" fillId="6" borderId="28" xfId="0" applyFill="1" applyBorder="1" applyAlignment="1">
      <alignment horizontal="left"/>
    </xf>
    <xf numFmtId="0" fontId="0" fillId="6" borderId="29" xfId="0" applyFill="1" applyBorder="1"/>
    <xf numFmtId="168" fontId="0" fillId="6" borderId="29" xfId="0" applyNumberFormat="1" applyFill="1" applyBorder="1"/>
    <xf numFmtId="0" fontId="5" fillId="6" borderId="29" xfId="0" applyFont="1" applyFill="1" applyBorder="1" applyAlignment="1">
      <alignment horizontal="center" vertical="center"/>
    </xf>
    <xf numFmtId="168" fontId="0" fillId="6" borderId="30" xfId="0" applyNumberFormat="1" applyFill="1" applyBorder="1"/>
    <xf numFmtId="0" fontId="9" fillId="2" borderId="0" xfId="0" applyFont="1" applyFill="1" applyAlignment="1">
      <alignment vertical="center"/>
    </xf>
    <xf numFmtId="164" fontId="5" fillId="0" borderId="0" xfId="2" applyNumberFormat="1" applyFont="1" applyFill="1" applyAlignment="1">
      <alignment horizontal="center" vertical="center"/>
    </xf>
    <xf numFmtId="164" fontId="5" fillId="2" borderId="0" xfId="4" applyFont="1" applyFill="1" applyAlignment="1">
      <alignment vertical="center"/>
    </xf>
    <xf numFmtId="10" fontId="5" fillId="0" borderId="0" xfId="2" applyNumberFormat="1" applyFont="1" applyFill="1" applyAlignment="1">
      <alignment horizontal="center" vertical="center"/>
    </xf>
    <xf numFmtId="169" fontId="16" fillId="0" borderId="0" xfId="0" applyNumberFormat="1" applyFont="1"/>
    <xf numFmtId="164" fontId="0" fillId="0" borderId="0" xfId="0" applyNumberFormat="1"/>
    <xf numFmtId="43" fontId="5" fillId="0" borderId="0" xfId="1" applyFont="1" applyFill="1" applyAlignment="1">
      <alignment horizontal="center" vertical="center"/>
    </xf>
    <xf numFmtId="169" fontId="0" fillId="0" borderId="0" xfId="0" applyNumberFormat="1"/>
    <xf numFmtId="169" fontId="0" fillId="0" borderId="0" xfId="4" applyNumberFormat="1" applyFont="1"/>
    <xf numFmtId="169" fontId="5" fillId="2" borderId="0" xfId="4" applyNumberFormat="1" applyFont="1" applyFill="1" applyAlignment="1">
      <alignment vertical="center"/>
    </xf>
    <xf numFmtId="164" fontId="9" fillId="7" borderId="3" xfId="4" applyFont="1" applyFill="1" applyBorder="1" applyAlignment="1" applyProtection="1">
      <alignment horizontal="left" vertical="center"/>
      <protection locked="0"/>
    </xf>
    <xf numFmtId="169" fontId="5" fillId="2" borderId="0" xfId="0" applyNumberFormat="1" applyFont="1" applyFill="1" applyAlignment="1">
      <alignment vertical="center"/>
    </xf>
    <xf numFmtId="164" fontId="5" fillId="2" borderId="0" xfId="4" applyFont="1" applyFill="1" applyAlignment="1">
      <alignment horizontal="center" vertical="center"/>
    </xf>
    <xf numFmtId="164" fontId="9" fillId="6" borderId="2" xfId="4" applyFont="1" applyFill="1" applyBorder="1" applyAlignment="1">
      <alignment horizontal="left" vertical="center"/>
    </xf>
    <xf numFmtId="164" fontId="5" fillId="2" borderId="0" xfId="0" applyNumberFormat="1" applyFont="1" applyFill="1" applyAlignment="1">
      <alignment vertical="center"/>
    </xf>
    <xf numFmtId="164" fontId="9" fillId="0" borderId="0" xfId="4" applyFont="1" applyFill="1" applyBorder="1" applyAlignment="1">
      <alignment horizontal="left" vertical="center"/>
    </xf>
    <xf numFmtId="0" fontId="9" fillId="2" borderId="0" xfId="0" applyFont="1" applyFill="1" applyAlignment="1">
      <alignment vertical="center" wrapText="1"/>
    </xf>
    <xf numFmtId="2" fontId="5" fillId="2" borderId="0" xfId="2" applyNumberFormat="1" applyFont="1" applyFill="1" applyAlignment="1">
      <alignment horizontal="center" vertical="center"/>
    </xf>
    <xf numFmtId="164" fontId="5" fillId="0" borderId="0" xfId="0" applyNumberFormat="1" applyFont="1" applyAlignment="1">
      <alignment vertical="center"/>
    </xf>
    <xf numFmtId="164" fontId="9" fillId="9" borderId="2" xfId="4" applyFont="1" applyFill="1" applyBorder="1" applyAlignment="1" applyProtection="1">
      <alignment horizontal="left" vertical="center"/>
      <protection locked="0"/>
    </xf>
    <xf numFmtId="164" fontId="9" fillId="11" borderId="0" xfId="4" applyFont="1" applyFill="1" applyBorder="1" applyAlignment="1" applyProtection="1">
      <alignment horizontal="left" vertical="center"/>
      <protection locked="0"/>
    </xf>
    <xf numFmtId="164" fontId="9" fillId="2" borderId="0" xfId="4" applyFont="1" applyFill="1" applyBorder="1" applyAlignment="1" applyProtection="1">
      <alignment horizontal="left" vertical="center"/>
      <protection locked="0"/>
    </xf>
    <xf numFmtId="164" fontId="8" fillId="7" borderId="2" xfId="4" applyFont="1" applyFill="1" applyBorder="1" applyAlignment="1" applyProtection="1">
      <alignment horizontal="left" vertical="center"/>
      <protection locked="0"/>
    </xf>
    <xf numFmtId="164" fontId="5" fillId="0" borderId="0" xfId="1" applyNumberFormat="1" applyFont="1" applyFill="1" applyAlignment="1">
      <alignment horizontal="center" vertical="center"/>
    </xf>
    <xf numFmtId="10" fontId="5" fillId="2" borderId="21" xfId="2" applyNumberFormat="1"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4" fillId="0" borderId="23" xfId="0" applyFont="1" applyBorder="1" applyAlignment="1">
      <alignment horizontal="right"/>
    </xf>
    <xf numFmtId="0" fontId="4" fillId="0" borderId="0" xfId="0" applyFont="1"/>
    <xf numFmtId="10" fontId="4" fillId="0" borderId="0" xfId="2" applyNumberFormat="1" applyFont="1" applyFill="1" applyBorder="1"/>
    <xf numFmtId="170" fontId="4" fillId="0" borderId="0" xfId="1" applyNumberFormat="1" applyFont="1" applyFill="1" applyBorder="1"/>
    <xf numFmtId="170" fontId="4" fillId="0" borderId="24" xfId="1" applyNumberFormat="1" applyFont="1" applyFill="1" applyBorder="1"/>
    <xf numFmtId="170" fontId="4" fillId="0" borderId="0" xfId="1" applyNumberFormat="1" applyFont="1" applyFill="1"/>
    <xf numFmtId="170" fontId="0" fillId="0" borderId="0" xfId="1" applyNumberFormat="1" applyFont="1" applyFill="1"/>
    <xf numFmtId="0" fontId="0" fillId="0" borderId="23" xfId="0" applyBorder="1" applyAlignment="1">
      <alignment horizontal="right"/>
    </xf>
    <xf numFmtId="43" fontId="0" fillId="6" borderId="0" xfId="1" applyFont="1" applyFill="1" applyBorder="1"/>
    <xf numFmtId="170" fontId="0" fillId="6" borderId="0" xfId="1" applyNumberFormat="1" applyFont="1" applyFill="1" applyBorder="1"/>
    <xf numFmtId="170" fontId="0" fillId="6" borderId="24" xfId="1" applyNumberFormat="1" applyFont="1" applyFill="1" applyBorder="1"/>
    <xf numFmtId="170" fontId="0" fillId="0" borderId="0" xfId="0" applyNumberFormat="1"/>
    <xf numFmtId="4" fontId="5" fillId="0" borderId="0" xfId="0" applyNumberFormat="1" applyFont="1" applyAlignment="1">
      <alignment horizontal="left" vertical="center" indent="3"/>
    </xf>
    <xf numFmtId="0" fontId="0" fillId="0" borderId="25" xfId="0" applyBorder="1" applyAlignment="1">
      <alignment horizontal="right"/>
    </xf>
    <xf numFmtId="0" fontId="0" fillId="0" borderId="26" xfId="0" applyBorder="1"/>
    <xf numFmtId="43" fontId="0" fillId="6" borderId="26" xfId="1" applyFont="1" applyFill="1" applyBorder="1"/>
    <xf numFmtId="170" fontId="0" fillId="6" borderId="26" xfId="0" applyNumberFormat="1" applyFill="1" applyBorder="1"/>
    <xf numFmtId="170" fontId="0" fillId="6" borderId="27" xfId="0" applyNumberFormat="1" applyFill="1" applyBorder="1"/>
    <xf numFmtId="0" fontId="0" fillId="0" borderId="0" xfId="0" applyAlignment="1">
      <alignment horizontal="right"/>
    </xf>
    <xf numFmtId="43" fontId="0" fillId="0" borderId="0" xfId="1" applyFont="1" applyFill="1"/>
    <xf numFmtId="0" fontId="0" fillId="0" borderId="20" xfId="0" applyBorder="1" applyAlignment="1">
      <alignment horizontal="right"/>
    </xf>
    <xf numFmtId="0" fontId="0" fillId="0" borderId="21" xfId="0" applyBorder="1"/>
    <xf numFmtId="43" fontId="0" fillId="6" borderId="21" xfId="1" applyFont="1" applyFill="1" applyBorder="1"/>
    <xf numFmtId="38" fontId="0" fillId="6" borderId="21" xfId="0" applyNumberFormat="1" applyFill="1" applyBorder="1"/>
    <xf numFmtId="38" fontId="0" fillId="6" borderId="22" xfId="0" applyNumberFormat="1" applyFill="1" applyBorder="1"/>
    <xf numFmtId="38" fontId="0" fillId="0" borderId="0" xfId="0" applyNumberFormat="1"/>
    <xf numFmtId="38" fontId="0" fillId="6" borderId="0" xfId="0" applyNumberFormat="1" applyFill="1"/>
    <xf numFmtId="38" fontId="0" fillId="6" borderId="24" xfId="0" applyNumberFormat="1" applyFill="1" applyBorder="1"/>
    <xf numFmtId="0" fontId="0" fillId="0" borderId="23" xfId="0" applyBorder="1" applyAlignment="1">
      <alignment horizontal="right" wrapText="1"/>
    </xf>
    <xf numFmtId="43" fontId="0" fillId="7" borderId="0" xfId="1" applyFont="1" applyFill="1" applyBorder="1"/>
    <xf numFmtId="38" fontId="0" fillId="7" borderId="0" xfId="0" applyNumberFormat="1" applyFill="1"/>
    <xf numFmtId="38" fontId="0" fillId="7" borderId="24" xfId="0" applyNumberFormat="1" applyFill="1" applyBorder="1"/>
    <xf numFmtId="0" fontId="3" fillId="0" borderId="25" xfId="0" applyFont="1" applyBorder="1" applyAlignment="1">
      <alignment horizontal="right"/>
    </xf>
    <xf numFmtId="0" fontId="3" fillId="0" borderId="26" xfId="0" applyFont="1" applyBorder="1"/>
    <xf numFmtId="43" fontId="3" fillId="6" borderId="26" xfId="1" applyFont="1" applyFill="1" applyBorder="1"/>
    <xf numFmtId="38" fontId="3" fillId="6" borderId="26" xfId="0" applyNumberFormat="1" applyFont="1" applyFill="1" applyBorder="1"/>
    <xf numFmtId="38" fontId="3" fillId="6" borderId="27" xfId="0" applyNumberFormat="1" applyFont="1" applyFill="1" applyBorder="1"/>
    <xf numFmtId="0" fontId="3" fillId="0" borderId="0" xfId="0" applyFont="1"/>
    <xf numFmtId="38" fontId="3" fillId="0" borderId="0" xfId="0" applyNumberFormat="1" applyFont="1"/>
    <xf numFmtId="0" fontId="0" fillId="0" borderId="28" xfId="0" applyBorder="1" applyAlignment="1">
      <alignment horizontal="right"/>
    </xf>
    <xf numFmtId="0" fontId="0" fillId="0" borderId="29" xfId="0" applyBorder="1"/>
    <xf numFmtId="43" fontId="0" fillId="6" borderId="30" xfId="1" applyFont="1" applyFill="1" applyBorder="1"/>
    <xf numFmtId="170" fontId="0" fillId="6" borderId="30" xfId="0" applyNumberFormat="1" applyFill="1" applyBorder="1"/>
    <xf numFmtId="10" fontId="0" fillId="0" borderId="0" xfId="2" applyNumberFormat="1" applyFont="1" applyFill="1"/>
    <xf numFmtId="10" fontId="5" fillId="2" borderId="0" xfId="2" applyNumberFormat="1" applyFont="1" applyFill="1" applyAlignment="1">
      <alignment horizontal="right" vertical="center"/>
    </xf>
    <xf numFmtId="0" fontId="5" fillId="2" borderId="0" xfId="0" applyFont="1" applyFill="1" applyAlignment="1">
      <alignment horizontal="right" vertical="center"/>
    </xf>
    <xf numFmtId="0" fontId="0" fillId="0" borderId="20" xfId="0" applyBorder="1"/>
    <xf numFmtId="43" fontId="0" fillId="6" borderId="20" xfId="1" applyFont="1" applyFill="1" applyBorder="1" applyAlignment="1" applyProtection="1">
      <alignment horizontal="right"/>
      <protection locked="0"/>
    </xf>
    <xf numFmtId="170" fontId="0" fillId="6" borderId="21" xfId="5" applyNumberFormat="1" applyFont="1" applyFill="1" applyBorder="1" applyProtection="1">
      <protection locked="0"/>
    </xf>
    <xf numFmtId="170" fontId="0" fillId="6" borderId="22" xfId="5" applyNumberFormat="1" applyFont="1" applyFill="1" applyBorder="1" applyProtection="1">
      <protection locked="0"/>
    </xf>
    <xf numFmtId="38" fontId="0" fillId="6" borderId="20" xfId="1" applyNumberFormat="1" applyFont="1" applyFill="1" applyBorder="1"/>
    <xf numFmtId="38" fontId="0" fillId="6" borderId="21" xfId="1" applyNumberFormat="1" applyFont="1" applyFill="1" applyBorder="1"/>
    <xf numFmtId="38" fontId="0" fillId="6" borderId="22" xfId="1" applyNumberFormat="1" applyFont="1" applyFill="1" applyBorder="1"/>
    <xf numFmtId="0" fontId="0" fillId="9" borderId="23" xfId="0" applyFill="1" applyBorder="1" applyAlignment="1">
      <alignment horizontal="right"/>
    </xf>
    <xf numFmtId="0" fontId="0" fillId="0" borderId="23" xfId="0" applyBorder="1"/>
    <xf numFmtId="43" fontId="0" fillId="6" borderId="23" xfId="1" applyFont="1" applyFill="1" applyBorder="1" applyAlignment="1" applyProtection="1">
      <alignment horizontal="right"/>
      <protection locked="0"/>
    </xf>
    <xf numFmtId="170" fontId="0" fillId="6" borderId="0" xfId="5" applyNumberFormat="1" applyFont="1" applyFill="1" applyBorder="1" applyProtection="1">
      <protection locked="0"/>
    </xf>
    <xf numFmtId="170" fontId="0" fillId="6" borderId="24" xfId="5" applyNumberFormat="1" applyFont="1" applyFill="1" applyBorder="1" applyProtection="1">
      <protection locked="0"/>
    </xf>
    <xf numFmtId="38" fontId="0" fillId="6" borderId="23" xfId="1" applyNumberFormat="1" applyFont="1" applyFill="1" applyBorder="1"/>
    <xf numFmtId="38" fontId="0" fillId="6" borderId="0" xfId="1" applyNumberFormat="1" applyFont="1" applyFill="1" applyBorder="1"/>
    <xf numFmtId="38" fontId="0" fillId="6" borderId="24" xfId="1" applyNumberFormat="1" applyFont="1" applyFill="1" applyBorder="1"/>
    <xf numFmtId="43" fontId="0" fillId="6" borderId="23" xfId="1" applyFont="1" applyFill="1" applyBorder="1" applyProtection="1">
      <protection locked="0"/>
    </xf>
    <xf numFmtId="38" fontId="0" fillId="6" borderId="24" xfId="1" applyNumberFormat="1" applyFont="1" applyFill="1" applyBorder="1" applyAlignment="1" applyProtection="1">
      <alignment horizontal="right"/>
      <protection locked="0"/>
    </xf>
    <xf numFmtId="38" fontId="9" fillId="6" borderId="0" xfId="5" applyNumberFormat="1" applyFont="1" applyFill="1" applyBorder="1" applyAlignment="1" applyProtection="1">
      <alignment horizontal="right" vertical="center"/>
      <protection locked="0"/>
    </xf>
    <xf numFmtId="38" fontId="0" fillId="6" borderId="24" xfId="5" applyNumberFormat="1" applyFont="1" applyFill="1" applyBorder="1" applyAlignment="1" applyProtection="1">
      <alignment horizontal="right"/>
      <protection locked="0"/>
    </xf>
    <xf numFmtId="170" fontId="0" fillId="6" borderId="0" xfId="1" applyNumberFormat="1" applyFont="1" applyFill="1" applyBorder="1" applyProtection="1">
      <protection locked="0"/>
    </xf>
    <xf numFmtId="170" fontId="0" fillId="6" borderId="24" xfId="1" applyNumberFormat="1" applyFont="1" applyFill="1" applyBorder="1" applyProtection="1">
      <protection locked="0"/>
    </xf>
    <xf numFmtId="38" fontId="9" fillId="6" borderId="0" xfId="1" applyNumberFormat="1" applyFont="1" applyFill="1" applyBorder="1" applyAlignment="1" applyProtection="1">
      <alignment horizontal="right" vertical="center"/>
      <protection locked="0"/>
    </xf>
    <xf numFmtId="170" fontId="0" fillId="6" borderId="23" xfId="1" applyNumberFormat="1" applyFont="1" applyFill="1" applyBorder="1"/>
    <xf numFmtId="0" fontId="3" fillId="0" borderId="25" xfId="0" applyFont="1" applyBorder="1"/>
    <xf numFmtId="43" fontId="3" fillId="6" borderId="25" xfId="1" applyFont="1" applyFill="1" applyBorder="1"/>
    <xf numFmtId="170" fontId="3" fillId="6" borderId="26" xfId="0" applyNumberFormat="1" applyFont="1" applyFill="1" applyBorder="1"/>
    <xf numFmtId="170" fontId="3" fillId="6" borderId="27" xfId="0" applyNumberFormat="1" applyFont="1" applyFill="1" applyBorder="1"/>
    <xf numFmtId="170" fontId="3" fillId="6" borderId="25" xfId="0" applyNumberFormat="1" applyFont="1" applyFill="1" applyBorder="1"/>
    <xf numFmtId="43" fontId="0" fillId="0" borderId="21" xfId="1" applyFont="1" applyFill="1" applyBorder="1"/>
    <xf numFmtId="43" fontId="0" fillId="0" borderId="22" xfId="1" applyFont="1" applyFill="1" applyBorder="1"/>
    <xf numFmtId="43" fontId="0" fillId="0" borderId="26" xfId="1" applyFont="1" applyFill="1" applyBorder="1"/>
    <xf numFmtId="43" fontId="0" fillId="0" borderId="26" xfId="2" applyNumberFormat="1" applyFont="1" applyFill="1" applyBorder="1"/>
    <xf numFmtId="0" fontId="0" fillId="12" borderId="28" xfId="0" applyFill="1" applyBorder="1" applyAlignment="1">
      <alignment horizontal="right"/>
    </xf>
    <xf numFmtId="0" fontId="0" fillId="12" borderId="29" xfId="0" applyFill="1" applyBorder="1"/>
    <xf numFmtId="43" fontId="0" fillId="12" borderId="29" xfId="2" applyNumberFormat="1" applyFont="1" applyFill="1" applyBorder="1"/>
    <xf numFmtId="43" fontId="0" fillId="12" borderId="30" xfId="2" applyNumberFormat="1" applyFont="1" applyFill="1" applyBorder="1"/>
    <xf numFmtId="0" fontId="0" fillId="12" borderId="25" xfId="0" applyFill="1" applyBorder="1" applyAlignment="1">
      <alignment horizontal="right"/>
    </xf>
    <xf numFmtId="0" fontId="0" fillId="12" borderId="26" xfId="0" applyFill="1" applyBorder="1"/>
    <xf numFmtId="43" fontId="0" fillId="12" borderId="26" xfId="2" applyNumberFormat="1" applyFont="1" applyFill="1" applyBorder="1"/>
    <xf numFmtId="43" fontId="0" fillId="12" borderId="27" xfId="2" applyNumberFormat="1" applyFont="1" applyFill="1" applyBorder="1"/>
    <xf numFmtId="170" fontId="3" fillId="0" borderId="0" xfId="2" applyNumberFormat="1" applyFont="1" applyFill="1"/>
    <xf numFmtId="2" fontId="5" fillId="2" borderId="2" xfId="3" applyNumberFormat="1" applyFont="1" applyFill="1" applyBorder="1" applyAlignment="1">
      <alignment horizontal="center" vertical="center"/>
    </xf>
    <xf numFmtId="0" fontId="19" fillId="7" borderId="31" xfId="0" applyFont="1" applyFill="1" applyBorder="1" applyAlignment="1">
      <alignment vertical="center"/>
    </xf>
    <xf numFmtId="10" fontId="9" fillId="0" borderId="0" xfId="3" applyNumberFormat="1" applyFont="1" applyFill="1" applyBorder="1" applyAlignment="1">
      <alignment horizontal="left" vertical="center" indent="1"/>
    </xf>
    <xf numFmtId="0" fontId="9" fillId="2" borderId="32" xfId="0" applyFont="1" applyFill="1" applyBorder="1" applyAlignment="1">
      <alignment horizontal="center"/>
    </xf>
    <xf numFmtId="165" fontId="9" fillId="2" borderId="1" xfId="6" applyNumberFormat="1" applyFont="1" applyFill="1" applyBorder="1" applyAlignment="1">
      <alignment horizontal="left" vertical="center" indent="1"/>
    </xf>
    <xf numFmtId="0" fontId="0" fillId="2" borderId="0" xfId="0" applyFill="1" applyAlignment="1">
      <alignment horizontal="center"/>
    </xf>
    <xf numFmtId="0" fontId="19" fillId="2" borderId="31" xfId="0" applyFont="1" applyFill="1" applyBorder="1" applyAlignment="1">
      <alignment vertical="center"/>
    </xf>
    <xf numFmtId="0" fontId="4" fillId="2" borderId="0" xfId="0" applyFont="1" applyFill="1"/>
    <xf numFmtId="0" fontId="20" fillId="2" borderId="0" xfId="0" applyFont="1" applyFill="1"/>
    <xf numFmtId="0" fontId="9" fillId="10" borderId="32" xfId="0" applyFont="1" applyFill="1" applyBorder="1" applyAlignment="1">
      <alignment horizontal="center"/>
    </xf>
    <xf numFmtId="0" fontId="9" fillId="0" borderId="32" xfId="0" applyFont="1" applyBorder="1" applyAlignment="1">
      <alignment horizontal="center"/>
    </xf>
    <xf numFmtId="0" fontId="0" fillId="0" borderId="0" xfId="0" applyAlignment="1">
      <alignment horizontal="center"/>
    </xf>
    <xf numFmtId="0" fontId="20" fillId="0" borderId="0" xfId="0" applyFont="1"/>
    <xf numFmtId="0" fontId="8"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7" applyFont="1" applyBorder="1" applyAlignment="1">
      <alignment horizontal="center" vertical="center" wrapText="1"/>
    </xf>
    <xf numFmtId="0" fontId="9" fillId="0" borderId="34" xfId="0" applyFont="1" applyBorder="1" applyAlignment="1">
      <alignment horizontal="center" vertical="center" wrapText="1"/>
    </xf>
    <xf numFmtId="0" fontId="9" fillId="0" borderId="0" xfId="0" applyFont="1" applyAlignment="1">
      <alignment horizontal="center" vertical="center" wrapText="1"/>
    </xf>
    <xf numFmtId="0" fontId="9" fillId="5" borderId="1" xfId="0" applyFont="1" applyFill="1" applyBorder="1" applyAlignment="1">
      <alignment horizontal="left" vertical="center" indent="1"/>
    </xf>
    <xf numFmtId="0" fontId="9" fillId="5" borderId="1" xfId="0" applyFont="1" applyFill="1" applyBorder="1" applyAlignment="1">
      <alignment horizontal="center" vertical="center"/>
    </xf>
    <xf numFmtId="0" fontId="9" fillId="5" borderId="0" xfId="0" applyFont="1" applyFill="1" applyAlignment="1">
      <alignment horizontal="center" vertical="center"/>
    </xf>
    <xf numFmtId="0" fontId="0" fillId="5" borderId="0" xfId="0" applyFill="1" applyAlignment="1">
      <alignment horizontal="center"/>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35" xfId="0" applyBorder="1"/>
    <xf numFmtId="0" fontId="0" fillId="0" borderId="36" xfId="0" applyBorder="1"/>
    <xf numFmtId="0" fontId="23" fillId="0" borderId="36" xfId="0" applyFont="1" applyBorder="1" applyAlignment="1">
      <alignment horizontal="center" vertical="center" wrapText="1"/>
    </xf>
    <xf numFmtId="0" fontId="23" fillId="0" borderId="37" xfId="0" applyFont="1" applyBorder="1" applyAlignment="1">
      <alignment horizontal="center" vertical="center" wrapText="1"/>
    </xf>
    <xf numFmtId="0" fontId="24" fillId="0" borderId="4" xfId="8" applyFont="1" applyBorder="1"/>
    <xf numFmtId="0" fontId="24" fillId="0" borderId="5" xfId="8" applyFont="1" applyBorder="1" applyAlignment="1">
      <alignment horizontal="center" vertical="top" wrapText="1"/>
    </xf>
    <xf numFmtId="0" fontId="24" fillId="0" borderId="40" xfId="8" applyFont="1" applyBorder="1" applyAlignment="1">
      <alignment horizontal="center" vertical="top" wrapText="1"/>
    </xf>
    <xf numFmtId="0" fontId="24" fillId="0" borderId="41" xfId="8" applyFont="1" applyBorder="1" applyAlignment="1">
      <alignment horizontal="center" vertical="top" wrapText="1"/>
    </xf>
    <xf numFmtId="0" fontId="24" fillId="0" borderId="4" xfId="8" applyFont="1" applyBorder="1" applyAlignment="1">
      <alignment horizontal="center" vertical="top" wrapText="1"/>
    </xf>
    <xf numFmtId="0" fontId="24" fillId="0" borderId="6" xfId="8" applyFont="1" applyBorder="1" applyAlignment="1">
      <alignment horizontal="center" vertical="top" wrapText="1"/>
    </xf>
    <xf numFmtId="0" fontId="25" fillId="18" borderId="4" xfId="8" applyFont="1" applyFill="1" applyBorder="1" applyAlignment="1">
      <alignment horizontal="center" vertical="top" wrapText="1"/>
    </xf>
    <xf numFmtId="0" fontId="25" fillId="18" borderId="6" xfId="8" applyFont="1" applyFill="1" applyBorder="1" applyAlignment="1">
      <alignment horizontal="center" vertical="top" wrapText="1"/>
    </xf>
    <xf numFmtId="0" fontId="26" fillId="0" borderId="4" xfId="8" applyFont="1" applyBorder="1" applyAlignment="1">
      <alignment horizontal="center" vertical="top" wrapText="1"/>
    </xf>
    <xf numFmtId="0" fontId="26" fillId="0" borderId="6" xfId="8" applyFont="1" applyBorder="1" applyAlignment="1">
      <alignment horizontal="center" vertical="top" wrapText="1"/>
    </xf>
    <xf numFmtId="4" fontId="4" fillId="0" borderId="0" xfId="0" applyNumberFormat="1" applyFont="1"/>
    <xf numFmtId="4" fontId="9" fillId="6" borderId="1" xfId="0" applyNumberFormat="1" applyFont="1" applyFill="1" applyBorder="1" applyAlignment="1">
      <alignment horizontal="right" vertical="center"/>
    </xf>
    <xf numFmtId="10" fontId="9" fillId="6" borderId="1" xfId="3" applyNumberFormat="1" applyFont="1" applyFill="1" applyBorder="1" applyAlignment="1">
      <alignment horizontal="left" vertical="center" indent="1"/>
    </xf>
    <xf numFmtId="4" fontId="9" fillId="6" borderId="1" xfId="0" applyNumberFormat="1" applyFont="1" applyFill="1" applyBorder="1" applyAlignment="1">
      <alignment horizontal="right" vertical="center" indent="1"/>
    </xf>
    <xf numFmtId="4" fontId="9" fillId="6" borderId="1" xfId="0" applyNumberFormat="1" applyFont="1" applyFill="1" applyBorder="1" applyAlignment="1">
      <alignment horizontal="left" vertical="center" indent="1"/>
    </xf>
    <xf numFmtId="166" fontId="9" fillId="6" borderId="1" xfId="0" applyNumberFormat="1" applyFont="1" applyFill="1" applyBorder="1" applyAlignment="1">
      <alignment horizontal="left" vertical="center" indent="1"/>
    </xf>
    <xf numFmtId="2" fontId="9" fillId="6" borderId="1" xfId="0" applyNumberFormat="1" applyFont="1" applyFill="1" applyBorder="1" applyAlignment="1">
      <alignment horizontal="left" vertical="center" indent="1"/>
    </xf>
    <xf numFmtId="43" fontId="9" fillId="6" borderId="1" xfId="1" applyFont="1" applyFill="1" applyBorder="1" applyAlignment="1">
      <alignment horizontal="left" vertical="center" indent="1"/>
    </xf>
    <xf numFmtId="10" fontId="9" fillId="6" borderId="1" xfId="4" applyNumberFormat="1" applyFont="1" applyFill="1" applyBorder="1" applyAlignment="1">
      <alignment horizontal="center" vertical="center"/>
    </xf>
    <xf numFmtId="10" fontId="9" fillId="6" borderId="1" xfId="3" applyNumberFormat="1" applyFont="1" applyFill="1" applyBorder="1" applyAlignment="1">
      <alignment horizontal="center" vertical="center"/>
    </xf>
    <xf numFmtId="0" fontId="9" fillId="6" borderId="0" xfId="0" applyFont="1" applyFill="1"/>
    <xf numFmtId="164" fontId="9" fillId="6" borderId="0" xfId="0" applyNumberFormat="1" applyFont="1" applyFill="1"/>
    <xf numFmtId="164" fontId="9" fillId="6" borderId="0" xfId="4" applyFont="1" applyFill="1"/>
    <xf numFmtId="4" fontId="0" fillId="0" borderId="4" xfId="0" applyNumberFormat="1" applyBorder="1"/>
    <xf numFmtId="4" fontId="0" fillId="0" borderId="5" xfId="0" applyNumberFormat="1" applyBorder="1"/>
    <xf numFmtId="4" fontId="0" fillId="0" borderId="6" xfId="0" applyNumberFormat="1" applyBorder="1"/>
    <xf numFmtId="10" fontId="0" fillId="0" borderId="5" xfId="0" applyNumberFormat="1" applyBorder="1"/>
    <xf numFmtId="43" fontId="0" fillId="0" borderId="6" xfId="1" applyFont="1" applyBorder="1"/>
    <xf numFmtId="0" fontId="0" fillId="0" borderId="4" xfId="0" applyBorder="1"/>
    <xf numFmtId="43" fontId="0" fillId="0" borderId="5" xfId="0" applyNumberFormat="1" applyBorder="1"/>
    <xf numFmtId="43" fontId="0" fillId="0" borderId="6" xfId="0" applyNumberFormat="1" applyBorder="1"/>
    <xf numFmtId="164" fontId="0" fillId="0" borderId="4" xfId="0" applyNumberFormat="1" applyBorder="1"/>
    <xf numFmtId="164" fontId="0" fillId="0" borderId="6" xfId="0" applyNumberFormat="1" applyBorder="1"/>
    <xf numFmtId="4" fontId="0" fillId="0" borderId="42" xfId="0" applyNumberFormat="1" applyBorder="1"/>
    <xf numFmtId="0" fontId="0" fillId="0" borderId="5" xfId="0" applyBorder="1"/>
    <xf numFmtId="0" fontId="0" fillId="0" borderId="6" xfId="0" applyBorder="1"/>
    <xf numFmtId="164" fontId="0" fillId="0" borderId="43" xfId="0" applyNumberFormat="1" applyBorder="1"/>
    <xf numFmtId="169" fontId="0" fillId="19" borderId="5" xfId="4" applyNumberFormat="1" applyFont="1" applyFill="1" applyBorder="1"/>
    <xf numFmtId="170" fontId="0" fillId="19" borderId="5" xfId="1" applyNumberFormat="1" applyFont="1" applyFill="1" applyBorder="1"/>
    <xf numFmtId="170" fontId="0" fillId="19" borderId="6" xfId="1" applyNumberFormat="1" applyFont="1" applyFill="1" applyBorder="1"/>
    <xf numFmtId="43" fontId="4" fillId="2" borderId="0" xfId="1" applyFont="1" applyFill="1"/>
    <xf numFmtId="43" fontId="4" fillId="2" borderId="0" xfId="0" applyNumberFormat="1" applyFont="1" applyFill="1"/>
    <xf numFmtId="0" fontId="27" fillId="0" borderId="9" xfId="8" applyFont="1" applyBorder="1"/>
    <xf numFmtId="38" fontId="27" fillId="0" borderId="2" xfId="8" applyNumberFormat="1" applyFont="1" applyBorder="1"/>
    <xf numFmtId="38" fontId="27" fillId="0" borderId="3" xfId="8" applyNumberFormat="1" applyFont="1" applyBorder="1"/>
    <xf numFmtId="38" fontId="27" fillId="0" borderId="7" xfId="8" applyNumberFormat="1" applyFont="1" applyBorder="1"/>
    <xf numFmtId="38" fontId="27" fillId="0" borderId="8" xfId="8" applyNumberFormat="1" applyFont="1" applyBorder="1"/>
    <xf numFmtId="38" fontId="27" fillId="0" borderId="9" xfId="8" applyNumberFormat="1" applyFont="1" applyBorder="1"/>
    <xf numFmtId="38" fontId="27" fillId="0" borderId="44" xfId="8" applyNumberFormat="1" applyFont="1" applyBorder="1"/>
    <xf numFmtId="38" fontId="27" fillId="18" borderId="9" xfId="8" applyNumberFormat="1" applyFont="1" applyFill="1" applyBorder="1"/>
    <xf numFmtId="38" fontId="27" fillId="18" borderId="44" xfId="8" applyNumberFormat="1" applyFont="1" applyFill="1" applyBorder="1"/>
    <xf numFmtId="38" fontId="28" fillId="0" borderId="9" xfId="8" applyNumberFormat="1" applyFont="1" applyBorder="1"/>
    <xf numFmtId="38" fontId="28" fillId="0" borderId="44" xfId="8" applyNumberFormat="1" applyFont="1" applyBorder="1"/>
    <xf numFmtId="4" fontId="0" fillId="0" borderId="45" xfId="0" applyNumberFormat="1" applyBorder="1"/>
    <xf numFmtId="4" fontId="0" fillId="0" borderId="13" xfId="0" applyNumberFormat="1" applyBorder="1"/>
    <xf numFmtId="4" fontId="0" fillId="0" borderId="46" xfId="0" applyNumberFormat="1" applyBorder="1"/>
    <xf numFmtId="10" fontId="0" fillId="0" borderId="13" xfId="0" applyNumberFormat="1" applyBorder="1"/>
    <xf numFmtId="43" fontId="0" fillId="0" borderId="46" xfId="1" applyFont="1" applyBorder="1"/>
    <xf numFmtId="0" fontId="0" fillId="0" borderId="9" xfId="0" applyBorder="1"/>
    <xf numFmtId="43" fontId="0" fillId="0" borderId="13" xfId="0" applyNumberFormat="1" applyBorder="1"/>
    <xf numFmtId="43" fontId="0" fillId="0" borderId="46" xfId="0" applyNumberFormat="1" applyBorder="1"/>
    <xf numFmtId="164" fontId="0" fillId="0" borderId="45" xfId="0" applyNumberFormat="1" applyBorder="1"/>
    <xf numFmtId="164" fontId="0" fillId="0" borderId="46" xfId="0" applyNumberFormat="1" applyBorder="1"/>
    <xf numFmtId="4" fontId="0" fillId="0" borderId="47" xfId="0" applyNumberFormat="1" applyBorder="1"/>
    <xf numFmtId="0" fontId="0" fillId="0" borderId="2" xfId="0" applyBorder="1"/>
    <xf numFmtId="0" fontId="0" fillId="0" borderId="10" xfId="0" applyBorder="1"/>
    <xf numFmtId="164" fontId="0" fillId="0" borderId="8" xfId="0" applyNumberFormat="1" applyBorder="1"/>
    <xf numFmtId="0" fontId="9" fillId="0" borderId="9" xfId="0" applyFont="1" applyBorder="1"/>
    <xf numFmtId="169" fontId="0" fillId="19" borderId="2" xfId="4" applyNumberFormat="1" applyFont="1" applyFill="1" applyBorder="1"/>
    <xf numFmtId="170" fontId="0" fillId="19" borderId="2" xfId="1" applyNumberFormat="1" applyFont="1" applyFill="1" applyBorder="1"/>
    <xf numFmtId="170" fontId="0" fillId="19" borderId="10" xfId="1" applyNumberFormat="1" applyFont="1" applyFill="1" applyBorder="1"/>
    <xf numFmtId="170" fontId="0" fillId="19" borderId="0" xfId="1" applyNumberFormat="1" applyFont="1" applyFill="1" applyBorder="1"/>
    <xf numFmtId="170" fontId="0" fillId="19" borderId="24" xfId="1" applyNumberFormat="1" applyFont="1" applyFill="1" applyBorder="1"/>
    <xf numFmtId="171" fontId="9" fillId="6" borderId="1" xfId="0" applyNumberFormat="1" applyFont="1" applyFill="1" applyBorder="1" applyAlignment="1">
      <alignment horizontal="right" vertical="center" indent="1"/>
    </xf>
    <xf numFmtId="0" fontId="0" fillId="0" borderId="17" xfId="0" applyBorder="1"/>
    <xf numFmtId="0" fontId="0" fillId="0" borderId="18" xfId="0" applyBorder="1"/>
    <xf numFmtId="0" fontId="0" fillId="0" borderId="19" xfId="0" applyBorder="1"/>
    <xf numFmtId="4" fontId="0" fillId="0" borderId="48" xfId="0" applyNumberFormat="1" applyBorder="1"/>
    <xf numFmtId="164" fontId="0" fillId="0" borderId="48" xfId="0" applyNumberFormat="1" applyBorder="1"/>
    <xf numFmtId="0" fontId="9" fillId="0" borderId="2" xfId="0" applyFont="1" applyBorder="1"/>
    <xf numFmtId="0" fontId="9" fillId="0" borderId="49" xfId="0" applyFont="1" applyBorder="1" applyAlignment="1">
      <alignment vertical="center"/>
    </xf>
    <xf numFmtId="0" fontId="9" fillId="0" borderId="1" xfId="0" applyFont="1" applyBorder="1" applyAlignment="1">
      <alignment horizontal="left" vertical="center"/>
    </xf>
    <xf numFmtId="0" fontId="29" fillId="0" borderId="9" xfId="0" applyFont="1" applyBorder="1"/>
    <xf numFmtId="0" fontId="29" fillId="0" borderId="2" xfId="0" applyFont="1" applyBorder="1"/>
    <xf numFmtId="172" fontId="0" fillId="19" borderId="2" xfId="4" applyNumberFormat="1" applyFont="1" applyFill="1" applyBorder="1"/>
    <xf numFmtId="172" fontId="0" fillId="19" borderId="2" xfId="1" applyNumberFormat="1" applyFont="1" applyFill="1" applyBorder="1"/>
    <xf numFmtId="0" fontId="0" fillId="0" borderId="50" xfId="0" applyBorder="1"/>
    <xf numFmtId="0" fontId="0" fillId="0" borderId="11" xfId="0" applyBorder="1"/>
    <xf numFmtId="169" fontId="0" fillId="19" borderId="11" xfId="4" applyNumberFormat="1" applyFont="1" applyFill="1" applyBorder="1"/>
    <xf numFmtId="170" fontId="0" fillId="19" borderId="11" xfId="1" applyNumberFormat="1" applyFont="1" applyFill="1" applyBorder="1"/>
    <xf numFmtId="170" fontId="0" fillId="19" borderId="51" xfId="1" applyNumberFormat="1" applyFont="1" applyFill="1" applyBorder="1"/>
    <xf numFmtId="170" fontId="4" fillId="0" borderId="0" xfId="1" applyNumberFormat="1" applyFont="1"/>
    <xf numFmtId="0" fontId="30" fillId="0" borderId="17" xfId="8" applyFont="1" applyBorder="1"/>
    <xf numFmtId="38" fontId="30" fillId="0" borderId="18" xfId="8" applyNumberFormat="1" applyFont="1" applyBorder="1"/>
    <xf numFmtId="38" fontId="30" fillId="0" borderId="52" xfId="8" applyNumberFormat="1" applyFont="1" applyBorder="1"/>
    <xf numFmtId="38" fontId="30" fillId="0" borderId="53" xfId="8" applyNumberFormat="1" applyFont="1" applyBorder="1"/>
    <xf numFmtId="38" fontId="30" fillId="0" borderId="17" xfId="8" applyNumberFormat="1" applyFont="1" applyBorder="1"/>
    <xf numFmtId="38" fontId="30" fillId="0" borderId="19" xfId="8" applyNumberFormat="1" applyFont="1" applyBorder="1"/>
    <xf numFmtId="38" fontId="30" fillId="18" borderId="17" xfId="8" applyNumberFormat="1" applyFont="1" applyFill="1" applyBorder="1"/>
    <xf numFmtId="38" fontId="30" fillId="18" borderId="19" xfId="8" applyNumberFormat="1" applyFont="1" applyFill="1" applyBorder="1"/>
    <xf numFmtId="38" fontId="31" fillId="0" borderId="17" xfId="8" applyNumberFormat="1" applyFont="1" applyBorder="1"/>
    <xf numFmtId="38" fontId="31" fillId="0" borderId="19" xfId="8" applyNumberFormat="1" applyFont="1" applyBorder="1"/>
    <xf numFmtId="169" fontId="3" fillId="19" borderId="11" xfId="4" applyNumberFormat="1" applyFont="1" applyFill="1" applyBorder="1"/>
    <xf numFmtId="165" fontId="3" fillId="19" borderId="11" xfId="4" applyNumberFormat="1" applyFont="1" applyFill="1" applyBorder="1"/>
    <xf numFmtId="169" fontId="3" fillId="19" borderId="16" xfId="4" applyNumberFormat="1" applyFont="1" applyFill="1" applyBorder="1"/>
    <xf numFmtId="169" fontId="3" fillId="19" borderId="54" xfId="4" applyNumberFormat="1" applyFont="1" applyFill="1" applyBorder="1"/>
    <xf numFmtId="169" fontId="3" fillId="19" borderId="55" xfId="4" applyNumberFormat="1" applyFont="1" applyFill="1" applyBorder="1"/>
    <xf numFmtId="0" fontId="32" fillId="0" borderId="20" xfId="8" applyFont="1" applyBorder="1"/>
    <xf numFmtId="38" fontId="33" fillId="0" borderId="56" xfId="8" applyNumberFormat="1" applyFont="1" applyBorder="1"/>
    <xf numFmtId="38" fontId="33" fillId="0" borderId="21" xfId="8" applyNumberFormat="1" applyFont="1" applyBorder="1"/>
    <xf numFmtId="38" fontId="32" fillId="0" borderId="20" xfId="8" applyNumberFormat="1" applyFont="1" applyBorder="1"/>
    <xf numFmtId="38" fontId="32" fillId="0" borderId="22" xfId="8" applyNumberFormat="1" applyFont="1" applyBorder="1"/>
    <xf numFmtId="38" fontId="32" fillId="18" borderId="21" xfId="8" applyNumberFormat="1" applyFont="1" applyFill="1" applyBorder="1"/>
    <xf numFmtId="38" fontId="32" fillId="18" borderId="22" xfId="8" applyNumberFormat="1" applyFont="1" applyFill="1" applyBorder="1"/>
    <xf numFmtId="38" fontId="34" fillId="0" borderId="20" xfId="8" applyNumberFormat="1" applyFont="1" applyBorder="1"/>
    <xf numFmtId="38" fontId="34" fillId="0" borderId="22" xfId="8" applyNumberFormat="1" applyFont="1" applyBorder="1"/>
    <xf numFmtId="0" fontId="0" fillId="0" borderId="57" xfId="0" applyBorder="1"/>
    <xf numFmtId="0" fontId="0" fillId="0" borderId="12" xfId="0" applyBorder="1"/>
    <xf numFmtId="169" fontId="3" fillId="19" borderId="12" xfId="4" applyNumberFormat="1" applyFont="1" applyFill="1" applyBorder="1"/>
    <xf numFmtId="165" fontId="3" fillId="19" borderId="12" xfId="4" applyNumberFormat="1" applyFont="1" applyFill="1" applyBorder="1"/>
    <xf numFmtId="169" fontId="3" fillId="19" borderId="15" xfId="4" applyNumberFormat="1" applyFont="1" applyFill="1" applyBorder="1"/>
    <xf numFmtId="169" fontId="3" fillId="19" borderId="0" xfId="4" applyNumberFormat="1" applyFont="1" applyFill="1" applyBorder="1"/>
    <xf numFmtId="169" fontId="3" fillId="19" borderId="24" xfId="4" applyNumberFormat="1" applyFont="1" applyFill="1" applyBorder="1"/>
    <xf numFmtId="0" fontId="32" fillId="0" borderId="23" xfId="8" applyFont="1" applyBorder="1"/>
    <xf numFmtId="38" fontId="33" fillId="0" borderId="58" xfId="8" applyNumberFormat="1" applyFont="1" applyBorder="1"/>
    <xf numFmtId="38" fontId="33" fillId="0" borderId="0" xfId="8" applyNumberFormat="1" applyFont="1"/>
    <xf numFmtId="38" fontId="32" fillId="0" borderId="23" xfId="8" applyNumberFormat="1" applyFont="1" applyBorder="1"/>
    <xf numFmtId="38" fontId="32" fillId="0" borderId="24" xfId="8" applyNumberFormat="1" applyFont="1" applyBorder="1"/>
    <xf numFmtId="38" fontId="32" fillId="18" borderId="0" xfId="8" applyNumberFormat="1" applyFont="1" applyFill="1"/>
    <xf numFmtId="38" fontId="32" fillId="18" borderId="24" xfId="8" applyNumberFormat="1" applyFont="1" applyFill="1" applyBorder="1"/>
    <xf numFmtId="38" fontId="34" fillId="0" borderId="23" xfId="8" applyNumberFormat="1" applyFont="1" applyBorder="1"/>
    <xf numFmtId="38" fontId="34" fillId="0" borderId="24" xfId="8" applyNumberFormat="1" applyFont="1" applyBorder="1"/>
    <xf numFmtId="0" fontId="9" fillId="2" borderId="35" xfId="0" applyFont="1" applyFill="1" applyBorder="1" applyAlignment="1">
      <alignment horizontal="left" vertical="center"/>
    </xf>
    <xf numFmtId="169" fontId="35" fillId="0" borderId="36" xfId="0" applyNumberFormat="1" applyFont="1" applyBorder="1"/>
    <xf numFmtId="169" fontId="35" fillId="0" borderId="37" xfId="0" applyNumberFormat="1" applyFont="1" applyBorder="1"/>
    <xf numFmtId="0" fontId="35" fillId="0" borderId="0" xfId="0" applyFont="1"/>
    <xf numFmtId="4" fontId="0" fillId="0" borderId="59" xfId="0" applyNumberFormat="1" applyBorder="1"/>
    <xf numFmtId="4" fontId="0" fillId="0" borderId="60" xfId="0" applyNumberFormat="1" applyBorder="1"/>
    <xf numFmtId="4" fontId="0" fillId="0" borderId="61" xfId="0" applyNumberFormat="1" applyBorder="1"/>
    <xf numFmtId="10" fontId="0" fillId="0" borderId="60" xfId="0" applyNumberFormat="1" applyBorder="1"/>
    <xf numFmtId="43" fontId="0" fillId="0" borderId="61" xfId="1" applyFont="1" applyBorder="1"/>
    <xf numFmtId="0" fontId="35" fillId="0" borderId="17" xfId="0" applyFont="1" applyBorder="1"/>
    <xf numFmtId="43" fontId="0" fillId="0" borderId="60" xfId="0" applyNumberFormat="1" applyBorder="1"/>
    <xf numFmtId="43" fontId="0" fillId="0" borderId="61" xfId="0" applyNumberFormat="1" applyBorder="1"/>
    <xf numFmtId="164" fontId="0" fillId="0" borderId="59" xfId="0" applyNumberFormat="1" applyBorder="1"/>
    <xf numFmtId="164" fontId="0" fillId="0" borderId="61" xfId="0" applyNumberFormat="1" applyBorder="1"/>
    <xf numFmtId="4" fontId="0" fillId="0" borderId="62" xfId="0" applyNumberFormat="1" applyBorder="1"/>
    <xf numFmtId="164" fontId="0" fillId="0" borderId="62" xfId="0" applyNumberFormat="1" applyBorder="1"/>
    <xf numFmtId="43" fontId="35" fillId="0" borderId="0" xfId="1" applyFont="1" applyBorder="1"/>
    <xf numFmtId="170" fontId="35" fillId="0" borderId="0" xfId="1" applyNumberFormat="1" applyFont="1" applyBorder="1"/>
    <xf numFmtId="169" fontId="35" fillId="0" borderId="0" xfId="0" applyNumberFormat="1" applyFont="1"/>
    <xf numFmtId="4" fontId="35" fillId="0" borderId="0" xfId="0" applyNumberFormat="1" applyFont="1"/>
    <xf numFmtId="43" fontId="0" fillId="0" borderId="0" xfId="1" applyFont="1"/>
    <xf numFmtId="170" fontId="36" fillId="0" borderId="0" xfId="1" applyNumberFormat="1" applyFont="1" applyFill="1"/>
    <xf numFmtId="0" fontId="32" fillId="0" borderId="25" xfId="8" applyFont="1" applyBorder="1"/>
    <xf numFmtId="38" fontId="33" fillId="0" borderId="63" xfId="8" applyNumberFormat="1" applyFont="1" applyBorder="1"/>
    <xf numFmtId="38" fontId="33" fillId="0" borderId="26" xfId="8" applyNumberFormat="1" applyFont="1" applyBorder="1"/>
    <xf numFmtId="38" fontId="32" fillId="0" borderId="25" xfId="8" applyNumberFormat="1" applyFont="1" applyBorder="1"/>
    <xf numFmtId="38" fontId="32" fillId="0" borderId="27" xfId="8" applyNumberFormat="1" applyFont="1" applyBorder="1"/>
    <xf numFmtId="38" fontId="32" fillId="18" borderId="26" xfId="8" applyNumberFormat="1" applyFont="1" applyFill="1" applyBorder="1"/>
    <xf numFmtId="38" fontId="32" fillId="18" borderId="27" xfId="8" applyNumberFormat="1" applyFont="1" applyFill="1" applyBorder="1"/>
    <xf numFmtId="38" fontId="34" fillId="0" borderId="25" xfId="8" applyNumberFormat="1" applyFont="1" applyBorder="1"/>
    <xf numFmtId="38" fontId="34" fillId="0" borderId="27" xfId="8" applyNumberFormat="1" applyFont="1" applyBorder="1"/>
    <xf numFmtId="0" fontId="35" fillId="0" borderId="9" xfId="0" applyFont="1" applyBorder="1"/>
    <xf numFmtId="0" fontId="2" fillId="0" borderId="0" xfId="0" applyFont="1"/>
    <xf numFmtId="170" fontId="35" fillId="0" borderId="0" xfId="1" applyNumberFormat="1" applyFont="1"/>
    <xf numFmtId="0" fontId="37" fillId="0" borderId="20" xfId="8" applyFont="1" applyBorder="1"/>
    <xf numFmtId="38" fontId="37" fillId="0" borderId="21" xfId="8" applyNumberFormat="1" applyFont="1" applyBorder="1"/>
    <xf numFmtId="38" fontId="38" fillId="0" borderId="21" xfId="8" applyNumberFormat="1" applyFont="1" applyBorder="1"/>
    <xf numFmtId="0" fontId="0" fillId="0" borderId="22" xfId="0" applyBorder="1"/>
    <xf numFmtId="38" fontId="31" fillId="0" borderId="21" xfId="8" applyNumberFormat="1" applyFont="1" applyBorder="1"/>
    <xf numFmtId="0" fontId="9" fillId="0" borderId="1" xfId="0" applyFont="1" applyBorder="1" applyAlignment="1">
      <alignment horizontal="left" vertical="center" wrapText="1"/>
    </xf>
    <xf numFmtId="0" fontId="35" fillId="0" borderId="0" xfId="0" applyFont="1" applyAlignment="1">
      <alignment wrapText="1"/>
    </xf>
    <xf numFmtId="164" fontId="35" fillId="0" borderId="0" xfId="0" applyNumberFormat="1" applyFont="1"/>
    <xf numFmtId="0" fontId="37" fillId="0" borderId="23" xfId="8" applyFont="1" applyBorder="1"/>
    <xf numFmtId="38" fontId="37" fillId="0" borderId="0" xfId="8" applyNumberFormat="1" applyFont="1"/>
    <xf numFmtId="38" fontId="38" fillId="0" borderId="0" xfId="8" applyNumberFormat="1" applyFont="1"/>
    <xf numFmtId="38" fontId="38" fillId="0" borderId="24" xfId="8" applyNumberFormat="1" applyFont="1" applyBorder="1"/>
    <xf numFmtId="38" fontId="31" fillId="0" borderId="0" xfId="8" applyNumberFormat="1" applyFont="1"/>
    <xf numFmtId="0" fontId="39" fillId="0" borderId="0" xfId="0" applyFont="1"/>
    <xf numFmtId="173" fontId="35" fillId="0" borderId="0" xfId="1" applyNumberFormat="1" applyFont="1"/>
    <xf numFmtId="0" fontId="40" fillId="0" borderId="26" xfId="8" applyFont="1" applyBorder="1"/>
    <xf numFmtId="0" fontId="1" fillId="0" borderId="26" xfId="8" applyBorder="1"/>
    <xf numFmtId="0" fontId="1" fillId="0" borderId="27" xfId="8" applyBorder="1"/>
    <xf numFmtId="0" fontId="41" fillId="0" borderId="0" xfId="0" applyFont="1"/>
    <xf numFmtId="164" fontId="8" fillId="0" borderId="0" xfId="0" applyNumberFormat="1" applyFont="1"/>
    <xf numFmtId="0" fontId="1" fillId="0" borderId="20" xfId="8" applyBorder="1"/>
    <xf numFmtId="0" fontId="1" fillId="0" borderId="21" xfId="8" applyBorder="1"/>
    <xf numFmtId="0" fontId="1" fillId="0" borderId="22" xfId="8" applyBorder="1"/>
    <xf numFmtId="0" fontId="42" fillId="7" borderId="64" xfId="8" applyFont="1" applyFill="1" applyBorder="1"/>
    <xf numFmtId="164" fontId="1" fillId="0" borderId="0" xfId="8" applyNumberFormat="1"/>
    <xf numFmtId="0" fontId="1" fillId="0" borderId="0" xfId="8"/>
    <xf numFmtId="0" fontId="1" fillId="0" borderId="24" xfId="8" applyBorder="1"/>
    <xf numFmtId="38" fontId="44" fillId="7" borderId="20" xfId="9" applyNumberFormat="1" applyFont="1" applyFill="1" applyBorder="1" applyAlignment="1">
      <alignment horizontal="left" vertical="center" wrapText="1"/>
    </xf>
    <xf numFmtId="0" fontId="33" fillId="0" borderId="21" xfId="8" applyFont="1" applyBorder="1" applyAlignment="1">
      <alignment horizontal="left" vertical="center" wrapText="1"/>
    </xf>
    <xf numFmtId="0" fontId="33" fillId="0" borderId="22" xfId="8" applyFont="1" applyBorder="1" applyAlignment="1">
      <alignment horizontal="left" vertical="center" wrapText="1"/>
    </xf>
    <xf numFmtId="164" fontId="33" fillId="0" borderId="0" xfId="8" applyNumberFormat="1" applyFont="1" applyAlignment="1">
      <alignment horizontal="left"/>
    </xf>
    <xf numFmtId="0" fontId="33" fillId="0" borderId="22" xfId="8" applyFont="1" applyBorder="1" applyAlignment="1">
      <alignment horizontal="left"/>
    </xf>
    <xf numFmtId="0" fontId="33" fillId="0" borderId="23" xfId="8" applyFont="1" applyBorder="1" applyAlignment="1">
      <alignment horizontal="left" vertical="center" wrapText="1"/>
    </xf>
    <xf numFmtId="0" fontId="33" fillId="0" borderId="0" xfId="8" applyFont="1" applyAlignment="1">
      <alignment horizontal="left" vertical="center" wrapText="1"/>
    </xf>
    <xf numFmtId="0" fontId="33" fillId="0" borderId="24" xfId="8" applyFont="1" applyBorder="1" applyAlignment="1">
      <alignment horizontal="left" vertical="center" wrapText="1"/>
    </xf>
    <xf numFmtId="0" fontId="33" fillId="0" borderId="23" xfId="8" applyFont="1" applyBorder="1" applyAlignment="1">
      <alignment horizontal="left"/>
    </xf>
    <xf numFmtId="0" fontId="1" fillId="0" borderId="0" xfId="8" applyAlignment="1">
      <alignment horizontal="center" vertical="center" wrapText="1"/>
    </xf>
    <xf numFmtId="0" fontId="45" fillId="0" borderId="25" xfId="8" applyFont="1" applyBorder="1" applyAlignment="1">
      <alignment horizontal="left"/>
    </xf>
    <xf numFmtId="38" fontId="33" fillId="0" borderId="26" xfId="9" applyNumberFormat="1" applyFont="1" applyBorder="1" applyAlignment="1">
      <alignment horizontal="left"/>
    </xf>
    <xf numFmtId="0" fontId="33" fillId="0" borderId="27" xfId="8" applyFont="1" applyBorder="1" applyAlignment="1">
      <alignment horizontal="left"/>
    </xf>
    <xf numFmtId="38" fontId="33" fillId="0" borderId="25" xfId="9" applyNumberFormat="1" applyFont="1" applyBorder="1" applyAlignment="1">
      <alignment horizontal="left"/>
    </xf>
    <xf numFmtId="0" fontId="33" fillId="0" borderId="26" xfId="8" applyFont="1" applyBorder="1" applyAlignment="1">
      <alignment horizontal="left"/>
    </xf>
    <xf numFmtId="0" fontId="33" fillId="0" borderId="25" xfId="8" applyFont="1" applyBorder="1" applyAlignment="1">
      <alignment horizontal="left"/>
    </xf>
    <xf numFmtId="0" fontId="45" fillId="0" borderId="23" xfId="8" applyFont="1" applyBorder="1" applyAlignment="1">
      <alignment horizontal="left"/>
    </xf>
    <xf numFmtId="38" fontId="33" fillId="0" borderId="0" xfId="9" applyNumberFormat="1" applyFont="1" applyBorder="1" applyAlignment="1">
      <alignment horizontal="left"/>
    </xf>
    <xf numFmtId="0" fontId="33" fillId="0" borderId="0" xfId="8" applyFont="1" applyAlignment="1">
      <alignment horizontal="left"/>
    </xf>
    <xf numFmtId="0" fontId="44" fillId="7" borderId="20" xfId="8" applyFont="1" applyFill="1" applyBorder="1" applyAlignment="1">
      <alignment horizontal="left" vertical="center" wrapText="1"/>
    </xf>
    <xf numFmtId="38" fontId="33" fillId="0" borderId="21" xfId="9" applyNumberFormat="1" applyFont="1" applyBorder="1" applyAlignment="1">
      <alignment horizontal="left"/>
    </xf>
    <xf numFmtId="0" fontId="33" fillId="0" borderId="21" xfId="8" applyFont="1" applyBorder="1" applyAlignment="1">
      <alignment horizontal="left"/>
    </xf>
    <xf numFmtId="0" fontId="33" fillId="0" borderId="24" xfId="8" applyFont="1" applyBorder="1" applyAlignment="1">
      <alignment horizontal="left"/>
    </xf>
    <xf numFmtId="0" fontId="46" fillId="0" borderId="0" xfId="0" applyFont="1"/>
    <xf numFmtId="0" fontId="8" fillId="0" borderId="0" xfId="0" applyFont="1"/>
    <xf numFmtId="164" fontId="36" fillId="0" borderId="0" xfId="0" applyNumberFormat="1" applyFont="1"/>
    <xf numFmtId="38" fontId="8" fillId="0" borderId="0" xfId="1" applyNumberFormat="1" applyFont="1" applyFill="1" applyBorder="1"/>
    <xf numFmtId="40" fontId="8" fillId="0" borderId="0" xfId="0" applyNumberFormat="1" applyFont="1"/>
    <xf numFmtId="0" fontId="1" fillId="0" borderId="23" xfId="8" applyBorder="1"/>
    <xf numFmtId="38" fontId="1" fillId="0" borderId="0" xfId="9" applyNumberFormat="1" applyFont="1" applyBorder="1"/>
    <xf numFmtId="0" fontId="29" fillId="0" borderId="25" xfId="8" applyFont="1" applyBorder="1"/>
    <xf numFmtId="38" fontId="1" fillId="0" borderId="26" xfId="9" applyNumberFormat="1" applyFont="1" applyBorder="1"/>
    <xf numFmtId="164" fontId="1" fillId="0" borderId="26" xfId="8" applyNumberFormat="1" applyBorder="1"/>
    <xf numFmtId="0" fontId="1" fillId="0" borderId="25" xfId="8" applyBorder="1"/>
    <xf numFmtId="0" fontId="9" fillId="0" borderId="49" xfId="0" applyFont="1" applyBorder="1" applyAlignment="1">
      <alignment horizontal="left" vertical="center"/>
    </xf>
    <xf numFmtId="2" fontId="47" fillId="6" borderId="1" xfId="0" applyNumberFormat="1" applyFont="1" applyFill="1" applyBorder="1" applyAlignment="1">
      <alignment horizontal="left" vertical="center" indent="1"/>
    </xf>
    <xf numFmtId="0" fontId="47" fillId="6" borderId="0" xfId="0" applyFont="1" applyFill="1"/>
    <xf numFmtId="0" fontId="48" fillId="0" borderId="0" xfId="0" applyFont="1"/>
    <xf numFmtId="38" fontId="49" fillId="0" borderId="0" xfId="1" applyNumberFormat="1" applyFont="1" applyFill="1" applyBorder="1"/>
    <xf numFmtId="164" fontId="49" fillId="0" borderId="0" xfId="0" applyNumberFormat="1" applyFont="1"/>
    <xf numFmtId="0" fontId="9" fillId="0" borderId="0" xfId="0" applyFont="1" applyAlignment="1">
      <alignment horizontal="left" vertical="center"/>
    </xf>
    <xf numFmtId="4" fontId="9" fillId="0" borderId="0" xfId="0" applyNumberFormat="1" applyFont="1" applyAlignment="1">
      <alignment horizontal="left" vertical="center"/>
    </xf>
    <xf numFmtId="174" fontId="9" fillId="0" borderId="0" xfId="3" applyNumberFormat="1" applyFont="1" applyFill="1" applyBorder="1" applyAlignment="1">
      <alignment horizontal="left" vertical="center"/>
    </xf>
    <xf numFmtId="169" fontId="9" fillId="0" borderId="0" xfId="4" applyNumberFormat="1" applyFont="1" applyFill="1" applyBorder="1" applyAlignment="1">
      <alignment horizontal="left" vertical="center"/>
    </xf>
    <xf numFmtId="10" fontId="9" fillId="0" borderId="0" xfId="3" applyNumberFormat="1" applyFont="1" applyFill="1" applyBorder="1" applyAlignment="1">
      <alignment horizontal="center" vertical="center"/>
    </xf>
    <xf numFmtId="4" fontId="0" fillId="0" borderId="0" xfId="0" applyNumberFormat="1"/>
    <xf numFmtId="4" fontId="9" fillId="0" borderId="0" xfId="0" applyNumberFormat="1" applyFont="1" applyAlignment="1">
      <alignment vertical="center"/>
    </xf>
    <xf numFmtId="164" fontId="50" fillId="6" borderId="0" xfId="4" applyFont="1" applyFill="1" applyBorder="1" applyAlignment="1">
      <alignment horizontal="left" vertical="center"/>
    </xf>
    <xf numFmtId="10" fontId="50" fillId="6" borderId="0" xfId="3" applyNumberFormat="1" applyFont="1" applyFill="1" applyBorder="1" applyAlignment="1">
      <alignment horizontal="left" vertical="center"/>
    </xf>
    <xf numFmtId="164" fontId="9" fillId="2" borderId="0" xfId="4" applyFont="1" applyFill="1" applyBorder="1" applyAlignment="1">
      <alignment horizontal="left" vertical="center"/>
    </xf>
    <xf numFmtId="10" fontId="9" fillId="2" borderId="0" xfId="3" applyNumberFormat="1" applyFont="1" applyFill="1" applyBorder="1" applyAlignment="1">
      <alignment horizontal="right" vertical="center" indent="1"/>
    </xf>
    <xf numFmtId="10" fontId="50" fillId="6" borderId="0" xfId="3" applyNumberFormat="1" applyFont="1" applyFill="1" applyBorder="1" applyAlignment="1">
      <alignment horizontal="center" vertical="center"/>
    </xf>
    <xf numFmtId="0" fontId="51" fillId="0" borderId="0" xfId="0" applyFont="1"/>
    <xf numFmtId="4" fontId="52" fillId="2" borderId="0" xfId="0" applyNumberFormat="1" applyFont="1" applyFill="1" applyAlignment="1">
      <alignment horizontal="right" vertical="center" indent="1"/>
    </xf>
    <xf numFmtId="4" fontId="53" fillId="2" borderId="0" xfId="0" applyNumberFormat="1" applyFont="1" applyFill="1" applyAlignment="1">
      <alignment horizontal="right" vertical="center" indent="1"/>
    </xf>
    <xf numFmtId="164" fontId="54" fillId="6" borderId="0" xfId="4" applyFont="1" applyFill="1" applyBorder="1" applyAlignment="1">
      <alignment horizontal="left" vertical="center"/>
    </xf>
    <xf numFmtId="10" fontId="54" fillId="6" borderId="0" xfId="3" applyNumberFormat="1" applyFont="1" applyFill="1" applyBorder="1" applyAlignment="1">
      <alignment horizontal="left" vertical="center"/>
    </xf>
    <xf numFmtId="4" fontId="53" fillId="6" borderId="0" xfId="0" applyNumberFormat="1" applyFont="1" applyFill="1" applyAlignment="1">
      <alignment horizontal="right" vertical="center" indent="1"/>
    </xf>
    <xf numFmtId="4" fontId="9" fillId="2" borderId="0" xfId="0" applyNumberFormat="1" applyFont="1" applyFill="1" applyAlignment="1">
      <alignment horizontal="right" vertical="center" indent="1"/>
    </xf>
    <xf numFmtId="10" fontId="9" fillId="2" borderId="0" xfId="3" applyNumberFormat="1" applyFont="1" applyFill="1" applyBorder="1" applyAlignment="1">
      <alignment horizontal="left" vertical="center"/>
    </xf>
    <xf numFmtId="164" fontId="53" fillId="6" borderId="0" xfId="4" applyFont="1" applyFill="1" applyBorder="1" applyAlignment="1">
      <alignment horizontal="left" vertical="center"/>
    </xf>
    <xf numFmtId="10" fontId="53" fillId="6" borderId="0" xfId="2" applyNumberFormat="1" applyFont="1" applyFill="1" applyBorder="1" applyAlignment="1">
      <alignment horizontal="center" vertical="center"/>
    </xf>
    <xf numFmtId="10" fontId="53" fillId="6" borderId="0" xfId="3" applyNumberFormat="1" applyFont="1" applyFill="1" applyBorder="1" applyAlignment="1">
      <alignment horizontal="left" vertical="center"/>
    </xf>
    <xf numFmtId="0" fontId="55" fillId="0" borderId="0" xfId="0" applyFont="1"/>
    <xf numFmtId="4" fontId="56" fillId="2" borderId="0" xfId="0" applyNumberFormat="1" applyFont="1" applyFill="1" applyAlignment="1">
      <alignment horizontal="right" vertical="center" indent="1"/>
    </xf>
    <xf numFmtId="164" fontId="56" fillId="6" borderId="0" xfId="4" applyFont="1" applyFill="1" applyBorder="1" applyAlignment="1">
      <alignment horizontal="left" vertical="center"/>
    </xf>
    <xf numFmtId="10" fontId="56" fillId="6" borderId="0" xfId="3" applyNumberFormat="1" applyFont="1" applyFill="1" applyBorder="1" applyAlignment="1">
      <alignment horizontal="left" vertical="center"/>
    </xf>
    <xf numFmtId="10" fontId="56" fillId="6" borderId="0" xfId="2" applyNumberFormat="1" applyFont="1" applyFill="1" applyBorder="1" applyAlignment="1">
      <alignment horizontal="center" vertical="center"/>
    </xf>
    <xf numFmtId="0" fontId="57" fillId="0" borderId="0" xfId="0" applyFont="1"/>
    <xf numFmtId="10" fontId="9" fillId="2" borderId="0" xfId="3" applyNumberFormat="1" applyFont="1" applyFill="1" applyBorder="1" applyAlignment="1">
      <alignment horizontal="left" vertical="center" indent="1"/>
    </xf>
    <xf numFmtId="164" fontId="9" fillId="6" borderId="20" xfId="4" applyFont="1" applyFill="1" applyBorder="1" applyAlignment="1">
      <alignment horizontal="left" vertical="center"/>
    </xf>
    <xf numFmtId="164" fontId="9" fillId="6" borderId="21" xfId="4" applyFont="1" applyFill="1" applyBorder="1" applyAlignment="1">
      <alignment horizontal="left" vertical="center"/>
    </xf>
    <xf numFmtId="10" fontId="9" fillId="6" borderId="22" xfId="3" applyNumberFormat="1" applyFont="1" applyFill="1" applyBorder="1" applyAlignment="1">
      <alignment horizontal="left" vertical="center" indent="1"/>
    </xf>
    <xf numFmtId="10" fontId="9" fillId="6" borderId="20" xfId="3" applyNumberFormat="1" applyFont="1" applyFill="1" applyBorder="1" applyAlignment="1">
      <alignment horizontal="left" vertical="center" indent="1"/>
    </xf>
    <xf numFmtId="164" fontId="9" fillId="6" borderId="22" xfId="4" applyFont="1" applyFill="1" applyBorder="1" applyAlignment="1">
      <alignment horizontal="left" vertical="center"/>
    </xf>
    <xf numFmtId="164" fontId="9" fillId="0" borderId="0" xfId="4" applyFont="1" applyFill="1" applyBorder="1" applyAlignment="1">
      <alignment horizontal="center" vertical="center"/>
    </xf>
    <xf numFmtId="0" fontId="9" fillId="0" borderId="0" xfId="0" applyFont="1" applyAlignment="1">
      <alignment horizontal="right" vertical="center"/>
    </xf>
    <xf numFmtId="164" fontId="29" fillId="2" borderId="0" xfId="4" applyFont="1" applyFill="1" applyBorder="1" applyAlignment="1">
      <alignment horizontal="left" vertical="center"/>
    </xf>
    <xf numFmtId="0" fontId="58" fillId="2" borderId="0" xfId="0" applyFont="1" applyFill="1"/>
    <xf numFmtId="0" fontId="58" fillId="6" borderId="23" xfId="0" applyFont="1" applyFill="1" applyBorder="1"/>
    <xf numFmtId="0" fontId="58" fillId="6" borderId="0" xfId="0" applyFont="1" applyFill="1"/>
    <xf numFmtId="164" fontId="29" fillId="6" borderId="0" xfId="4" applyFont="1" applyFill="1" applyBorder="1" applyAlignment="1">
      <alignment horizontal="left" vertical="center"/>
    </xf>
    <xf numFmtId="0" fontId="0" fillId="6" borderId="24" xfId="0" applyFill="1" applyBorder="1"/>
    <xf numFmtId="0" fontId="0" fillId="6" borderId="23" xfId="0" applyFill="1" applyBorder="1"/>
    <xf numFmtId="164" fontId="9" fillId="6" borderId="24" xfId="4" applyFont="1" applyFill="1" applyBorder="1" applyAlignment="1">
      <alignment horizontal="left" vertical="center"/>
    </xf>
    <xf numFmtId="0" fontId="58" fillId="6" borderId="25" xfId="0" applyFont="1" applyFill="1" applyBorder="1"/>
    <xf numFmtId="0" fontId="58" fillId="6" borderId="26" xfId="0" applyFont="1" applyFill="1" applyBorder="1"/>
    <xf numFmtId="164" fontId="29" fillId="6" borderId="26" xfId="4" applyFont="1" applyFill="1" applyBorder="1" applyAlignment="1">
      <alignment horizontal="left" vertical="center"/>
    </xf>
    <xf numFmtId="164" fontId="29" fillId="6" borderId="27" xfId="4" applyFont="1" applyFill="1" applyBorder="1" applyAlignment="1">
      <alignment horizontal="left" vertical="center"/>
    </xf>
    <xf numFmtId="0" fontId="0" fillId="6" borderId="25" xfId="0" applyFill="1" applyBorder="1"/>
    <xf numFmtId="0" fontId="0" fillId="6" borderId="26" xfId="0" applyFill="1" applyBorder="1"/>
    <xf numFmtId="10" fontId="0" fillId="7" borderId="0" xfId="2" applyNumberFormat="1" applyFont="1" applyFill="1"/>
    <xf numFmtId="164" fontId="9" fillId="0" borderId="0" xfId="3" applyNumberFormat="1" applyFont="1" applyFill="1" applyBorder="1" applyAlignment="1">
      <alignment horizontal="left" vertical="center" indent="1"/>
    </xf>
    <xf numFmtId="175" fontId="0" fillId="0" borderId="0" xfId="0" applyNumberFormat="1"/>
    <xf numFmtId="170" fontId="9" fillId="0" borderId="0" xfId="1" applyNumberFormat="1" applyFont="1" applyFill="1" applyBorder="1" applyAlignment="1">
      <alignment horizontal="left" vertical="center" indent="1"/>
    </xf>
    <xf numFmtId="0" fontId="9" fillId="0" borderId="0" xfId="4" applyNumberFormat="1" applyFont="1" applyFill="1" applyBorder="1" applyAlignment="1">
      <alignment horizontal="left" vertical="center"/>
    </xf>
    <xf numFmtId="164" fontId="9" fillId="6" borderId="66" xfId="4" applyFont="1" applyFill="1" applyBorder="1" applyAlignment="1">
      <alignment horizontal="left" vertical="center"/>
    </xf>
    <xf numFmtId="4" fontId="9" fillId="6" borderId="0" xfId="0" applyNumberFormat="1" applyFont="1" applyFill="1" applyAlignment="1">
      <alignment horizontal="left" vertical="center"/>
    </xf>
    <xf numFmtId="164" fontId="9" fillId="6" borderId="67" xfId="4" applyFont="1" applyFill="1" applyBorder="1" applyAlignment="1">
      <alignment horizontal="left" vertical="center"/>
    </xf>
    <xf numFmtId="0" fontId="5" fillId="0" borderId="15" xfId="0" applyFont="1" applyBorder="1" applyAlignment="1">
      <alignment horizontal="left" vertical="center" indent="1"/>
    </xf>
    <xf numFmtId="0" fontId="5" fillId="0" borderId="0" xfId="0" applyFont="1" applyAlignment="1">
      <alignment horizontal="left" vertical="center" indent="1"/>
    </xf>
    <xf numFmtId="176" fontId="9" fillId="6" borderId="0" xfId="2" applyNumberFormat="1" applyFont="1" applyFill="1" applyBorder="1" applyAlignment="1">
      <alignment horizontal="left" vertical="center"/>
    </xf>
    <xf numFmtId="10" fontId="9" fillId="6" borderId="0" xfId="2" applyNumberFormat="1" applyFont="1" applyFill="1" applyBorder="1" applyAlignment="1">
      <alignment horizontal="left" vertical="center"/>
    </xf>
    <xf numFmtId="164" fontId="9" fillId="6" borderId="70" xfId="4" applyFont="1" applyFill="1" applyBorder="1" applyAlignment="1">
      <alignment horizontal="left" vertical="center"/>
    </xf>
    <xf numFmtId="4" fontId="5" fillId="6" borderId="0" xfId="0" applyNumberFormat="1" applyFont="1" applyFill="1" applyAlignment="1">
      <alignment horizontal="left" vertical="center"/>
    </xf>
    <xf numFmtId="164" fontId="9" fillId="6" borderId="7" xfId="4" applyFont="1" applyFill="1" applyBorder="1" applyAlignment="1">
      <alignment horizontal="left" vertical="center"/>
    </xf>
    <xf numFmtId="164" fontId="52" fillId="6" borderId="70" xfId="4" applyFont="1" applyFill="1" applyBorder="1" applyAlignment="1">
      <alignment horizontal="left" vertical="center"/>
    </xf>
    <xf numFmtId="177" fontId="0" fillId="0" borderId="0" xfId="0" applyNumberFormat="1"/>
    <xf numFmtId="4" fontId="9" fillId="6" borderId="11" xfId="0" applyNumberFormat="1" applyFont="1" applyFill="1" applyBorder="1" applyAlignment="1">
      <alignment horizontal="left" vertical="center"/>
    </xf>
    <xf numFmtId="176" fontId="9" fillId="6" borderId="13" xfId="2" applyNumberFormat="1" applyFont="1" applyFill="1" applyBorder="1" applyAlignment="1">
      <alignment horizontal="left" vertical="center"/>
    </xf>
    <xf numFmtId="3" fontId="9" fillId="6" borderId="0" xfId="0" applyNumberFormat="1" applyFont="1" applyFill="1" applyAlignment="1">
      <alignment horizontal="left" vertical="center"/>
    </xf>
    <xf numFmtId="15" fontId="9" fillId="0" borderId="0" xfId="4" applyNumberFormat="1" applyFont="1" applyFill="1" applyBorder="1" applyAlignment="1">
      <alignment horizontal="left" vertical="center"/>
    </xf>
    <xf numFmtId="40" fontId="9" fillId="0" borderId="0" xfId="0" applyNumberFormat="1" applyFont="1" applyAlignment="1">
      <alignment horizontal="left" vertical="center"/>
    </xf>
    <xf numFmtId="164" fontId="9" fillId="6" borderId="0" xfId="4" applyFont="1" applyFill="1" applyBorder="1" applyAlignment="1">
      <alignment horizontal="left" vertical="center"/>
    </xf>
    <xf numFmtId="178" fontId="9" fillId="6" borderId="0" xfId="4" applyNumberFormat="1" applyFont="1" applyFill="1" applyBorder="1" applyAlignment="1">
      <alignment horizontal="left" vertical="center"/>
    </xf>
    <xf numFmtId="179" fontId="9" fillId="6" borderId="0" xfId="4" applyNumberFormat="1" applyFont="1" applyFill="1" applyBorder="1" applyAlignment="1">
      <alignment horizontal="left" vertical="center"/>
    </xf>
    <xf numFmtId="43" fontId="9" fillId="6" borderId="0" xfId="1" applyFont="1" applyFill="1" applyBorder="1" applyAlignment="1">
      <alignment horizontal="left" vertical="center"/>
    </xf>
    <xf numFmtId="10" fontId="9" fillId="6" borderId="0" xfId="3" applyNumberFormat="1" applyFont="1" applyFill="1" applyBorder="1" applyAlignment="1">
      <alignment horizontal="right" vertical="center" indent="1"/>
    </xf>
    <xf numFmtId="4" fontId="9" fillId="2" borderId="1" xfId="0" applyNumberFormat="1" applyFont="1" applyFill="1" applyBorder="1" applyAlignment="1">
      <alignment horizontal="left" vertical="center" indent="1"/>
    </xf>
    <xf numFmtId="43" fontId="9" fillId="6" borderId="0" xfId="1" applyFont="1" applyFill="1" applyBorder="1" applyAlignment="1">
      <alignment horizontal="center" vertical="center"/>
    </xf>
    <xf numFmtId="169" fontId="0" fillId="6" borderId="0" xfId="4" applyNumberFormat="1" applyFont="1" applyFill="1"/>
    <xf numFmtId="0" fontId="1" fillId="0" borderId="5" xfId="8" applyBorder="1"/>
    <xf numFmtId="0" fontId="9" fillId="7" borderId="0" xfId="0" applyFont="1" applyFill="1" applyAlignment="1">
      <alignment horizontal="right" vertical="center"/>
    </xf>
    <xf numFmtId="0" fontId="1" fillId="0" borderId="2" xfId="8" applyBorder="1"/>
    <xf numFmtId="0" fontId="1" fillId="2" borderId="2" xfId="8" applyFill="1" applyBorder="1"/>
    <xf numFmtId="0" fontId="1" fillId="2" borderId="0" xfId="8" applyFill="1"/>
    <xf numFmtId="0" fontId="0" fillId="6" borderId="0" xfId="0" applyFill="1"/>
    <xf numFmtId="180" fontId="0" fillId="6" borderId="0" xfId="1" applyNumberFormat="1" applyFont="1" applyFill="1"/>
    <xf numFmtId="180" fontId="0" fillId="6" borderId="0" xfId="4" applyNumberFormat="1" applyFont="1" applyFill="1"/>
    <xf numFmtId="0" fontId="1" fillId="0" borderId="9" xfId="8" applyBorder="1"/>
    <xf numFmtId="0" fontId="1" fillId="2" borderId="9" xfId="8" applyFill="1" applyBorder="1"/>
    <xf numFmtId="164" fontId="0" fillId="6" borderId="0" xfId="0" applyNumberFormat="1" applyFill="1"/>
    <xf numFmtId="0" fontId="0" fillId="0" borderId="26" xfId="0" applyBorder="1" applyAlignment="1">
      <alignment horizontal="center"/>
    </xf>
    <xf numFmtId="0" fontId="5" fillId="2" borderId="2" xfId="0" applyFont="1" applyFill="1" applyBorder="1" applyAlignment="1">
      <alignment horizontal="left" vertical="center" indent="1"/>
    </xf>
    <xf numFmtId="0" fontId="5" fillId="2" borderId="15" xfId="0" applyFont="1" applyFill="1" applyBorder="1" applyAlignment="1">
      <alignment horizontal="left" vertical="center" wrapText="1" indent="1"/>
    </xf>
    <xf numFmtId="0" fontId="5" fillId="2" borderId="0" xfId="0" applyFont="1" applyFill="1" applyAlignment="1">
      <alignment horizontal="left" vertical="center" wrapText="1" indent="1"/>
    </xf>
    <xf numFmtId="0" fontId="5" fillId="4" borderId="2" xfId="0" applyFont="1" applyFill="1" applyBorder="1" applyAlignment="1">
      <alignment horizontal="center" vertical="center"/>
    </xf>
    <xf numFmtId="0" fontId="5" fillId="4" borderId="2" xfId="0" applyFont="1" applyFill="1" applyBorder="1" applyAlignment="1">
      <alignment horizontal="right" vertical="center" indent="1"/>
    </xf>
    <xf numFmtId="0" fontId="5" fillId="4" borderId="3"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0" fontId="5" fillId="0" borderId="15" xfId="0" applyFont="1" applyBorder="1" applyAlignment="1">
      <alignment horizontal="left" vertical="center" wrapText="1" indent="5"/>
    </xf>
    <xf numFmtId="0" fontId="5" fillId="0" borderId="0" xfId="0" applyFont="1" applyAlignment="1">
      <alignment horizontal="left" vertical="center" wrapText="1" indent="5"/>
    </xf>
    <xf numFmtId="0" fontId="5" fillId="0" borderId="68" xfId="0" applyFont="1" applyBorder="1" applyAlignment="1">
      <alignment horizontal="left" vertical="center" wrapText="1" indent="5"/>
    </xf>
    <xf numFmtId="0" fontId="5" fillId="0" borderId="69" xfId="0" applyFont="1" applyBorder="1" applyAlignment="1">
      <alignment horizontal="left" vertical="center" wrapText="1" indent="5"/>
    </xf>
    <xf numFmtId="0" fontId="5" fillId="0" borderId="0" xfId="0" applyFont="1" applyAlignment="1">
      <alignment horizontal="left" vertical="center" wrapText="1" indent="1"/>
    </xf>
    <xf numFmtId="0" fontId="5" fillId="0" borderId="68" xfId="0" applyFont="1" applyBorder="1" applyAlignment="1">
      <alignment horizontal="left" vertical="center" wrapText="1" indent="1"/>
    </xf>
    <xf numFmtId="0" fontId="5" fillId="0" borderId="69" xfId="0" applyFont="1" applyBorder="1" applyAlignment="1">
      <alignment horizontal="left" vertical="center" wrapText="1" indent="1"/>
    </xf>
    <xf numFmtId="0" fontId="9" fillId="0" borderId="16" xfId="0" applyFont="1" applyBorder="1" applyAlignment="1">
      <alignment horizontal="right" vertical="center"/>
    </xf>
    <xf numFmtId="0" fontId="9" fillId="0" borderId="15" xfId="0" applyFont="1" applyBorder="1" applyAlignment="1">
      <alignment horizontal="right" vertical="center"/>
    </xf>
    <xf numFmtId="0" fontId="9" fillId="0" borderId="68" xfId="0" applyFont="1" applyBorder="1" applyAlignment="1">
      <alignment horizontal="right" vertical="center"/>
    </xf>
    <xf numFmtId="0" fontId="5" fillId="0" borderId="16" xfId="0" applyFont="1" applyBorder="1" applyAlignment="1">
      <alignment horizontal="left" vertical="center" wrapText="1" indent="5"/>
    </xf>
    <xf numFmtId="0" fontId="5" fillId="0" borderId="65" xfId="0" applyFont="1" applyBorder="1" applyAlignment="1">
      <alignment horizontal="left" vertical="center" wrapText="1" indent="5"/>
    </xf>
    <xf numFmtId="0" fontId="5" fillId="0" borderId="15" xfId="0" applyFont="1" applyBorder="1" applyAlignment="1">
      <alignment horizontal="left" vertical="center" wrapText="1" indent="1"/>
    </xf>
    <xf numFmtId="0" fontId="5" fillId="0" borderId="16" xfId="0" applyFont="1" applyBorder="1" applyAlignment="1">
      <alignment horizontal="left" vertical="center" wrapText="1" indent="1"/>
    </xf>
    <xf numFmtId="0" fontId="5" fillId="0" borderId="65" xfId="0" applyFont="1" applyBorder="1" applyAlignment="1">
      <alignment horizontal="left" vertical="center" wrapText="1" indent="1"/>
    </xf>
    <xf numFmtId="0" fontId="5" fillId="0" borderId="16" xfId="0" applyFont="1" applyBorder="1" applyAlignment="1">
      <alignment horizontal="left" vertical="center" indent="1"/>
    </xf>
    <xf numFmtId="0" fontId="5" fillId="0" borderId="65" xfId="0" applyFont="1" applyBorder="1" applyAlignment="1">
      <alignment horizontal="left" vertical="center" indent="1"/>
    </xf>
    <xf numFmtId="0" fontId="5" fillId="0" borderId="15" xfId="0" applyFont="1" applyBorder="1" applyAlignment="1">
      <alignment horizontal="left" vertical="center" indent="1"/>
    </xf>
    <xf numFmtId="0" fontId="5" fillId="0" borderId="0" xfId="0" applyFont="1" applyAlignment="1">
      <alignment horizontal="left" vertical="center" indent="1"/>
    </xf>
    <xf numFmtId="38" fontId="44" fillId="7" borderId="20" xfId="9" applyNumberFormat="1" applyFont="1" applyFill="1" applyBorder="1" applyAlignment="1">
      <alignment horizontal="left" vertical="center" wrapText="1"/>
    </xf>
    <xf numFmtId="38" fontId="44" fillId="7" borderId="21" xfId="9" applyNumberFormat="1" applyFont="1" applyFill="1" applyBorder="1" applyAlignment="1">
      <alignment horizontal="left" vertical="center" wrapText="1"/>
    </xf>
    <xf numFmtId="4" fontId="50" fillId="2" borderId="0" xfId="0" applyNumberFormat="1" applyFont="1" applyFill="1" applyAlignment="1">
      <alignment horizontal="right" vertical="center" indent="1"/>
    </xf>
    <xf numFmtId="164" fontId="21" fillId="0" borderId="0" xfId="4" applyFont="1" applyFill="1" applyBorder="1" applyAlignment="1">
      <alignment horizontal="center" vertical="center"/>
    </xf>
    <xf numFmtId="4" fontId="35" fillId="0" borderId="11" xfId="0" applyNumberFormat="1" applyFont="1" applyBorder="1" applyAlignment="1">
      <alignment horizontal="right" vertical="center"/>
    </xf>
    <xf numFmtId="4" fontId="35" fillId="0" borderId="12" xfId="0" applyNumberFormat="1" applyFont="1" applyBorder="1" applyAlignment="1">
      <alignment horizontal="right" vertical="center"/>
    </xf>
    <xf numFmtId="4" fontId="35" fillId="0" borderId="13" xfId="0" applyNumberFormat="1" applyFont="1" applyBorder="1" applyAlignment="1">
      <alignment horizontal="right" vertical="center"/>
    </xf>
    <xf numFmtId="0" fontId="59" fillId="0" borderId="28" xfId="8" applyFont="1" applyBorder="1" applyAlignment="1">
      <alignment horizontal="center" vertical="center"/>
    </xf>
    <xf numFmtId="0" fontId="59" fillId="0" borderId="29" xfId="8" applyFont="1" applyBorder="1" applyAlignment="1">
      <alignment horizontal="center" vertical="center"/>
    </xf>
    <xf numFmtId="0" fontId="59" fillId="0" borderId="30" xfId="8" applyFont="1" applyBorder="1" applyAlignment="1">
      <alignment horizontal="center" vertical="center"/>
    </xf>
    <xf numFmtId="0" fontId="22" fillId="0" borderId="28" xfId="0" applyFont="1" applyBorder="1" applyAlignment="1">
      <alignment horizontal="center" vertical="center"/>
    </xf>
    <xf numFmtId="0" fontId="22" fillId="0" borderId="29" xfId="0" applyFont="1" applyBorder="1" applyAlignment="1">
      <alignment horizontal="center" vertical="center"/>
    </xf>
    <xf numFmtId="0" fontId="22" fillId="0" borderId="30" xfId="0" applyFont="1" applyBorder="1" applyAlignment="1">
      <alignment horizontal="center" vertical="center"/>
    </xf>
    <xf numFmtId="0" fontId="9" fillId="5" borderId="34" xfId="0" applyFont="1" applyFill="1" applyBorder="1" applyAlignment="1">
      <alignment horizontal="left" vertical="center" indent="1"/>
    </xf>
    <xf numFmtId="0" fontId="9" fillId="5" borderId="38" xfId="0" applyFont="1" applyFill="1" applyBorder="1" applyAlignment="1">
      <alignment horizontal="left" vertical="center" indent="1"/>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9" fillId="17" borderId="33" xfId="0" applyFont="1" applyFill="1" applyBorder="1" applyAlignment="1">
      <alignment horizontal="center"/>
    </xf>
    <xf numFmtId="0" fontId="9" fillId="7" borderId="33" xfId="0" applyFont="1" applyFill="1" applyBorder="1" applyAlignment="1">
      <alignment horizont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21" fillId="0" borderId="28"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30" xfId="0" applyFont="1" applyBorder="1" applyAlignment="1">
      <alignment horizontal="center" vertical="center" wrapText="1"/>
    </xf>
    <xf numFmtId="0" fontId="9" fillId="2" borderId="32" xfId="0" applyFont="1" applyFill="1" applyBorder="1" applyAlignment="1">
      <alignment horizontal="center"/>
    </xf>
    <xf numFmtId="0" fontId="9" fillId="13" borderId="32" xfId="0" applyFont="1" applyFill="1" applyBorder="1" applyAlignment="1">
      <alignment horizontal="center"/>
    </xf>
    <xf numFmtId="0" fontId="9" fillId="14" borderId="32" xfId="0" applyFont="1" applyFill="1" applyBorder="1" applyAlignment="1">
      <alignment horizontal="center"/>
    </xf>
    <xf numFmtId="0" fontId="9" fillId="15" borderId="33" xfId="0" applyFont="1" applyFill="1" applyBorder="1" applyAlignment="1">
      <alignment horizontal="center"/>
    </xf>
    <xf numFmtId="0" fontId="9" fillId="16" borderId="33" xfId="0" applyFont="1" applyFill="1" applyBorder="1" applyAlignment="1">
      <alignment horizontal="center"/>
    </xf>
  </cellXfs>
  <cellStyles count="10">
    <cellStyle name="Comma" xfId="1" builtinId="3"/>
    <cellStyle name="Comma 2" xfId="4" xr:uid="{8F83580C-6E47-4F2F-B22C-D256A57B25F3}"/>
    <cellStyle name="Comma 2 4" xfId="6" xr:uid="{0A4BBEBF-FA36-4A9E-85CC-E6320618CFEF}"/>
    <cellStyle name="Comma 24 2" xfId="5" xr:uid="{C99D30CB-6359-41AD-A487-2A27BA864A03}"/>
    <cellStyle name="Comma 4" xfId="9" xr:uid="{8AFFA592-E2B6-4B51-B76B-804434D7C935}"/>
    <cellStyle name="Normal" xfId="0" builtinId="0"/>
    <cellStyle name="Normal 2 4 8" xfId="8" xr:uid="{175686BD-FC75-4323-B3C8-8C27A83E63D3}"/>
    <cellStyle name="Normal 9" xfId="7" xr:uid="{9FDEC450-A8F4-479E-AC84-D6D5C071FF3C}"/>
    <cellStyle name="Percent" xfId="2" builtinId="5"/>
    <cellStyle name="Percent 2" xfId="3" xr:uid="{5980F267-DE51-48B9-BDDC-13054434C0E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ga001-sp.shell.com/Users/Arash.Aref/AppData/Local/Microsoft/Windows/Temporary%20Internet%20Files/Content.Outlook/431RQ18I/July%202017%20DPR%20Final%20Theft%20Model%20West%20Total%20loss_D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unji.Adesina/Desktop/Desktop/HCIC%20-%20Task/Fiscalised%20Report/2023%20Document/02.%20West%20Fiscalised_February_2023_Publish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y_Fix_Values"/>
      <sheetName val="East Sep 15"/>
      <sheetName val="East Aug 15"/>
      <sheetName val="NCTL Jan 2017"/>
      <sheetName val="FINAL Report"/>
      <sheetName val=" Terminal Jan 2017-Not USE"/>
      <sheetName val="Report Terminal-Not USE"/>
      <sheetName val="Instruction"/>
      <sheetName val="HCA_Input"/>
      <sheetName val="Terminal DPR"/>
      <sheetName val="NCTL DPR "/>
    </sheetNames>
    <sheetDataSet>
      <sheetData sheetId="0">
        <row r="18">
          <cell r="D18">
            <v>0.98260000000000003</v>
          </cell>
        </row>
      </sheetData>
      <sheetData sheetId="1" refreshError="1"/>
      <sheetData sheetId="2" refreshError="1"/>
      <sheetData sheetId="3" refreshError="1"/>
      <sheetData sheetId="4" refreshError="1"/>
      <sheetData sheetId="5" refreshError="1"/>
      <sheetData sheetId="6" refreshError="1"/>
      <sheetData sheetId="7" refreshError="1"/>
      <sheetData sheetId="8">
        <row r="4">
          <cell r="Q4" t="str">
            <v>L0</v>
          </cell>
        </row>
      </sheetData>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Oil Allocated summary"/>
      <sheetName val="NPDC_HCA_Input "/>
      <sheetName val="Water Calculation Sheet"/>
      <sheetName val="Adj_NPDC_HCA_Input"/>
      <sheetName val="FRM - FOT Terminal DPR"/>
      <sheetName val="SEPLAT Abura Split"/>
      <sheetName val="EC input"/>
      <sheetName val="D048"/>
    </sheetNames>
    <sheetDataSet>
      <sheetData sheetId="0" refreshError="1"/>
      <sheetData sheetId="1">
        <row r="31">
          <cell r="H31">
            <v>66047.750872639284</v>
          </cell>
          <cell r="I31">
            <v>0</v>
          </cell>
          <cell r="J31">
            <v>2902.2491273607175</v>
          </cell>
          <cell r="K31">
            <v>68950</v>
          </cell>
        </row>
        <row r="32">
          <cell r="H32">
            <v>3001</v>
          </cell>
          <cell r="K32">
            <v>3001</v>
          </cell>
        </row>
        <row r="33">
          <cell r="H33">
            <v>427626.37855418434</v>
          </cell>
          <cell r="I33">
            <v>0</v>
          </cell>
          <cell r="J33">
            <v>18790.621445815654</v>
          </cell>
          <cell r="K33">
            <v>446417</v>
          </cell>
        </row>
        <row r="34">
          <cell r="H34">
            <v>29365</v>
          </cell>
          <cell r="K34">
            <v>29365</v>
          </cell>
        </row>
        <row r="35">
          <cell r="H35">
            <v>478169.74792104296</v>
          </cell>
          <cell r="I35">
            <v>0</v>
          </cell>
          <cell r="J35">
            <v>21011.582003907919</v>
          </cell>
          <cell r="K35">
            <v>499180.32992495084</v>
          </cell>
        </row>
        <row r="36">
          <cell r="H36">
            <v>242677.29399474926</v>
          </cell>
          <cell r="K36">
            <v>242678.2939947492</v>
          </cell>
        </row>
        <row r="41">
          <cell r="H41">
            <v>206061.07756684502</v>
          </cell>
          <cell r="I41">
            <v>0</v>
          </cell>
          <cell r="J41">
            <v>9054.6699115401279</v>
          </cell>
          <cell r="K41">
            <v>215115.74747838511</v>
          </cell>
        </row>
        <row r="42">
          <cell r="H42">
            <v>189504.85314984713</v>
          </cell>
          <cell r="K42">
            <v>189504.85314984713</v>
          </cell>
        </row>
        <row r="47">
          <cell r="H47">
            <v>371391.38466967456</v>
          </cell>
          <cell r="I47">
            <v>0</v>
          </cell>
          <cell r="J47">
            <v>16319.561345023278</v>
          </cell>
          <cell r="K47">
            <v>387710.94601469778</v>
          </cell>
        </row>
        <row r="48">
          <cell r="H48">
            <v>465294.91374301515</v>
          </cell>
          <cell r="K48">
            <v>465294.91374301515</v>
          </cell>
        </row>
      </sheetData>
      <sheetData sheetId="2"/>
      <sheetData sheetId="3" refreshError="1"/>
      <sheetData sheetId="4">
        <row r="4">
          <cell r="S4" t="str">
            <v>L0</v>
          </cell>
          <cell r="T4">
            <v>1</v>
          </cell>
          <cell r="X4" t="str">
            <v>NL</v>
          </cell>
          <cell r="Y4">
            <v>0.99</v>
          </cell>
        </row>
        <row r="5">
          <cell r="B5" t="str">
            <v>BENS/1</v>
          </cell>
          <cell r="C5">
            <v>0</v>
          </cell>
          <cell r="D5">
            <v>0</v>
          </cell>
          <cell r="E5">
            <v>0</v>
          </cell>
          <cell r="G5" t="str">
            <v>Non-LACT</v>
          </cell>
          <cell r="J5" t="str">
            <v>NL2</v>
          </cell>
          <cell r="K5" t="str">
            <v>Yes</v>
          </cell>
          <cell r="L5" t="str">
            <v>No</v>
          </cell>
          <cell r="M5" t="str">
            <v>Yes</v>
          </cell>
          <cell r="N5" t="str">
            <v>Online BS&amp;W Meter</v>
          </cell>
          <cell r="S5" t="str">
            <v>L0</v>
          </cell>
          <cell r="T5">
            <v>1</v>
          </cell>
          <cell r="X5" t="str">
            <v>NL0</v>
          </cell>
          <cell r="Y5">
            <v>1</v>
          </cell>
        </row>
        <row r="6">
          <cell r="B6" t="str">
            <v>ESCB/1</v>
          </cell>
          <cell r="C6">
            <v>388526.76683077199</v>
          </cell>
          <cell r="D6">
            <v>0.38733061065257302</v>
          </cell>
          <cell r="E6">
            <v>238038.45697933921</v>
          </cell>
          <cell r="G6" t="str">
            <v>Non-LACT</v>
          </cell>
          <cell r="J6" t="str">
            <v>NL0</v>
          </cell>
          <cell r="K6" t="str">
            <v>Yes</v>
          </cell>
          <cell r="L6" t="str">
            <v>No</v>
          </cell>
          <cell r="M6" t="str">
            <v>Yes</v>
          </cell>
          <cell r="N6" t="str">
            <v>Online BS&amp;W Meter</v>
          </cell>
          <cell r="S6" t="str">
            <v>L1</v>
          </cell>
          <cell r="T6">
            <v>0.99</v>
          </cell>
          <cell r="X6" t="str">
            <v>NL1</v>
          </cell>
          <cell r="Y6">
            <v>0.99</v>
          </cell>
        </row>
        <row r="7">
          <cell r="B7" t="str">
            <v>FORC/2</v>
          </cell>
          <cell r="C7">
            <v>977418.77884359797</v>
          </cell>
          <cell r="D7">
            <v>0.31644530336964599</v>
          </cell>
          <cell r="E7">
            <v>668119.19685324677</v>
          </cell>
          <cell r="G7" t="str">
            <v>Non-LACT</v>
          </cell>
          <cell r="J7" t="str">
            <v>NL0</v>
          </cell>
          <cell r="K7" t="str">
            <v>Yes</v>
          </cell>
          <cell r="L7" t="str">
            <v>No</v>
          </cell>
          <cell r="M7" t="str">
            <v>Yes</v>
          </cell>
          <cell r="N7" t="str">
            <v>Online BS&amp;W Meter</v>
          </cell>
          <cell r="S7" t="str">
            <v>L2</v>
          </cell>
          <cell r="T7">
            <v>0.98</v>
          </cell>
          <cell r="X7" t="str">
            <v>NL2</v>
          </cell>
          <cell r="Y7">
            <v>0.98</v>
          </cell>
        </row>
        <row r="8">
          <cell r="B8" t="str">
            <v>FORC/3</v>
          </cell>
          <cell r="C8">
            <v>446101.93292834098</v>
          </cell>
          <cell r="D8">
            <v>0.20105965171849399</v>
          </cell>
          <cell r="E8">
            <v>356408.83366282179</v>
          </cell>
          <cell r="G8" t="str">
            <v>Non-LACT</v>
          </cell>
          <cell r="J8" t="str">
            <v>NL0</v>
          </cell>
          <cell r="K8" t="str">
            <v>Yes</v>
          </cell>
          <cell r="L8" t="str">
            <v>No</v>
          </cell>
          <cell r="M8" t="str">
            <v>Yes</v>
          </cell>
          <cell r="N8" t="str">
            <v>Online BS&amp;W Meter</v>
          </cell>
        </row>
        <row r="9">
          <cell r="B9" t="str">
            <v>FORC/4</v>
          </cell>
          <cell r="C9">
            <v>654961.15551352501</v>
          </cell>
          <cell r="D9">
            <v>0.60235874800594003</v>
          </cell>
          <cell r="E9">
            <v>260439.5738858743</v>
          </cell>
          <cell r="G9" t="str">
            <v>Non-LACT</v>
          </cell>
          <cell r="J9" t="str">
            <v>NL0</v>
          </cell>
          <cell r="K9" t="str">
            <v>Yes</v>
          </cell>
          <cell r="L9" t="str">
            <v>No</v>
          </cell>
          <cell r="M9" t="str">
            <v>Yes</v>
          </cell>
          <cell r="N9" t="str">
            <v>Online BS&amp;W Meter</v>
          </cell>
        </row>
        <row r="10">
          <cell r="B10" t="str">
            <v>FORC/GP</v>
          </cell>
          <cell r="C10">
            <v>4446</v>
          </cell>
          <cell r="D10">
            <v>0.30515546051114301</v>
          </cell>
          <cell r="E10">
            <v>3089.2788225674585</v>
          </cell>
          <cell r="G10" t="str">
            <v>Non-LACT</v>
          </cell>
          <cell r="J10" t="str">
            <v>NL0</v>
          </cell>
          <cell r="K10" t="str">
            <v>Yes</v>
          </cell>
          <cell r="L10" t="str">
            <v>Yes</v>
          </cell>
          <cell r="M10" t="str">
            <v>No</v>
          </cell>
          <cell r="N10" t="str">
            <v>Online BS&amp;W Meter</v>
          </cell>
        </row>
        <row r="11">
          <cell r="B11" t="str">
            <v>Opuama</v>
          </cell>
          <cell r="C11">
            <v>1012835</v>
          </cell>
          <cell r="D11">
            <v>0.22063678415042914</v>
          </cell>
          <cell r="E11">
            <v>789366.34272500011</v>
          </cell>
          <cell r="G11" t="str">
            <v>Non-LACT</v>
          </cell>
          <cell r="J11" t="str">
            <v>NL2</v>
          </cell>
          <cell r="K11" t="str">
            <v>Yes</v>
          </cell>
          <cell r="L11" t="str">
            <v>No</v>
          </cell>
          <cell r="M11" t="str">
            <v>Yes</v>
          </cell>
          <cell r="N11" t="str">
            <v>Manual Sampling</v>
          </cell>
        </row>
        <row r="12">
          <cell r="B12" t="str">
            <v>OPUK/1</v>
          </cell>
          <cell r="C12">
            <v>138901.08280331001</v>
          </cell>
          <cell r="D12">
            <v>0.30253979756741201</v>
          </cell>
          <cell r="E12">
            <v>96877.977330102265</v>
          </cell>
          <cell r="G12" t="str">
            <v>Non-LACT</v>
          </cell>
          <cell r="J12" t="str">
            <v>NL0</v>
          </cell>
          <cell r="K12" t="str">
            <v>Yes</v>
          </cell>
          <cell r="L12" t="str">
            <v>No</v>
          </cell>
          <cell r="M12" t="str">
            <v>Yes</v>
          </cell>
          <cell r="N12" t="str">
            <v>Online BS&amp;W Meter</v>
          </cell>
        </row>
        <row r="13">
          <cell r="B13" t="str">
            <v>OTUM/1</v>
          </cell>
          <cell r="C13">
            <v>1405648.5611352001</v>
          </cell>
          <cell r="D13">
            <v>0.64947422513765196</v>
          </cell>
          <cell r="E13">
            <v>492716.05107606063</v>
          </cell>
          <cell r="G13" t="str">
            <v>Non-LACT</v>
          </cell>
          <cell r="J13" t="str">
            <v>NL0</v>
          </cell>
          <cell r="K13" t="str">
            <v>Yes</v>
          </cell>
          <cell r="L13" t="str">
            <v>No</v>
          </cell>
          <cell r="M13" t="str">
            <v>Yes</v>
          </cell>
          <cell r="N13" t="str">
            <v>Online BS&amp;W Meter</v>
          </cell>
        </row>
        <row r="14">
          <cell r="B14" t="str">
            <v>TUNU CPF</v>
          </cell>
          <cell r="C14">
            <v>58404.651603904997</v>
          </cell>
          <cell r="D14">
            <v>0</v>
          </cell>
          <cell r="E14">
            <v>58404.651603904997</v>
          </cell>
          <cell r="G14" t="str">
            <v>Non-LACT</v>
          </cell>
          <cell r="J14" t="str">
            <v>NL0</v>
          </cell>
          <cell r="K14" t="str">
            <v>Yes</v>
          </cell>
          <cell r="L14" t="str">
            <v>No</v>
          </cell>
          <cell r="M14" t="str">
            <v>No</v>
          </cell>
          <cell r="N14" t="str">
            <v>Online BS&amp;W Meter</v>
          </cell>
        </row>
        <row r="15">
          <cell r="B15" t="str">
            <v>OGBO/1</v>
          </cell>
          <cell r="C15">
            <v>344274.248514187</v>
          </cell>
          <cell r="D15">
            <v>0.38780363856362698</v>
          </cell>
          <cell r="E15">
            <v>210763.44227662694</v>
          </cell>
          <cell r="G15" t="str">
            <v>Non-LACT</v>
          </cell>
          <cell r="J15" t="str">
            <v>NL0</v>
          </cell>
          <cell r="K15" t="str">
            <v>Yes</v>
          </cell>
          <cell r="L15" t="str">
            <v>No</v>
          </cell>
          <cell r="M15" t="str">
            <v>Yes</v>
          </cell>
          <cell r="N15" t="str">
            <v>Online BS&amp;W Meter</v>
          </cell>
        </row>
        <row r="16">
          <cell r="B16" t="str">
            <v>TUNU/1</v>
          </cell>
          <cell r="C16">
            <v>686795.36996798799</v>
          </cell>
          <cell r="D16">
            <v>0.34910841663526698</v>
          </cell>
          <cell r="E16">
            <v>447029.32580603135</v>
          </cell>
          <cell r="G16" t="str">
            <v>Non-LACT</v>
          </cell>
          <cell r="J16" t="str">
            <v>NL0</v>
          </cell>
          <cell r="K16" t="str">
            <v>Yes</v>
          </cell>
          <cell r="L16" t="str">
            <v>No</v>
          </cell>
          <cell r="M16" t="str">
            <v>Yes</v>
          </cell>
          <cell r="N16" t="str">
            <v>Online BS&amp;W Meter</v>
          </cell>
        </row>
        <row r="17">
          <cell r="B17" t="str">
            <v>NTBK CPF</v>
          </cell>
          <cell r="C17">
            <v>15958.22</v>
          </cell>
          <cell r="D17">
            <v>0</v>
          </cell>
          <cell r="E17">
            <v>15958.22</v>
          </cell>
          <cell r="G17" t="str">
            <v>Non-LACT</v>
          </cell>
          <cell r="J17" t="str">
            <v>NL0</v>
          </cell>
          <cell r="K17" t="str">
            <v>Yes</v>
          </cell>
          <cell r="L17" t="str">
            <v>No</v>
          </cell>
          <cell r="M17" t="str">
            <v>Yes</v>
          </cell>
        </row>
        <row r="18">
          <cell r="B18" t="str">
            <v>PIPELINE ENGR. FLUSH WATER</v>
          </cell>
          <cell r="C18">
            <v>240683.62000000002</v>
          </cell>
          <cell r="D18">
            <v>1</v>
          </cell>
          <cell r="E18">
            <v>0</v>
          </cell>
          <cell r="G18" t="str">
            <v>Non-LACT</v>
          </cell>
          <cell r="J18" t="str">
            <v>NL0</v>
          </cell>
          <cell r="K18" t="str">
            <v>Yes</v>
          </cell>
          <cell r="L18" t="str">
            <v>No</v>
          </cell>
          <cell r="M18" t="str">
            <v>No</v>
          </cell>
          <cell r="N18" t="str">
            <v>Online BS&amp;W Meter</v>
          </cell>
        </row>
        <row r="19">
          <cell r="B19" t="str">
            <v>EXCEL E&amp;P</v>
          </cell>
          <cell r="C19">
            <v>62069.696359999856</v>
          </cell>
          <cell r="D19">
            <v>1.6907311063567656E-2</v>
          </cell>
          <cell r="E19">
            <v>61020.264696020145</v>
          </cell>
          <cell r="G19" t="str">
            <v>Non-LACT</v>
          </cell>
          <cell r="J19" t="str">
            <v>NL2</v>
          </cell>
          <cell r="K19" t="str">
            <v>Yes</v>
          </cell>
          <cell r="L19" t="str">
            <v>No</v>
          </cell>
          <cell r="M19" t="str">
            <v>Yes</v>
          </cell>
          <cell r="N19" t="str">
            <v>Manual Sampling</v>
          </cell>
        </row>
        <row r="20">
          <cell r="B20" t="str">
            <v>Ogini</v>
          </cell>
          <cell r="C20">
            <v>326516.22010949999</v>
          </cell>
          <cell r="D20">
            <v>0.58906312374453995</v>
          </cell>
          <cell r="E20">
            <v>134177.55553853814</v>
          </cell>
          <cell r="G20" t="str">
            <v>LACT</v>
          </cell>
          <cell r="J20" t="str">
            <v>L2</v>
          </cell>
          <cell r="K20" t="str">
            <v>Yes</v>
          </cell>
          <cell r="L20" t="str">
            <v>No</v>
          </cell>
          <cell r="M20" t="str">
            <v>Yes</v>
          </cell>
          <cell r="N20" t="str">
            <v>Auto Sampler</v>
          </cell>
        </row>
        <row r="21">
          <cell r="B21" t="str">
            <v>Afiesere</v>
          </cell>
          <cell r="C21">
            <v>789098.51870000002</v>
          </cell>
          <cell r="D21">
            <v>0.75127577286123726</v>
          </cell>
          <cell r="E21">
            <v>196267.9192</v>
          </cell>
          <cell r="G21" t="str">
            <v>Non-LACT</v>
          </cell>
          <cell r="J21" t="str">
            <v>NL1</v>
          </cell>
          <cell r="K21" t="str">
            <v>Yes</v>
          </cell>
          <cell r="L21" t="str">
            <v>No</v>
          </cell>
          <cell r="M21" t="str">
            <v>Yes</v>
          </cell>
          <cell r="N21" t="str">
            <v>Auto Sampler</v>
          </cell>
        </row>
        <row r="22">
          <cell r="B22" t="str">
            <v>Eriemu LACT (Eriemu, Olomoro, Oweh &amp; Uzere)</v>
          </cell>
          <cell r="C22">
            <v>2704176.8040999998</v>
          </cell>
          <cell r="D22">
            <v>0.73705216544202512</v>
          </cell>
          <cell r="E22">
            <v>711057.43489999999</v>
          </cell>
          <cell r="G22" t="str">
            <v>LACT</v>
          </cell>
          <cell r="J22" t="str">
            <v>L2</v>
          </cell>
          <cell r="K22" t="str">
            <v>Yes</v>
          </cell>
          <cell r="L22" t="str">
            <v>No</v>
          </cell>
          <cell r="M22" t="str">
            <v>Yes</v>
          </cell>
          <cell r="N22" t="str">
            <v>Auto Sampler</v>
          </cell>
        </row>
        <row r="23">
          <cell r="B23" t="str">
            <v>Osioka  LACT (Evwreni &amp; Oroni)</v>
          </cell>
          <cell r="C23">
            <v>105758.99210000002</v>
          </cell>
          <cell r="D23">
            <v>0.35923439648589484</v>
          </cell>
          <cell r="E23">
            <v>67766.724399999992</v>
          </cell>
          <cell r="G23" t="str">
            <v>LACT</v>
          </cell>
          <cell r="J23" t="str">
            <v>L0</v>
          </cell>
          <cell r="K23" t="str">
            <v>Yes</v>
          </cell>
          <cell r="L23" t="str">
            <v>No</v>
          </cell>
          <cell r="M23" t="str">
            <v>Yes</v>
          </cell>
          <cell r="N23" t="str">
            <v>Auto Sampler</v>
          </cell>
        </row>
        <row r="24">
          <cell r="B24" t="str">
            <v>Kokori</v>
          </cell>
          <cell r="C24">
            <v>674893.18800000008</v>
          </cell>
          <cell r="D24">
            <v>0.76159225835896271</v>
          </cell>
          <cell r="E24">
            <v>160899.76080000005</v>
          </cell>
          <cell r="G24" t="str">
            <v>Non-LACT</v>
          </cell>
          <cell r="J24" t="str">
            <v>NL1</v>
          </cell>
          <cell r="K24" t="str">
            <v>Yes</v>
          </cell>
          <cell r="L24" t="str">
            <v>No</v>
          </cell>
          <cell r="M24" t="str">
            <v>Yes</v>
          </cell>
          <cell r="N24" t="str">
            <v>Auto Sampler</v>
          </cell>
        </row>
        <row r="25">
          <cell r="B25" t="str">
            <v>Olomoro</v>
          </cell>
          <cell r="C25">
            <v>0</v>
          </cell>
          <cell r="D25">
            <v>0</v>
          </cell>
          <cell r="E25">
            <v>0</v>
          </cell>
          <cell r="G25" t="str">
            <v>Non-LACT</v>
          </cell>
          <cell r="J25" t="str">
            <v>NL2</v>
          </cell>
          <cell r="K25" t="str">
            <v>Yes</v>
          </cell>
          <cell r="L25" t="str">
            <v>No</v>
          </cell>
          <cell r="M25" t="str">
            <v>Yes</v>
          </cell>
          <cell r="N25" t="str">
            <v>Auto Sampler</v>
          </cell>
        </row>
        <row r="26">
          <cell r="B26" t="str">
            <v>Oroni</v>
          </cell>
          <cell r="C26">
            <v>0</v>
          </cell>
          <cell r="D26">
            <v>0</v>
          </cell>
          <cell r="E26">
            <v>0</v>
          </cell>
          <cell r="G26" t="str">
            <v>Non-LACT</v>
          </cell>
          <cell r="J26" t="str">
            <v>NL2</v>
          </cell>
          <cell r="K26" t="str">
            <v>Yes</v>
          </cell>
          <cell r="L26" t="str">
            <v>No</v>
          </cell>
          <cell r="M26" t="str">
            <v>Yes</v>
          </cell>
          <cell r="N26" t="str">
            <v>Auto Sampler</v>
          </cell>
        </row>
        <row r="27">
          <cell r="B27" t="str">
            <v>Oweh</v>
          </cell>
          <cell r="C27">
            <v>0</v>
          </cell>
          <cell r="D27">
            <v>0</v>
          </cell>
          <cell r="E27">
            <v>0</v>
          </cell>
          <cell r="G27" t="str">
            <v>Non-LACT</v>
          </cell>
          <cell r="J27" t="str">
            <v>NL2</v>
          </cell>
          <cell r="K27" t="str">
            <v>Yes</v>
          </cell>
          <cell r="L27" t="str">
            <v>No</v>
          </cell>
          <cell r="M27" t="str">
            <v>Yes</v>
          </cell>
          <cell r="N27" t="str">
            <v>Auto Sampler</v>
          </cell>
        </row>
        <row r="28">
          <cell r="B28" t="str">
            <v>Uzere</v>
          </cell>
          <cell r="C28">
            <v>0</v>
          </cell>
          <cell r="D28">
            <v>0</v>
          </cell>
          <cell r="E28">
            <v>0</v>
          </cell>
          <cell r="G28" t="str">
            <v>Non-LACT</v>
          </cell>
          <cell r="J28" t="str">
            <v>NL2</v>
          </cell>
          <cell r="K28" t="str">
            <v>Yes</v>
          </cell>
          <cell r="L28" t="str">
            <v>No</v>
          </cell>
          <cell r="M28" t="str">
            <v>Yes</v>
          </cell>
          <cell r="N28" t="str">
            <v>Auto Sampler</v>
          </cell>
        </row>
        <row r="29">
          <cell r="B29" t="str">
            <v>Ughelli_E LACT</v>
          </cell>
          <cell r="C29">
            <v>440470.25247407425</v>
          </cell>
          <cell r="D29">
            <v>0.49558503586557923</v>
          </cell>
          <cell r="E29">
            <v>222179.78660398943</v>
          </cell>
          <cell r="G29" t="str">
            <v>LACT</v>
          </cell>
          <cell r="J29" t="str">
            <v>L0</v>
          </cell>
          <cell r="K29" t="str">
            <v>Yes</v>
          </cell>
          <cell r="L29" t="str">
            <v>No</v>
          </cell>
          <cell r="M29" t="str">
            <v>Yes</v>
          </cell>
          <cell r="N29" t="str">
            <v>Auto Sampler</v>
          </cell>
        </row>
        <row r="30">
          <cell r="B30" t="str">
            <v>Ughelli_W</v>
          </cell>
          <cell r="C30">
            <v>0</v>
          </cell>
          <cell r="D30">
            <v>0</v>
          </cell>
          <cell r="E30">
            <v>0</v>
          </cell>
          <cell r="G30" t="str">
            <v>Non-LACT</v>
          </cell>
          <cell r="J30" t="str">
            <v>NL2</v>
          </cell>
          <cell r="K30" t="str">
            <v>Yes</v>
          </cell>
          <cell r="L30" t="str">
            <v>No</v>
          </cell>
          <cell r="M30" t="str">
            <v>No</v>
          </cell>
          <cell r="N30" t="str">
            <v>Manual Sampling</v>
          </cell>
        </row>
        <row r="31">
          <cell r="B31" t="str">
            <v>Utorogu LACT</v>
          </cell>
          <cell r="C31">
            <v>817156.20791187091</v>
          </cell>
          <cell r="D31">
            <v>0.53418097641112738</v>
          </cell>
          <cell r="E31">
            <v>380646.90688909352</v>
          </cell>
          <cell r="G31" t="str">
            <v>LACT</v>
          </cell>
          <cell r="J31" t="str">
            <v>L0</v>
          </cell>
          <cell r="K31" t="str">
            <v>Yes</v>
          </cell>
          <cell r="L31" t="str">
            <v>No</v>
          </cell>
          <cell r="M31" t="str">
            <v>Yes</v>
          </cell>
          <cell r="N31" t="str">
            <v>Auto Sampler</v>
          </cell>
        </row>
        <row r="32">
          <cell r="B32" t="str">
            <v>Utorogu GP</v>
          </cell>
          <cell r="C32">
            <v>0</v>
          </cell>
          <cell r="D32">
            <v>0</v>
          </cell>
          <cell r="E32">
            <v>0</v>
          </cell>
          <cell r="G32" t="str">
            <v>Non-LACT</v>
          </cell>
          <cell r="J32" t="str">
            <v>NL2</v>
          </cell>
          <cell r="K32" t="str">
            <v>Yes</v>
          </cell>
          <cell r="L32" t="str">
            <v>No</v>
          </cell>
          <cell r="M32" t="str">
            <v>No</v>
          </cell>
          <cell r="N32" t="str">
            <v>Manual Sampling</v>
          </cell>
          <cell r="S32">
            <v>0.98260000000000003</v>
          </cell>
        </row>
        <row r="33">
          <cell r="B33" t="str">
            <v>Warri River</v>
          </cell>
          <cell r="C33">
            <v>0</v>
          </cell>
          <cell r="D33">
            <v>0</v>
          </cell>
          <cell r="E33">
            <v>0</v>
          </cell>
          <cell r="G33" t="str">
            <v>Non-LACT</v>
          </cell>
          <cell r="J33" t="str">
            <v>NL2</v>
          </cell>
          <cell r="K33" t="str">
            <v>Yes</v>
          </cell>
          <cell r="L33" t="str">
            <v>No</v>
          </cell>
          <cell r="M33" t="str">
            <v>No</v>
          </cell>
          <cell r="N33" t="str">
            <v>Manual Sampling</v>
          </cell>
        </row>
        <row r="34">
          <cell r="B34" t="str">
            <v>Jones Creek</v>
          </cell>
          <cell r="C34">
            <v>0</v>
          </cell>
          <cell r="D34">
            <v>0</v>
          </cell>
          <cell r="E34">
            <v>0</v>
          </cell>
          <cell r="G34" t="str">
            <v>Non-LACT</v>
          </cell>
          <cell r="J34" t="str">
            <v>NL2</v>
          </cell>
          <cell r="K34" t="str">
            <v>Yes</v>
          </cell>
          <cell r="L34" t="str">
            <v>No</v>
          </cell>
          <cell r="M34" t="str">
            <v>No</v>
          </cell>
          <cell r="N34" t="str">
            <v>Manual Sampling</v>
          </cell>
        </row>
        <row r="35">
          <cell r="B35" t="str">
            <v>Egwa 1</v>
          </cell>
          <cell r="C35">
            <v>0</v>
          </cell>
          <cell r="D35">
            <v>0</v>
          </cell>
          <cell r="E35">
            <v>0</v>
          </cell>
          <cell r="G35" t="str">
            <v>Non-LACT</v>
          </cell>
          <cell r="J35" t="str">
            <v>NL2</v>
          </cell>
          <cell r="K35" t="str">
            <v>Yes</v>
          </cell>
          <cell r="L35" t="str">
            <v>No</v>
          </cell>
          <cell r="M35" t="str">
            <v>No</v>
          </cell>
          <cell r="N35" t="str">
            <v>Manual Sampling</v>
          </cell>
        </row>
        <row r="36">
          <cell r="B36" t="str">
            <v>Egwa 2</v>
          </cell>
          <cell r="C36">
            <v>0</v>
          </cell>
          <cell r="D36">
            <v>0</v>
          </cell>
          <cell r="E36">
            <v>0</v>
          </cell>
          <cell r="G36" t="str">
            <v>Non-LACT</v>
          </cell>
          <cell r="J36" t="str">
            <v>NL2</v>
          </cell>
          <cell r="K36" t="str">
            <v>Yes</v>
          </cell>
          <cell r="L36" t="str">
            <v>No</v>
          </cell>
          <cell r="M36" t="str">
            <v>No</v>
          </cell>
          <cell r="N36" t="str">
            <v>Manual Sampling</v>
          </cell>
        </row>
        <row r="37">
          <cell r="B37" t="str">
            <v>Batan/Ajuju</v>
          </cell>
          <cell r="C37">
            <v>87651.64312528001</v>
          </cell>
          <cell r="D37">
            <v>0.43024045622441354</v>
          </cell>
          <cell r="E37">
            <v>49940.360198240058</v>
          </cell>
          <cell r="G37" t="str">
            <v>LACT</v>
          </cell>
          <cell r="J37" t="str">
            <v>L2</v>
          </cell>
          <cell r="K37" t="str">
            <v>Yes</v>
          </cell>
          <cell r="L37" t="str">
            <v>No</v>
          </cell>
          <cell r="M37" t="str">
            <v>Yes</v>
          </cell>
          <cell r="N37" t="str">
            <v>Auto Sampler</v>
          </cell>
        </row>
        <row r="38">
          <cell r="B38" t="str">
            <v>Odidi 1</v>
          </cell>
          <cell r="C38">
            <v>0</v>
          </cell>
          <cell r="D38">
            <v>0</v>
          </cell>
          <cell r="E38">
            <v>0</v>
          </cell>
          <cell r="G38" t="str">
            <v>Non-LACT</v>
          </cell>
          <cell r="J38" t="str">
            <v>NL2</v>
          </cell>
          <cell r="K38" t="str">
            <v>Yes</v>
          </cell>
          <cell r="L38" t="str">
            <v>No</v>
          </cell>
          <cell r="M38" t="str">
            <v>No</v>
          </cell>
          <cell r="N38" t="str">
            <v>Manual Sampling</v>
          </cell>
        </row>
        <row r="39">
          <cell r="B39" t="str">
            <v>Odidi 2</v>
          </cell>
          <cell r="C39">
            <v>0</v>
          </cell>
          <cell r="D39">
            <v>0</v>
          </cell>
          <cell r="E39">
            <v>0</v>
          </cell>
          <cell r="G39" t="str">
            <v>Non-LACT</v>
          </cell>
          <cell r="J39" t="str">
            <v>NL2</v>
          </cell>
          <cell r="K39" t="str">
            <v>Yes</v>
          </cell>
          <cell r="L39" t="str">
            <v>No</v>
          </cell>
          <cell r="M39" t="str">
            <v>No</v>
          </cell>
          <cell r="N39" t="str">
            <v>Manual Sampling</v>
          </cell>
        </row>
        <row r="40">
          <cell r="B40" t="str">
            <v>Mid-Western</v>
          </cell>
          <cell r="C40">
            <v>648200.34983667114</v>
          </cell>
          <cell r="D40">
            <v>9.0840170533078579E-3</v>
          </cell>
          <cell r="E40">
            <v>642312.08680479473</v>
          </cell>
          <cell r="G40" t="str">
            <v>LACT</v>
          </cell>
          <cell r="J40" t="str">
            <v>L0</v>
          </cell>
          <cell r="K40" t="str">
            <v>Yes</v>
          </cell>
          <cell r="L40" t="str">
            <v>No</v>
          </cell>
          <cell r="M40" t="str">
            <v>Yes</v>
          </cell>
          <cell r="N40" t="str">
            <v>Auto Sampler</v>
          </cell>
        </row>
        <row r="41">
          <cell r="B41" t="str">
            <v>Seplat - Rapele</v>
          </cell>
          <cell r="C41">
            <v>1407374.6239197</v>
          </cell>
          <cell r="D41">
            <v>0.19971959790770444</v>
          </cell>
          <cell r="E41">
            <v>1126294.3299249508</v>
          </cell>
          <cell r="G41" t="str">
            <v>LACT</v>
          </cell>
          <cell r="J41" t="str">
            <v>L0</v>
          </cell>
          <cell r="K41" t="str">
            <v>Yes</v>
          </cell>
          <cell r="L41" t="str">
            <v>No</v>
          </cell>
          <cell r="M41" t="str">
            <v>Yes</v>
          </cell>
          <cell r="N41" t="str">
            <v>Auto Sampler</v>
          </cell>
        </row>
        <row r="42">
          <cell r="B42" t="str">
            <v>AGIP</v>
          </cell>
          <cell r="C42">
            <v>0</v>
          </cell>
          <cell r="D42">
            <v>0</v>
          </cell>
          <cell r="E42">
            <v>0</v>
          </cell>
        </row>
        <row r="55">
          <cell r="C55">
            <v>7278595</v>
          </cell>
        </row>
        <row r="57">
          <cell r="C57">
            <v>6872620</v>
          </cell>
        </row>
      </sheetData>
      <sheetData sheetId="5"/>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019C3-C896-4AC3-9968-AD9B3BFB64E9}">
  <sheetPr>
    <tabColor theme="9" tint="-0.249977111117893"/>
  </sheetPr>
  <dimension ref="A1:AF172"/>
  <sheetViews>
    <sheetView showGridLines="0" zoomScaleNormal="100" workbookViewId="0">
      <pane xSplit="3" ySplit="4" topLeftCell="D5" activePane="bottomRight" state="frozen"/>
      <selection activeCell="D63" sqref="D63:F63"/>
      <selection pane="topRight" activeCell="D63" sqref="D63:F63"/>
      <selection pane="bottomLeft" activeCell="D63" sqref="D63:F63"/>
      <selection pane="bottomRight" activeCell="D26" sqref="D26"/>
    </sheetView>
  </sheetViews>
  <sheetFormatPr defaultColWidth="9.1796875" defaultRowHeight="14.5"/>
  <cols>
    <col min="1" max="1" width="4.81640625" style="1" customWidth="1"/>
    <col min="2" max="2" width="19.54296875" customWidth="1"/>
    <col min="3" max="3" width="32.7265625" style="1" customWidth="1"/>
    <col min="4" max="4" width="19.1796875" style="1" customWidth="1"/>
    <col min="5" max="5" width="17" style="4" customWidth="1"/>
    <col min="6" max="6" width="16.453125" style="1" customWidth="1"/>
    <col min="7" max="7" width="18.7265625" style="1" customWidth="1"/>
    <col min="8" max="8" width="16.54296875" style="1" customWidth="1"/>
    <col min="9" max="9" width="16.1796875" style="1" customWidth="1"/>
    <col min="10" max="11" width="16.453125" style="1" customWidth="1"/>
    <col min="12" max="12" width="12.26953125" style="1" bestFit="1" customWidth="1"/>
    <col min="13" max="13" width="13.7265625" style="1" customWidth="1"/>
    <col min="14" max="14" width="14.54296875" style="1" bestFit="1" customWidth="1"/>
    <col min="15" max="15" width="11.81640625" style="1" customWidth="1"/>
    <col min="16" max="16" width="11" style="1" customWidth="1"/>
    <col min="17" max="18" width="9" style="1" customWidth="1"/>
    <col min="19" max="19" width="18.81640625" style="1" customWidth="1"/>
    <col min="20" max="20" width="72" style="1" customWidth="1"/>
    <col min="21" max="21" width="5.54296875" style="1" customWidth="1"/>
    <col min="22" max="22" width="21.81640625" style="1" customWidth="1"/>
    <col min="23" max="23" width="9" style="1" customWidth="1"/>
    <col min="24" max="24" width="13.1796875" style="1" bestFit="1" customWidth="1"/>
    <col min="25" max="25" width="15.1796875" style="1" bestFit="1" customWidth="1"/>
    <col min="26" max="26" width="10.81640625" style="1" customWidth="1"/>
    <col min="27" max="27" width="12" style="1" bestFit="1" customWidth="1"/>
    <col min="28" max="16384" width="9.1796875" style="1"/>
  </cols>
  <sheetData>
    <row r="1" spans="1:32" ht="18.75" customHeight="1">
      <c r="A1" s="1">
        <v>100</v>
      </c>
      <c r="B1" s="2"/>
      <c r="C1" s="3" t="s">
        <v>0</v>
      </c>
    </row>
    <row r="2" spans="1:32" ht="15" thickBot="1"/>
    <row r="3" spans="1:32" ht="21">
      <c r="B3" s="5" t="s">
        <v>1</v>
      </c>
      <c r="C3" s="6" t="s">
        <v>2</v>
      </c>
      <c r="D3" s="6" t="s">
        <v>3</v>
      </c>
      <c r="E3" s="7" t="s">
        <v>4</v>
      </c>
      <c r="F3" s="6" t="s">
        <v>5</v>
      </c>
      <c r="G3" s="8" t="s">
        <v>6</v>
      </c>
      <c r="H3" s="9" t="s">
        <v>3</v>
      </c>
      <c r="I3" s="10" t="s">
        <v>4</v>
      </c>
      <c r="J3" s="10" t="s">
        <v>5</v>
      </c>
      <c r="K3" s="11" t="s">
        <v>6</v>
      </c>
      <c r="L3" s="12" t="s">
        <v>7</v>
      </c>
      <c r="M3" s="6" t="s">
        <v>8</v>
      </c>
      <c r="N3" s="6" t="s">
        <v>9</v>
      </c>
      <c r="O3" s="6" t="s">
        <v>10</v>
      </c>
      <c r="P3" s="6" t="s">
        <v>11</v>
      </c>
      <c r="Q3" s="6" t="s">
        <v>12</v>
      </c>
      <c r="R3" s="6" t="s">
        <v>13</v>
      </c>
      <c r="S3" s="6" t="s">
        <v>14</v>
      </c>
      <c r="T3" s="6" t="s">
        <v>15</v>
      </c>
      <c r="V3" s="574" t="s">
        <v>16</v>
      </c>
      <c r="W3" s="575"/>
      <c r="X3" s="575"/>
      <c r="Y3" s="576"/>
      <c r="AA3" s="574" t="s">
        <v>16</v>
      </c>
      <c r="AB3" s="575"/>
      <c r="AC3" s="575"/>
      <c r="AD3" s="576"/>
    </row>
    <row r="4" spans="1:32" ht="15" customHeight="1">
      <c r="B4" s="1"/>
      <c r="C4" s="13"/>
      <c r="D4" s="13"/>
      <c r="E4" s="14"/>
      <c r="F4" s="13"/>
      <c r="G4" s="15"/>
      <c r="H4" s="16"/>
      <c r="I4" s="13"/>
      <c r="J4" s="13"/>
      <c r="K4" s="17"/>
      <c r="L4" s="18"/>
      <c r="M4" s="18" t="s">
        <v>17</v>
      </c>
      <c r="N4" s="19" t="s">
        <v>18</v>
      </c>
      <c r="O4" s="19"/>
      <c r="P4" s="19"/>
      <c r="Q4" s="19"/>
      <c r="R4" s="19"/>
      <c r="S4" s="19"/>
      <c r="T4" s="19"/>
      <c r="V4" s="572" t="s">
        <v>19</v>
      </c>
      <c r="W4" s="20" t="s">
        <v>20</v>
      </c>
      <c r="X4" s="20" t="s">
        <v>21</v>
      </c>
      <c r="Y4" s="21">
        <v>1</v>
      </c>
      <c r="Z4" s="22"/>
      <c r="AA4" s="577" t="s">
        <v>22</v>
      </c>
      <c r="AB4" s="20" t="s">
        <v>23</v>
      </c>
      <c r="AC4" s="23" t="s">
        <v>24</v>
      </c>
      <c r="AD4" s="23">
        <v>0.99</v>
      </c>
      <c r="AF4" s="1" t="s">
        <v>25</v>
      </c>
    </row>
    <row r="5" spans="1:32" ht="15" customHeight="1">
      <c r="B5" s="24" t="s">
        <v>26</v>
      </c>
      <c r="C5" s="25" t="s">
        <v>27</v>
      </c>
      <c r="D5" s="26">
        <v>0</v>
      </c>
      <c r="E5" s="27">
        <v>0</v>
      </c>
      <c r="F5" s="28">
        <f>D5-(E5*D5)</f>
        <v>0</v>
      </c>
      <c r="G5" s="29">
        <f>D5-F5</f>
        <v>0</v>
      </c>
      <c r="H5" s="30">
        <f>D5</f>
        <v>0</v>
      </c>
      <c r="I5" s="31">
        <f>E5</f>
        <v>0</v>
      </c>
      <c r="J5" s="32">
        <f>H5-(I5*H5)</f>
        <v>0</v>
      </c>
      <c r="K5" s="33">
        <f>H5-J5</f>
        <v>0</v>
      </c>
      <c r="L5" s="34" t="s">
        <v>22</v>
      </c>
      <c r="M5" s="35">
        <v>44922</v>
      </c>
      <c r="N5" s="36">
        <f t="shared" ref="N5:N42" si="0">$X$35-M5</f>
        <v>63</v>
      </c>
      <c r="O5" s="37" t="s">
        <v>28</v>
      </c>
      <c r="P5" s="37" t="s">
        <v>29</v>
      </c>
      <c r="Q5" s="37" t="s">
        <v>30</v>
      </c>
      <c r="R5" s="37" t="s">
        <v>29</v>
      </c>
      <c r="S5" s="37" t="s">
        <v>31</v>
      </c>
      <c r="T5" s="38"/>
      <c r="V5" s="572"/>
      <c r="W5" s="20" t="s">
        <v>32</v>
      </c>
      <c r="X5" s="20" t="s">
        <v>21</v>
      </c>
      <c r="Y5" s="21">
        <v>1</v>
      </c>
      <c r="Z5" s="22"/>
      <c r="AA5" s="578"/>
      <c r="AB5" s="20" t="s">
        <v>33</v>
      </c>
      <c r="AC5" s="23" t="s">
        <v>34</v>
      </c>
      <c r="AD5" s="23">
        <v>1</v>
      </c>
      <c r="AF5" s="23" t="s">
        <v>34</v>
      </c>
    </row>
    <row r="6" spans="1:32" ht="15" customHeight="1">
      <c r="B6" s="24" t="s">
        <v>26</v>
      </c>
      <c r="C6" s="25" t="s">
        <v>35</v>
      </c>
      <c r="D6" s="26">
        <v>388526.76683077199</v>
      </c>
      <c r="E6" s="27">
        <v>0.38733061065257302</v>
      </c>
      <c r="F6" s="28">
        <f t="shared" ref="F6:F13" si="1">D6-(E6*D6)</f>
        <v>238038.45697933921</v>
      </c>
      <c r="G6" s="29">
        <f t="shared" ref="G6:G42" si="2">D6-F6</f>
        <v>150488.30985143277</v>
      </c>
      <c r="H6" s="30">
        <f t="shared" ref="H6:I20" si="3">D6</f>
        <v>388526.76683077199</v>
      </c>
      <c r="I6" s="31">
        <f t="shared" si="3"/>
        <v>0.38733061065257302</v>
      </c>
      <c r="J6" s="32">
        <f t="shared" ref="J6:J42" si="4">H6-(I6*H6)</f>
        <v>238038.45697933921</v>
      </c>
      <c r="K6" s="33">
        <f t="shared" ref="K6:K42" si="5">H6-J6</f>
        <v>150488.30985143277</v>
      </c>
      <c r="L6" s="34" t="s">
        <v>22</v>
      </c>
      <c r="M6" s="35">
        <v>44981</v>
      </c>
      <c r="N6" s="36">
        <f t="shared" si="0"/>
        <v>4</v>
      </c>
      <c r="O6" s="37" t="s">
        <v>34</v>
      </c>
      <c r="P6" s="37" t="s">
        <v>29</v>
      </c>
      <c r="Q6" s="37" t="s">
        <v>30</v>
      </c>
      <c r="R6" s="37" t="s">
        <v>29</v>
      </c>
      <c r="S6" s="37" t="s">
        <v>31</v>
      </c>
      <c r="T6" s="39"/>
      <c r="V6" s="572"/>
      <c r="W6" s="20" t="s">
        <v>36</v>
      </c>
      <c r="X6" s="20" t="s">
        <v>37</v>
      </c>
      <c r="Y6" s="23">
        <v>0.99</v>
      </c>
      <c r="Z6" s="40"/>
      <c r="AA6" s="578"/>
      <c r="AB6" s="23" t="s">
        <v>36</v>
      </c>
      <c r="AC6" s="23" t="s">
        <v>38</v>
      </c>
      <c r="AD6" s="23">
        <v>0.99</v>
      </c>
      <c r="AF6" s="23" t="s">
        <v>38</v>
      </c>
    </row>
    <row r="7" spans="1:32" ht="15" customHeight="1">
      <c r="B7" s="24" t="s">
        <v>26</v>
      </c>
      <c r="C7" s="25" t="s">
        <v>39</v>
      </c>
      <c r="D7" s="26">
        <v>977418.77884359797</v>
      </c>
      <c r="E7" s="27">
        <v>0.31644530336964599</v>
      </c>
      <c r="F7" s="28">
        <f t="shared" si="1"/>
        <v>668119.19685324677</v>
      </c>
      <c r="G7" s="29">
        <f t="shared" si="2"/>
        <v>309299.5819903512</v>
      </c>
      <c r="H7" s="30">
        <f t="shared" si="3"/>
        <v>977418.77884359797</v>
      </c>
      <c r="I7" s="31">
        <f t="shared" si="3"/>
        <v>0.31644530336964599</v>
      </c>
      <c r="J7" s="32">
        <f t="shared" si="4"/>
        <v>668119.19685324677</v>
      </c>
      <c r="K7" s="33">
        <f t="shared" si="5"/>
        <v>309299.5819903512</v>
      </c>
      <c r="L7" s="34" t="s">
        <v>22</v>
      </c>
      <c r="M7" s="35">
        <v>44976</v>
      </c>
      <c r="N7" s="36">
        <f t="shared" si="0"/>
        <v>9</v>
      </c>
      <c r="O7" s="37" t="s">
        <v>34</v>
      </c>
      <c r="P7" s="37" t="s">
        <v>29</v>
      </c>
      <c r="Q7" s="37" t="s">
        <v>30</v>
      </c>
      <c r="R7" s="37" t="s">
        <v>29</v>
      </c>
      <c r="S7" s="37" t="s">
        <v>31</v>
      </c>
      <c r="T7" s="38"/>
      <c r="V7" s="572"/>
      <c r="W7" s="20" t="s">
        <v>40</v>
      </c>
      <c r="X7" s="20" t="s">
        <v>41</v>
      </c>
      <c r="Y7" s="23">
        <v>0.98</v>
      </c>
      <c r="Z7" s="40"/>
      <c r="AA7" s="579"/>
      <c r="AB7" s="23" t="s">
        <v>40</v>
      </c>
      <c r="AC7" s="23" t="s">
        <v>28</v>
      </c>
      <c r="AD7" s="23">
        <v>0.98</v>
      </c>
      <c r="AF7" s="23" t="s">
        <v>28</v>
      </c>
    </row>
    <row r="8" spans="1:32" ht="16.5" customHeight="1">
      <c r="B8" s="24" t="s">
        <v>26</v>
      </c>
      <c r="C8" s="25" t="s">
        <v>42</v>
      </c>
      <c r="D8" s="26">
        <v>446101.93292834098</v>
      </c>
      <c r="E8" s="27">
        <v>0.20105965171849399</v>
      </c>
      <c r="F8" s="28">
        <f t="shared" si="1"/>
        <v>356408.83366282179</v>
      </c>
      <c r="G8" s="29">
        <f t="shared" si="2"/>
        <v>89693.09926551918</v>
      </c>
      <c r="H8" s="30">
        <f t="shared" si="3"/>
        <v>446101.93292834098</v>
      </c>
      <c r="I8" s="31">
        <f t="shared" si="3"/>
        <v>0.20105965171849399</v>
      </c>
      <c r="J8" s="32">
        <f t="shared" si="4"/>
        <v>356408.83366282179</v>
      </c>
      <c r="K8" s="33">
        <f t="shared" si="5"/>
        <v>89693.09926551918</v>
      </c>
      <c r="L8" s="34" t="s">
        <v>22</v>
      </c>
      <c r="M8" s="35">
        <v>44970</v>
      </c>
      <c r="N8" s="36">
        <f t="shared" si="0"/>
        <v>15</v>
      </c>
      <c r="O8" s="37" t="s">
        <v>34</v>
      </c>
      <c r="P8" s="37" t="s">
        <v>29</v>
      </c>
      <c r="Q8" s="37" t="s">
        <v>30</v>
      </c>
      <c r="R8" s="37" t="s">
        <v>29</v>
      </c>
      <c r="S8" s="37" t="s">
        <v>31</v>
      </c>
      <c r="T8" s="38"/>
      <c r="W8" s="40"/>
      <c r="X8" s="40"/>
      <c r="Y8" s="40"/>
      <c r="Z8" s="40"/>
      <c r="AF8" s="20" t="s">
        <v>21</v>
      </c>
    </row>
    <row r="9" spans="1:32" ht="15" customHeight="1">
      <c r="B9" s="24" t="s">
        <v>26</v>
      </c>
      <c r="C9" s="25" t="s">
        <v>43</v>
      </c>
      <c r="D9" s="26">
        <v>654961.15551352501</v>
      </c>
      <c r="E9" s="27">
        <v>0.60235874800594003</v>
      </c>
      <c r="F9" s="28">
        <f t="shared" si="1"/>
        <v>260439.5738858743</v>
      </c>
      <c r="G9" s="29">
        <f t="shared" si="2"/>
        <v>394521.58162765071</v>
      </c>
      <c r="H9" s="30">
        <f t="shared" si="3"/>
        <v>654961.15551352501</v>
      </c>
      <c r="I9" s="31">
        <f t="shared" si="3"/>
        <v>0.60235874800594003</v>
      </c>
      <c r="J9" s="32">
        <f t="shared" si="4"/>
        <v>260439.5738858743</v>
      </c>
      <c r="K9" s="33">
        <f t="shared" si="5"/>
        <v>394521.58162765071</v>
      </c>
      <c r="L9" s="34" t="s">
        <v>22</v>
      </c>
      <c r="M9" s="35">
        <v>44980</v>
      </c>
      <c r="N9" s="36">
        <f t="shared" si="0"/>
        <v>5</v>
      </c>
      <c r="O9" s="37" t="s">
        <v>34</v>
      </c>
      <c r="P9" s="37" t="s">
        <v>29</v>
      </c>
      <c r="Q9" s="37" t="s">
        <v>30</v>
      </c>
      <c r="R9" s="37" t="s">
        <v>29</v>
      </c>
      <c r="S9" s="37" t="s">
        <v>31</v>
      </c>
      <c r="T9" s="38"/>
      <c r="AA9" s="40"/>
      <c r="AF9" s="20" t="s">
        <v>37</v>
      </c>
    </row>
    <row r="10" spans="1:32" ht="15" customHeight="1">
      <c r="B10" s="24" t="s">
        <v>26</v>
      </c>
      <c r="C10" s="25" t="s">
        <v>44</v>
      </c>
      <c r="D10" s="26">
        <v>4446</v>
      </c>
      <c r="E10" s="27">
        <v>0.30515546051114301</v>
      </c>
      <c r="F10" s="28">
        <f t="shared" si="1"/>
        <v>3089.2788225674585</v>
      </c>
      <c r="G10" s="29">
        <f t="shared" si="2"/>
        <v>1356.7211774325415</v>
      </c>
      <c r="H10" s="30">
        <f t="shared" si="3"/>
        <v>4446</v>
      </c>
      <c r="I10" s="31">
        <f t="shared" si="3"/>
        <v>0.30515546051114301</v>
      </c>
      <c r="J10" s="32">
        <f t="shared" si="4"/>
        <v>3089.2788225674585</v>
      </c>
      <c r="K10" s="33">
        <f t="shared" si="5"/>
        <v>1356.7211774325415</v>
      </c>
      <c r="L10" s="34" t="s">
        <v>22</v>
      </c>
      <c r="M10" s="35">
        <v>44980</v>
      </c>
      <c r="N10" s="36">
        <f t="shared" si="0"/>
        <v>5</v>
      </c>
      <c r="O10" s="37" t="s">
        <v>34</v>
      </c>
      <c r="P10" s="37" t="s">
        <v>29</v>
      </c>
      <c r="Q10" s="37" t="s">
        <v>29</v>
      </c>
      <c r="R10" s="37" t="s">
        <v>30</v>
      </c>
      <c r="S10" s="37" t="s">
        <v>31</v>
      </c>
      <c r="T10" s="38"/>
      <c r="V10" s="41" t="s">
        <v>45</v>
      </c>
      <c r="AF10" s="20" t="s">
        <v>41</v>
      </c>
    </row>
    <row r="11" spans="1:32" ht="23.15" customHeight="1">
      <c r="B11" s="42" t="s">
        <v>46</v>
      </c>
      <c r="C11" s="25" t="s">
        <v>47</v>
      </c>
      <c r="D11" s="43">
        <v>1012835</v>
      </c>
      <c r="E11" s="44">
        <v>0.22063678415042914</v>
      </c>
      <c r="F11" s="28">
        <f t="shared" si="1"/>
        <v>789366.34272500011</v>
      </c>
      <c r="G11" s="29">
        <f t="shared" si="2"/>
        <v>223468.65727499989</v>
      </c>
      <c r="H11" s="30">
        <f t="shared" si="3"/>
        <v>1012835</v>
      </c>
      <c r="I11" s="31">
        <f>E11</f>
        <v>0.22063678415042914</v>
      </c>
      <c r="J11" s="32">
        <f t="shared" si="4"/>
        <v>789366.34272500011</v>
      </c>
      <c r="K11" s="33">
        <f t="shared" si="5"/>
        <v>223468.65727499989</v>
      </c>
      <c r="L11" s="34" t="s">
        <v>22</v>
      </c>
      <c r="M11" s="35">
        <v>44742</v>
      </c>
      <c r="N11" s="36">
        <f t="shared" si="0"/>
        <v>243</v>
      </c>
      <c r="O11" s="37" t="s">
        <v>28</v>
      </c>
      <c r="P11" s="37" t="s">
        <v>29</v>
      </c>
      <c r="Q11" s="37" t="s">
        <v>30</v>
      </c>
      <c r="R11" s="37" t="s">
        <v>29</v>
      </c>
      <c r="S11" s="37" t="s">
        <v>48</v>
      </c>
      <c r="T11" s="38" t="s">
        <v>49</v>
      </c>
      <c r="V11" s="41" t="s">
        <v>50</v>
      </c>
    </row>
    <row r="12" spans="1:32" ht="21" customHeight="1">
      <c r="B12" s="24" t="s">
        <v>26</v>
      </c>
      <c r="C12" s="25" t="s">
        <v>51</v>
      </c>
      <c r="D12" s="26">
        <v>138901.08280331001</v>
      </c>
      <c r="E12" s="27">
        <v>0.30253979756741201</v>
      </c>
      <c r="F12" s="28">
        <f t="shared" si="1"/>
        <v>96877.977330102265</v>
      </c>
      <c r="G12" s="29">
        <f t="shared" si="2"/>
        <v>42023.105473207746</v>
      </c>
      <c r="H12" s="30">
        <f t="shared" si="3"/>
        <v>138901.08280331001</v>
      </c>
      <c r="I12" s="31">
        <f t="shared" si="3"/>
        <v>0.30253979756741201</v>
      </c>
      <c r="J12" s="32">
        <f t="shared" si="4"/>
        <v>96877.977330102265</v>
      </c>
      <c r="K12" s="33">
        <f t="shared" si="5"/>
        <v>42023.105473207746</v>
      </c>
      <c r="L12" s="34" t="s">
        <v>22</v>
      </c>
      <c r="M12" s="35">
        <v>44977</v>
      </c>
      <c r="N12" s="36">
        <f t="shared" si="0"/>
        <v>8</v>
      </c>
      <c r="O12" s="37" t="s">
        <v>34</v>
      </c>
      <c r="P12" s="37" t="s">
        <v>29</v>
      </c>
      <c r="Q12" s="37" t="s">
        <v>30</v>
      </c>
      <c r="R12" s="37" t="s">
        <v>29</v>
      </c>
      <c r="S12" s="37" t="s">
        <v>31</v>
      </c>
      <c r="T12" s="38"/>
      <c r="V12" s="41" t="s">
        <v>52</v>
      </c>
    </row>
    <row r="13" spans="1:32" ht="18.649999999999999" customHeight="1">
      <c r="B13" s="24" t="s">
        <v>26</v>
      </c>
      <c r="C13" s="25" t="s">
        <v>53</v>
      </c>
      <c r="D13" s="26">
        <v>1405648.5611352001</v>
      </c>
      <c r="E13" s="27">
        <v>0.64947422513765196</v>
      </c>
      <c r="F13" s="28">
        <f t="shared" si="1"/>
        <v>492716.05107606063</v>
      </c>
      <c r="G13" s="29">
        <f t="shared" si="2"/>
        <v>912932.51005913946</v>
      </c>
      <c r="H13" s="30">
        <f t="shared" si="3"/>
        <v>1405648.5611352001</v>
      </c>
      <c r="I13" s="31">
        <f t="shared" si="3"/>
        <v>0.64947422513765196</v>
      </c>
      <c r="J13" s="32">
        <f t="shared" si="4"/>
        <v>492716.05107606063</v>
      </c>
      <c r="K13" s="33">
        <f t="shared" si="5"/>
        <v>912932.51005913946</v>
      </c>
      <c r="L13" s="34" t="s">
        <v>22</v>
      </c>
      <c r="M13" s="35">
        <v>44618</v>
      </c>
      <c r="N13" s="36">
        <f t="shared" si="0"/>
        <v>367</v>
      </c>
      <c r="O13" s="37" t="s">
        <v>34</v>
      </c>
      <c r="P13" s="37" t="s">
        <v>29</v>
      </c>
      <c r="Q13" s="37" t="s">
        <v>30</v>
      </c>
      <c r="R13" s="37" t="s">
        <v>29</v>
      </c>
      <c r="S13" s="37" t="s">
        <v>31</v>
      </c>
      <c r="T13" s="38"/>
      <c r="V13" s="41" t="s">
        <v>54</v>
      </c>
    </row>
    <row r="14" spans="1:32" ht="14.25" customHeight="1">
      <c r="B14" s="24" t="s">
        <v>26</v>
      </c>
      <c r="C14" s="25" t="s">
        <v>55</v>
      </c>
      <c r="D14" s="26">
        <v>58404.651603904997</v>
      </c>
      <c r="E14" s="27">
        <v>0</v>
      </c>
      <c r="F14" s="28">
        <f>D14-(E14*D14)</f>
        <v>58404.651603904997</v>
      </c>
      <c r="G14" s="29">
        <f t="shared" si="2"/>
        <v>0</v>
      </c>
      <c r="H14" s="30">
        <f t="shared" si="3"/>
        <v>58404.651603904997</v>
      </c>
      <c r="I14" s="31">
        <f t="shared" si="3"/>
        <v>0</v>
      </c>
      <c r="J14" s="32">
        <f>H14-(I14*H14)</f>
        <v>58404.651603904997</v>
      </c>
      <c r="K14" s="33">
        <f t="shared" si="5"/>
        <v>0</v>
      </c>
      <c r="L14" s="34" t="s">
        <v>22</v>
      </c>
      <c r="M14" s="35">
        <v>44975</v>
      </c>
      <c r="N14" s="36">
        <f t="shared" si="0"/>
        <v>10</v>
      </c>
      <c r="O14" s="37" t="s">
        <v>34</v>
      </c>
      <c r="P14" s="37" t="s">
        <v>29</v>
      </c>
      <c r="Q14" s="37" t="s">
        <v>30</v>
      </c>
      <c r="R14" s="37" t="s">
        <v>30</v>
      </c>
      <c r="S14" s="37" t="s">
        <v>31</v>
      </c>
      <c r="T14" s="38"/>
      <c r="V14" s="41"/>
    </row>
    <row r="15" spans="1:32" ht="14.25" customHeight="1">
      <c r="B15" s="24" t="s">
        <v>26</v>
      </c>
      <c r="C15" s="25" t="s">
        <v>56</v>
      </c>
      <c r="D15" s="26">
        <v>344274.248514187</v>
      </c>
      <c r="E15" s="27">
        <v>0.38780363856362698</v>
      </c>
      <c r="F15" s="28">
        <f>D15-(E15*D15)</f>
        <v>210763.44227662694</v>
      </c>
      <c r="G15" s="29">
        <f>D15-F15</f>
        <v>133510.80623756006</v>
      </c>
      <c r="H15" s="30">
        <f>D15</f>
        <v>344274.248514187</v>
      </c>
      <c r="I15" s="31">
        <f>E15</f>
        <v>0.38780363856362698</v>
      </c>
      <c r="J15" s="32">
        <f>H15-(I15*H15)</f>
        <v>210763.44227662694</v>
      </c>
      <c r="K15" s="33">
        <f>H15-J15</f>
        <v>133510.80623756006</v>
      </c>
      <c r="L15" s="34" t="s">
        <v>22</v>
      </c>
      <c r="M15" s="35">
        <v>44976</v>
      </c>
      <c r="N15" s="36">
        <f t="shared" si="0"/>
        <v>9</v>
      </c>
      <c r="O15" s="37" t="s">
        <v>34</v>
      </c>
      <c r="P15" s="37" t="s">
        <v>29</v>
      </c>
      <c r="Q15" s="37" t="s">
        <v>30</v>
      </c>
      <c r="R15" s="37" t="s">
        <v>29</v>
      </c>
      <c r="S15" s="37" t="s">
        <v>31</v>
      </c>
      <c r="T15" s="38"/>
      <c r="V15" s="41"/>
    </row>
    <row r="16" spans="1:32" ht="13" customHeight="1">
      <c r="B16" s="24" t="s">
        <v>26</v>
      </c>
      <c r="C16" s="25" t="s">
        <v>57</v>
      </c>
      <c r="D16" s="26">
        <v>686795.36996798799</v>
      </c>
      <c r="E16" s="27">
        <v>0.34910841663526698</v>
      </c>
      <c r="F16" s="28">
        <f t="shared" ref="F16:F42" si="6">D16-(E16*D16)</f>
        <v>447029.32580603135</v>
      </c>
      <c r="G16" s="29">
        <f t="shared" si="2"/>
        <v>239766.04416195664</v>
      </c>
      <c r="H16" s="30">
        <f t="shared" si="3"/>
        <v>686795.36996798799</v>
      </c>
      <c r="I16" s="31">
        <f t="shared" si="3"/>
        <v>0.34910841663526698</v>
      </c>
      <c r="J16" s="32">
        <f t="shared" si="4"/>
        <v>447029.32580603135</v>
      </c>
      <c r="K16" s="33">
        <f t="shared" si="5"/>
        <v>239766.04416195664</v>
      </c>
      <c r="L16" s="34" t="s">
        <v>22</v>
      </c>
      <c r="M16" s="35">
        <v>44975</v>
      </c>
      <c r="N16" s="36">
        <f t="shared" si="0"/>
        <v>10</v>
      </c>
      <c r="O16" s="37" t="s">
        <v>34</v>
      </c>
      <c r="P16" s="37" t="s">
        <v>29</v>
      </c>
      <c r="Q16" s="37" t="s">
        <v>30</v>
      </c>
      <c r="R16" s="37" t="s">
        <v>29</v>
      </c>
      <c r="S16" s="37" t="s">
        <v>31</v>
      </c>
      <c r="T16" s="38"/>
      <c r="V16" s="45" t="s">
        <v>58</v>
      </c>
    </row>
    <row r="17" spans="2:30" ht="12">
      <c r="B17" s="24" t="s">
        <v>26</v>
      </c>
      <c r="C17" s="25" t="s">
        <v>59</v>
      </c>
      <c r="D17" s="26">
        <v>15958.22</v>
      </c>
      <c r="E17" s="27">
        <v>0</v>
      </c>
      <c r="F17" s="28">
        <f t="shared" si="6"/>
        <v>15958.22</v>
      </c>
      <c r="G17" s="29">
        <f>D17-F17</f>
        <v>0</v>
      </c>
      <c r="H17" s="30">
        <f>D17</f>
        <v>15958.22</v>
      </c>
      <c r="I17" s="31">
        <f>E17</f>
        <v>0</v>
      </c>
      <c r="J17" s="32">
        <f>H17-(I17*H17)</f>
        <v>15958.22</v>
      </c>
      <c r="K17" s="33">
        <f>H17-J17</f>
        <v>0</v>
      </c>
      <c r="L17" s="34" t="s">
        <v>22</v>
      </c>
      <c r="M17" s="35">
        <v>44970</v>
      </c>
      <c r="N17" s="36">
        <f t="shared" si="0"/>
        <v>15</v>
      </c>
      <c r="O17" s="37" t="s">
        <v>34</v>
      </c>
      <c r="P17" s="37" t="s">
        <v>29</v>
      </c>
      <c r="Q17" s="37" t="s">
        <v>30</v>
      </c>
      <c r="R17" s="37" t="s">
        <v>29</v>
      </c>
      <c r="S17" s="37" t="s">
        <v>31</v>
      </c>
      <c r="T17" s="38"/>
      <c r="V17" s="45"/>
    </row>
    <row r="18" spans="2:30" ht="21.75" customHeight="1">
      <c r="B18" s="24" t="s">
        <v>26</v>
      </c>
      <c r="C18" s="25" t="s">
        <v>60</v>
      </c>
      <c r="D18" s="43">
        <v>240683.62000000002</v>
      </c>
      <c r="E18" s="44">
        <v>1</v>
      </c>
      <c r="F18" s="28">
        <f>D18-(E18*D18)</f>
        <v>0</v>
      </c>
      <c r="G18" s="29">
        <f>D18-F18</f>
        <v>240683.62000000002</v>
      </c>
      <c r="H18" s="30">
        <f>D18</f>
        <v>240683.62000000002</v>
      </c>
      <c r="I18" s="31">
        <f>E18</f>
        <v>1</v>
      </c>
      <c r="J18" s="32">
        <f>H18-(I18*H18)</f>
        <v>0</v>
      </c>
      <c r="K18" s="33">
        <f>H18-J18</f>
        <v>240683.62000000002</v>
      </c>
      <c r="L18" s="34" t="s">
        <v>22</v>
      </c>
      <c r="M18" s="35">
        <v>43688</v>
      </c>
      <c r="N18" s="36">
        <f t="shared" si="0"/>
        <v>1297</v>
      </c>
      <c r="O18" s="37" t="s">
        <v>34</v>
      </c>
      <c r="P18" s="37" t="s">
        <v>29</v>
      </c>
      <c r="Q18" s="37" t="s">
        <v>30</v>
      </c>
      <c r="R18" s="37" t="s">
        <v>30</v>
      </c>
      <c r="S18" s="37" t="s">
        <v>31</v>
      </c>
      <c r="T18" s="38"/>
      <c r="V18" s="45"/>
    </row>
    <row r="19" spans="2:30" ht="22" customHeight="1">
      <c r="B19" s="24" t="s">
        <v>61</v>
      </c>
      <c r="C19" s="25" t="s">
        <v>61</v>
      </c>
      <c r="D19" s="43">
        <v>62069.696359999856</v>
      </c>
      <c r="E19" s="44">
        <v>1.6907311063567656E-2</v>
      </c>
      <c r="F19" s="28">
        <f t="shared" si="6"/>
        <v>61020.264696020145</v>
      </c>
      <c r="G19" s="29">
        <f t="shared" si="2"/>
        <v>1049.4316639797107</v>
      </c>
      <c r="H19" s="30">
        <f t="shared" si="3"/>
        <v>62069.696359999856</v>
      </c>
      <c r="I19" s="31">
        <f t="shared" si="3"/>
        <v>1.6907311063567656E-2</v>
      </c>
      <c r="J19" s="32">
        <f>H19-(I19*H19)</f>
        <v>61020.264696020145</v>
      </c>
      <c r="K19" s="33">
        <f>H19-J19</f>
        <v>1049.4316639797107</v>
      </c>
      <c r="L19" s="34" t="s">
        <v>22</v>
      </c>
      <c r="M19" s="35">
        <v>44457</v>
      </c>
      <c r="N19" s="36">
        <f t="shared" si="0"/>
        <v>528</v>
      </c>
      <c r="O19" s="37" t="s">
        <v>28</v>
      </c>
      <c r="P19" s="37" t="s">
        <v>29</v>
      </c>
      <c r="Q19" s="37" t="s">
        <v>30</v>
      </c>
      <c r="R19" s="37" t="s">
        <v>29</v>
      </c>
      <c r="S19" s="37" t="s">
        <v>48</v>
      </c>
      <c r="T19" s="38" t="s">
        <v>49</v>
      </c>
      <c r="V19" s="45" t="s">
        <v>58</v>
      </c>
    </row>
    <row r="20" spans="2:30" ht="28.5" customHeight="1">
      <c r="B20" s="42" t="s">
        <v>62</v>
      </c>
      <c r="C20" s="25" t="s">
        <v>63</v>
      </c>
      <c r="D20" s="43">
        <v>326516.22010949999</v>
      </c>
      <c r="E20" s="44">
        <v>0.58906312374453995</v>
      </c>
      <c r="F20" s="28">
        <f>D20-(E20*D20)</f>
        <v>134177.55553853814</v>
      </c>
      <c r="G20" s="29">
        <f t="shared" si="2"/>
        <v>192338.66457096185</v>
      </c>
      <c r="H20" s="30">
        <f>D20</f>
        <v>326516.22010949999</v>
      </c>
      <c r="I20" s="31">
        <f t="shared" si="3"/>
        <v>0.58906312374453995</v>
      </c>
      <c r="J20" s="32">
        <f t="shared" si="4"/>
        <v>134177.55553853814</v>
      </c>
      <c r="K20" s="33">
        <f t="shared" si="5"/>
        <v>192338.66457096185</v>
      </c>
      <c r="L20" s="34" t="s">
        <v>19</v>
      </c>
      <c r="M20" s="46">
        <v>44882</v>
      </c>
      <c r="N20" s="36">
        <f t="shared" si="0"/>
        <v>103</v>
      </c>
      <c r="O20" s="37" t="s">
        <v>41</v>
      </c>
      <c r="P20" s="37" t="s">
        <v>29</v>
      </c>
      <c r="Q20" s="37" t="s">
        <v>30</v>
      </c>
      <c r="R20" s="37" t="s">
        <v>29</v>
      </c>
      <c r="S20" s="37" t="s">
        <v>64</v>
      </c>
      <c r="T20" s="38"/>
      <c r="V20" s="45" t="s">
        <v>65</v>
      </c>
    </row>
    <row r="21" spans="2:30" ht="30" customHeight="1">
      <c r="B21" s="42" t="s">
        <v>66</v>
      </c>
      <c r="C21" s="25" t="s">
        <v>67</v>
      </c>
      <c r="D21" s="43">
        <v>789098.51870000002</v>
      </c>
      <c r="E21" s="44">
        <v>0.75127577286123726</v>
      </c>
      <c r="F21" s="28">
        <f>D21-(E21*D21)</f>
        <v>196267.9192</v>
      </c>
      <c r="G21" s="29">
        <f t="shared" si="2"/>
        <v>592830.59950000001</v>
      </c>
      <c r="H21" s="47">
        <f>I99</f>
        <v>789098.51870000002</v>
      </c>
      <c r="I21" s="48">
        <f>IFERROR(K21/H21,0)</f>
        <v>0.75127577286123726</v>
      </c>
      <c r="J21" s="32">
        <f>J99</f>
        <v>196267.9192</v>
      </c>
      <c r="K21" s="33">
        <f>K99</f>
        <v>592830.59950000001</v>
      </c>
      <c r="L21" s="34" t="s">
        <v>22</v>
      </c>
      <c r="M21" s="46">
        <v>44935</v>
      </c>
      <c r="N21" s="36">
        <f t="shared" si="0"/>
        <v>50</v>
      </c>
      <c r="O21" s="37" t="s">
        <v>38</v>
      </c>
      <c r="P21" s="37" t="s">
        <v>29</v>
      </c>
      <c r="Q21" s="37" t="s">
        <v>30</v>
      </c>
      <c r="R21" s="37" t="s">
        <v>29</v>
      </c>
      <c r="S21" s="37" t="s">
        <v>64</v>
      </c>
      <c r="T21" s="49"/>
      <c r="V21" s="45" t="s">
        <v>68</v>
      </c>
    </row>
    <row r="22" spans="2:30" ht="33" customHeight="1">
      <c r="B22" s="42" t="s">
        <v>66</v>
      </c>
      <c r="C22" s="50" t="s">
        <v>69</v>
      </c>
      <c r="D22" s="43">
        <v>2701185.8040999998</v>
      </c>
      <c r="E22" s="44">
        <v>0.73682653232480755</v>
      </c>
      <c r="F22" s="28">
        <f>D22-(E22*D22)</f>
        <v>710880.43489999999</v>
      </c>
      <c r="G22" s="29">
        <f t="shared" si="2"/>
        <v>1990305.3691999998</v>
      </c>
      <c r="H22" s="47">
        <f t="shared" ref="H22:H27" si="7">I100</f>
        <v>2704176.8040999998</v>
      </c>
      <c r="I22" s="48">
        <f>IFERROR(K22/H22,0)</f>
        <v>0.73705216544202512</v>
      </c>
      <c r="J22" s="32">
        <f t="shared" ref="J22:K28" si="8">J100</f>
        <v>711057.43489999999</v>
      </c>
      <c r="K22" s="33">
        <f t="shared" si="8"/>
        <v>1993119.3691999998</v>
      </c>
      <c r="L22" s="34" t="s">
        <v>19</v>
      </c>
      <c r="M22" s="46">
        <v>44543</v>
      </c>
      <c r="N22" s="36">
        <f t="shared" si="0"/>
        <v>442</v>
      </c>
      <c r="O22" s="37" t="s">
        <v>41</v>
      </c>
      <c r="P22" s="37" t="s">
        <v>29</v>
      </c>
      <c r="Q22" s="37" t="s">
        <v>30</v>
      </c>
      <c r="R22" s="37" t="s">
        <v>29</v>
      </c>
      <c r="S22" s="37" t="s">
        <v>64</v>
      </c>
      <c r="T22" s="38"/>
      <c r="V22" s="45" t="s">
        <v>70</v>
      </c>
    </row>
    <row r="23" spans="2:30" ht="24" customHeight="1">
      <c r="B23" s="42" t="s">
        <v>66</v>
      </c>
      <c r="C23" s="51" t="s">
        <v>71</v>
      </c>
      <c r="D23" s="43">
        <v>105758.99210000002</v>
      </c>
      <c r="E23" s="44">
        <v>0.35923439648589484</v>
      </c>
      <c r="F23" s="28">
        <f>D23-(E23*D23)</f>
        <v>67766.724399999992</v>
      </c>
      <c r="G23" s="29">
        <f t="shared" si="2"/>
        <v>37992.267700000026</v>
      </c>
      <c r="H23" s="47">
        <f t="shared" si="7"/>
        <v>105758.99210000002</v>
      </c>
      <c r="I23" s="48">
        <f>IFERROR(K23/H23,0)</f>
        <v>0.35923439648589484</v>
      </c>
      <c r="J23" s="32">
        <f t="shared" si="8"/>
        <v>67766.724399999992</v>
      </c>
      <c r="K23" s="33">
        <f t="shared" si="8"/>
        <v>37992.267700000026</v>
      </c>
      <c r="L23" s="34" t="s">
        <v>19</v>
      </c>
      <c r="M23" s="46">
        <v>44965</v>
      </c>
      <c r="N23" s="36">
        <f t="shared" si="0"/>
        <v>20</v>
      </c>
      <c r="O23" s="37" t="s">
        <v>21</v>
      </c>
      <c r="P23" s="37" t="s">
        <v>29</v>
      </c>
      <c r="Q23" s="37" t="s">
        <v>30</v>
      </c>
      <c r="R23" s="37" t="s">
        <v>29</v>
      </c>
      <c r="S23" s="37" t="s">
        <v>64</v>
      </c>
      <c r="T23" s="38" t="s">
        <v>72</v>
      </c>
      <c r="V23" s="45" t="s">
        <v>73</v>
      </c>
    </row>
    <row r="24" spans="2:30" ht="18" customHeight="1">
      <c r="B24" s="42" t="s">
        <v>66</v>
      </c>
      <c r="C24" s="25" t="s">
        <v>74</v>
      </c>
      <c r="D24" s="43">
        <v>674893.18800000008</v>
      </c>
      <c r="E24" s="44">
        <v>0.76159225835896271</v>
      </c>
      <c r="F24" s="28">
        <f t="shared" si="6"/>
        <v>160899.76080000005</v>
      </c>
      <c r="G24" s="29">
        <f t="shared" si="2"/>
        <v>513993.42720000003</v>
      </c>
      <c r="H24" s="47">
        <f t="shared" si="7"/>
        <v>674893.18800000008</v>
      </c>
      <c r="I24" s="48">
        <f>IFERROR((K24/H24),0)</f>
        <v>0.76159225835896271</v>
      </c>
      <c r="J24" s="32">
        <f t="shared" si="8"/>
        <v>160899.76080000005</v>
      </c>
      <c r="K24" s="33">
        <f t="shared" si="8"/>
        <v>513993.42720000003</v>
      </c>
      <c r="L24" s="34" t="s">
        <v>22</v>
      </c>
      <c r="M24" s="46">
        <v>44939</v>
      </c>
      <c r="N24" s="36">
        <f t="shared" si="0"/>
        <v>46</v>
      </c>
      <c r="O24" s="37" t="s">
        <v>38</v>
      </c>
      <c r="P24" s="37" t="s">
        <v>29</v>
      </c>
      <c r="Q24" s="37" t="s">
        <v>30</v>
      </c>
      <c r="R24" s="37" t="s">
        <v>29</v>
      </c>
      <c r="S24" s="37" t="s">
        <v>64</v>
      </c>
      <c r="T24" s="49"/>
      <c r="AB24" s="52"/>
      <c r="AC24" s="52"/>
      <c r="AD24" s="52"/>
    </row>
    <row r="25" spans="2:30" ht="27.75" customHeight="1">
      <c r="B25" s="42" t="s">
        <v>66</v>
      </c>
      <c r="C25" s="53" t="s">
        <v>75</v>
      </c>
      <c r="D25" s="43"/>
      <c r="E25" s="44"/>
      <c r="F25" s="28">
        <f t="shared" si="6"/>
        <v>0</v>
      </c>
      <c r="G25" s="29">
        <f t="shared" si="2"/>
        <v>0</v>
      </c>
      <c r="H25" s="47">
        <f t="shared" si="7"/>
        <v>0</v>
      </c>
      <c r="I25" s="48">
        <f t="shared" ref="I25:I31" si="9">IFERROR(K25/H25,0)</f>
        <v>0</v>
      </c>
      <c r="J25" s="32">
        <f t="shared" si="8"/>
        <v>0</v>
      </c>
      <c r="K25" s="33">
        <f t="shared" si="8"/>
        <v>0</v>
      </c>
      <c r="L25" s="34" t="s">
        <v>22</v>
      </c>
      <c r="M25" s="46">
        <v>44885</v>
      </c>
      <c r="N25" s="36">
        <f t="shared" si="0"/>
        <v>100</v>
      </c>
      <c r="O25" s="37" t="s">
        <v>28</v>
      </c>
      <c r="P25" s="37" t="s">
        <v>29</v>
      </c>
      <c r="Q25" s="37" t="s">
        <v>30</v>
      </c>
      <c r="R25" s="37" t="s">
        <v>29</v>
      </c>
      <c r="S25" s="37" t="s">
        <v>64</v>
      </c>
      <c r="T25" s="49"/>
      <c r="V25" s="572" t="s">
        <v>76</v>
      </c>
      <c r="W25" s="572"/>
      <c r="X25" s="572"/>
      <c r="AB25" s="52"/>
      <c r="AC25" s="52"/>
      <c r="AD25" s="52"/>
    </row>
    <row r="26" spans="2:30" ht="24.75" customHeight="1">
      <c r="B26" s="42" t="s">
        <v>66</v>
      </c>
      <c r="C26" s="51" t="s">
        <v>77</v>
      </c>
      <c r="D26" s="43"/>
      <c r="E26" s="44"/>
      <c r="F26" s="28">
        <f t="shared" si="6"/>
        <v>0</v>
      </c>
      <c r="G26" s="29">
        <f t="shared" si="2"/>
        <v>0</v>
      </c>
      <c r="H26" s="47">
        <f t="shared" si="7"/>
        <v>0</v>
      </c>
      <c r="I26" s="48">
        <f t="shared" si="9"/>
        <v>0</v>
      </c>
      <c r="J26" s="32">
        <f t="shared" si="8"/>
        <v>0</v>
      </c>
      <c r="K26" s="33">
        <f t="shared" si="8"/>
        <v>0</v>
      </c>
      <c r="L26" s="34" t="s">
        <v>22</v>
      </c>
      <c r="M26" s="46">
        <v>44662</v>
      </c>
      <c r="N26" s="36">
        <f t="shared" si="0"/>
        <v>323</v>
      </c>
      <c r="O26" s="37" t="s">
        <v>28</v>
      </c>
      <c r="P26" s="37" t="s">
        <v>29</v>
      </c>
      <c r="Q26" s="37" t="s">
        <v>30</v>
      </c>
      <c r="R26" s="37" t="s">
        <v>29</v>
      </c>
      <c r="S26" s="37" t="s">
        <v>64</v>
      </c>
      <c r="T26" s="38"/>
      <c r="V26" s="569" t="s">
        <v>64</v>
      </c>
      <c r="W26" s="569"/>
      <c r="X26" s="54">
        <v>1</v>
      </c>
      <c r="Y26" s="55" t="s">
        <v>78</v>
      </c>
      <c r="AB26" s="52"/>
      <c r="AC26" s="52"/>
      <c r="AD26" s="52"/>
    </row>
    <row r="27" spans="2:30" ht="27.75" customHeight="1">
      <c r="B27" s="42" t="s">
        <v>66</v>
      </c>
      <c r="C27" s="53" t="s">
        <v>79</v>
      </c>
      <c r="D27" s="43"/>
      <c r="E27" s="44"/>
      <c r="F27" s="28">
        <f t="shared" si="6"/>
        <v>0</v>
      </c>
      <c r="G27" s="29">
        <f t="shared" si="2"/>
        <v>0</v>
      </c>
      <c r="H27" s="47">
        <f t="shared" si="7"/>
        <v>0</v>
      </c>
      <c r="I27" s="48">
        <f t="shared" si="9"/>
        <v>0</v>
      </c>
      <c r="J27" s="32">
        <f t="shared" si="8"/>
        <v>0</v>
      </c>
      <c r="K27" s="33">
        <f t="shared" si="8"/>
        <v>0</v>
      </c>
      <c r="L27" s="34" t="s">
        <v>22</v>
      </c>
      <c r="M27" s="46">
        <v>44886</v>
      </c>
      <c r="N27" s="36">
        <f t="shared" si="0"/>
        <v>99</v>
      </c>
      <c r="O27" s="37" t="s">
        <v>28</v>
      </c>
      <c r="P27" s="37" t="s">
        <v>29</v>
      </c>
      <c r="Q27" s="37" t="s">
        <v>30</v>
      </c>
      <c r="R27" s="37" t="s">
        <v>29</v>
      </c>
      <c r="S27" s="37" t="s">
        <v>64</v>
      </c>
      <c r="T27" s="49"/>
      <c r="V27" s="569" t="s">
        <v>31</v>
      </c>
      <c r="W27" s="569"/>
      <c r="X27" s="56" t="s">
        <v>80</v>
      </c>
      <c r="Y27" s="570" t="s">
        <v>81</v>
      </c>
      <c r="Z27" s="571"/>
      <c r="AA27" s="571"/>
      <c r="AB27" s="571"/>
      <c r="AC27" s="571"/>
      <c r="AD27" s="571"/>
    </row>
    <row r="28" spans="2:30" ht="27" customHeight="1">
      <c r="B28" s="42" t="s">
        <v>66</v>
      </c>
      <c r="C28" s="53" t="s">
        <v>82</v>
      </c>
      <c r="D28" s="43"/>
      <c r="E28" s="44"/>
      <c r="F28" s="28">
        <f t="shared" si="6"/>
        <v>0</v>
      </c>
      <c r="G28" s="29">
        <f t="shared" si="2"/>
        <v>0</v>
      </c>
      <c r="H28" s="47">
        <f>I106</f>
        <v>0</v>
      </c>
      <c r="I28" s="48">
        <f t="shared" si="9"/>
        <v>0</v>
      </c>
      <c r="J28" s="32">
        <f t="shared" si="8"/>
        <v>0</v>
      </c>
      <c r="K28" s="33">
        <f t="shared" si="8"/>
        <v>0</v>
      </c>
      <c r="L28" s="34" t="s">
        <v>22</v>
      </c>
      <c r="M28" s="46">
        <v>44887</v>
      </c>
      <c r="N28" s="36">
        <f t="shared" si="0"/>
        <v>98</v>
      </c>
      <c r="O28" s="37" t="s">
        <v>28</v>
      </c>
      <c r="P28" s="37" t="s">
        <v>29</v>
      </c>
      <c r="Q28" s="37" t="s">
        <v>30</v>
      </c>
      <c r="R28" s="37" t="s">
        <v>29</v>
      </c>
      <c r="S28" s="37" t="s">
        <v>64</v>
      </c>
      <c r="T28" s="38"/>
      <c r="V28" s="569" t="s">
        <v>48</v>
      </c>
      <c r="W28" s="569"/>
      <c r="X28" s="56" t="s">
        <v>80</v>
      </c>
      <c r="Y28" s="570"/>
      <c r="Z28" s="571"/>
      <c r="AA28" s="571"/>
      <c r="AB28" s="571"/>
      <c r="AC28" s="571"/>
      <c r="AD28" s="571"/>
    </row>
    <row r="29" spans="2:30" ht="29.25" customHeight="1">
      <c r="B29" s="42" t="s">
        <v>83</v>
      </c>
      <c r="C29" s="25" t="s">
        <v>84</v>
      </c>
      <c r="D29" s="43">
        <v>440470.25247407425</v>
      </c>
      <c r="E29" s="44">
        <v>0.49558503586557923</v>
      </c>
      <c r="F29" s="28">
        <f>D29-(E29*D29)</f>
        <v>222179.78660398943</v>
      </c>
      <c r="G29" s="29">
        <f>D29-F29</f>
        <v>218290.46587008482</v>
      </c>
      <c r="H29" s="47">
        <f>I107</f>
        <v>440470.25247407425</v>
      </c>
      <c r="I29" s="48">
        <f t="shared" si="9"/>
        <v>0.49558503586557923</v>
      </c>
      <c r="J29" s="32">
        <f>J107</f>
        <v>222179.78660398943</v>
      </c>
      <c r="K29" s="33">
        <f>H29-J29</f>
        <v>218290.46587008482</v>
      </c>
      <c r="L29" s="34" t="s">
        <v>19</v>
      </c>
      <c r="M29" s="46">
        <v>44950</v>
      </c>
      <c r="N29" s="36">
        <f t="shared" si="0"/>
        <v>35</v>
      </c>
      <c r="O29" s="37" t="s">
        <v>21</v>
      </c>
      <c r="P29" s="37" t="s">
        <v>29</v>
      </c>
      <c r="Q29" s="37" t="s">
        <v>30</v>
      </c>
      <c r="R29" s="37" t="s">
        <v>29</v>
      </c>
      <c r="S29" s="37" t="s">
        <v>64</v>
      </c>
      <c r="T29" s="49" t="s">
        <v>85</v>
      </c>
      <c r="AA29" s="52"/>
      <c r="AB29" s="52"/>
      <c r="AC29" s="52"/>
      <c r="AD29" s="52"/>
    </row>
    <row r="30" spans="2:30" ht="32.5" customHeight="1">
      <c r="B30" s="42" t="s">
        <v>83</v>
      </c>
      <c r="C30" s="25" t="s">
        <v>86</v>
      </c>
      <c r="D30" s="43"/>
      <c r="E30" s="44"/>
      <c r="F30" s="28">
        <f t="shared" si="6"/>
        <v>0</v>
      </c>
      <c r="G30" s="29">
        <f t="shared" si="2"/>
        <v>0</v>
      </c>
      <c r="H30" s="47">
        <f>I108</f>
        <v>0</v>
      </c>
      <c r="I30" s="48">
        <f t="shared" si="9"/>
        <v>0</v>
      </c>
      <c r="J30" s="32">
        <f>H30-(I30*H30)</f>
        <v>0</v>
      </c>
      <c r="K30" s="33">
        <f>K108</f>
        <v>0</v>
      </c>
      <c r="L30" s="34" t="s">
        <v>22</v>
      </c>
      <c r="M30" s="35">
        <v>44770</v>
      </c>
      <c r="N30" s="36">
        <f t="shared" si="0"/>
        <v>215</v>
      </c>
      <c r="O30" s="37" t="s">
        <v>28</v>
      </c>
      <c r="P30" s="37" t="s">
        <v>29</v>
      </c>
      <c r="Q30" s="37" t="s">
        <v>30</v>
      </c>
      <c r="R30" s="37" t="s">
        <v>30</v>
      </c>
      <c r="S30" s="37" t="s">
        <v>48</v>
      </c>
      <c r="T30" s="49"/>
    </row>
    <row r="31" spans="2:30" ht="28" customHeight="1">
      <c r="B31" s="42" t="s">
        <v>83</v>
      </c>
      <c r="C31" s="25" t="s">
        <v>87</v>
      </c>
      <c r="D31" s="43">
        <v>817156.20791187091</v>
      </c>
      <c r="E31" s="44">
        <v>0.53418097641112738</v>
      </c>
      <c r="F31" s="28">
        <f>D31-(E31*D31)</f>
        <v>380646.90688909352</v>
      </c>
      <c r="G31" s="29">
        <f t="shared" si="2"/>
        <v>436509.30102277739</v>
      </c>
      <c r="H31" s="47">
        <f>I109</f>
        <v>817156.20791187091</v>
      </c>
      <c r="I31" s="48">
        <f t="shared" si="9"/>
        <v>0.53418097641112738</v>
      </c>
      <c r="J31" s="32">
        <f>J109</f>
        <v>380646.90688909352</v>
      </c>
      <c r="K31" s="33">
        <f>H31-J31</f>
        <v>436509.30102277739</v>
      </c>
      <c r="L31" s="34" t="s">
        <v>19</v>
      </c>
      <c r="M31" s="46">
        <v>44950</v>
      </c>
      <c r="N31" s="36">
        <f t="shared" si="0"/>
        <v>35</v>
      </c>
      <c r="O31" s="37" t="s">
        <v>21</v>
      </c>
      <c r="P31" s="37" t="s">
        <v>29</v>
      </c>
      <c r="Q31" s="37" t="s">
        <v>30</v>
      </c>
      <c r="R31" s="37" t="s">
        <v>29</v>
      </c>
      <c r="S31" s="37" t="s">
        <v>64</v>
      </c>
      <c r="T31" s="49" t="s">
        <v>85</v>
      </c>
      <c r="V31" s="572" t="s">
        <v>88</v>
      </c>
      <c r="W31" s="572"/>
      <c r="X31" s="572"/>
    </row>
    <row r="32" spans="2:30" ht="16.5" customHeight="1">
      <c r="B32" s="42" t="s">
        <v>83</v>
      </c>
      <c r="C32" s="25" t="s">
        <v>89</v>
      </c>
      <c r="D32" s="43"/>
      <c r="E32" s="44"/>
      <c r="F32" s="28">
        <f t="shared" si="6"/>
        <v>0</v>
      </c>
      <c r="G32" s="29">
        <f t="shared" si="2"/>
        <v>0</v>
      </c>
      <c r="H32" s="47">
        <f>I110</f>
        <v>0</v>
      </c>
      <c r="I32" s="48">
        <f t="shared" ref="I32:I42" si="10">E32</f>
        <v>0</v>
      </c>
      <c r="J32" s="32">
        <f>H32-(I32*H32)</f>
        <v>0</v>
      </c>
      <c r="K32" s="33">
        <f t="shared" si="5"/>
        <v>0</v>
      </c>
      <c r="L32" s="34" t="s">
        <v>22</v>
      </c>
      <c r="M32" s="35">
        <v>44915</v>
      </c>
      <c r="N32" s="36">
        <f t="shared" si="0"/>
        <v>70</v>
      </c>
      <c r="O32" s="37" t="s">
        <v>28</v>
      </c>
      <c r="P32" s="37" t="s">
        <v>29</v>
      </c>
      <c r="Q32" s="37" t="s">
        <v>30</v>
      </c>
      <c r="R32" s="37" t="s">
        <v>30</v>
      </c>
      <c r="S32" s="37" t="s">
        <v>48</v>
      </c>
      <c r="T32" s="38"/>
      <c r="V32" s="569" t="s">
        <v>90</v>
      </c>
      <c r="W32" s="569"/>
      <c r="X32" s="57">
        <v>0.98260000000000003</v>
      </c>
      <c r="Y32" s="55" t="s">
        <v>91</v>
      </c>
    </row>
    <row r="33" spans="1:31" ht="18" customHeight="1">
      <c r="B33" s="42" t="s">
        <v>83</v>
      </c>
      <c r="C33" s="25" t="s">
        <v>92</v>
      </c>
      <c r="D33" s="43"/>
      <c r="E33" s="44"/>
      <c r="F33" s="28">
        <f t="shared" si="6"/>
        <v>0</v>
      </c>
      <c r="G33" s="29">
        <f t="shared" si="2"/>
        <v>0</v>
      </c>
      <c r="H33" s="30">
        <f t="shared" ref="H33:H42" si="11">D33</f>
        <v>0</v>
      </c>
      <c r="I33" s="31">
        <f t="shared" si="10"/>
        <v>0</v>
      </c>
      <c r="J33" s="32">
        <f t="shared" si="4"/>
        <v>0</v>
      </c>
      <c r="K33" s="33">
        <f t="shared" si="5"/>
        <v>0</v>
      </c>
      <c r="L33" s="34" t="s">
        <v>22</v>
      </c>
      <c r="M33" s="35">
        <v>42677</v>
      </c>
      <c r="N33" s="36">
        <f t="shared" si="0"/>
        <v>2308</v>
      </c>
      <c r="O33" s="37" t="s">
        <v>28</v>
      </c>
      <c r="P33" s="37" t="s">
        <v>29</v>
      </c>
      <c r="Q33" s="37" t="s">
        <v>30</v>
      </c>
      <c r="R33" s="37" t="s">
        <v>30</v>
      </c>
      <c r="S33" s="37" t="s">
        <v>48</v>
      </c>
      <c r="T33" s="38"/>
    </row>
    <row r="34" spans="1:31" ht="32.25" customHeight="1">
      <c r="B34" s="42" t="s">
        <v>93</v>
      </c>
      <c r="C34" s="25" t="s">
        <v>94</v>
      </c>
      <c r="D34" s="43"/>
      <c r="E34" s="44"/>
      <c r="F34" s="28">
        <f t="shared" si="6"/>
        <v>0</v>
      </c>
      <c r="G34" s="29">
        <f t="shared" si="2"/>
        <v>0</v>
      </c>
      <c r="H34" s="30">
        <f t="shared" si="11"/>
        <v>0</v>
      </c>
      <c r="I34" s="31">
        <f t="shared" si="10"/>
        <v>0</v>
      </c>
      <c r="J34" s="32">
        <f t="shared" si="4"/>
        <v>0</v>
      </c>
      <c r="K34" s="33">
        <f t="shared" si="5"/>
        <v>0</v>
      </c>
      <c r="L34" s="34" t="s">
        <v>22</v>
      </c>
      <c r="M34" s="35">
        <v>43182</v>
      </c>
      <c r="N34" s="36">
        <f t="shared" si="0"/>
        <v>1803</v>
      </c>
      <c r="O34" s="37" t="s">
        <v>28</v>
      </c>
      <c r="P34" s="37" t="s">
        <v>29</v>
      </c>
      <c r="Q34" s="37" t="s">
        <v>30</v>
      </c>
      <c r="R34" s="37" t="s">
        <v>30</v>
      </c>
      <c r="S34" s="37" t="s">
        <v>48</v>
      </c>
      <c r="T34" s="49"/>
    </row>
    <row r="35" spans="1:31" ht="13.5" customHeight="1">
      <c r="B35" s="42" t="s">
        <v>93</v>
      </c>
      <c r="C35" s="25" t="s">
        <v>95</v>
      </c>
      <c r="D35" s="43"/>
      <c r="E35" s="44"/>
      <c r="F35" s="28">
        <f t="shared" si="6"/>
        <v>0</v>
      </c>
      <c r="G35" s="29">
        <f t="shared" si="2"/>
        <v>0</v>
      </c>
      <c r="H35" s="30">
        <f t="shared" si="11"/>
        <v>0</v>
      </c>
      <c r="I35" s="31">
        <f t="shared" si="10"/>
        <v>0</v>
      </c>
      <c r="J35" s="32">
        <f t="shared" si="4"/>
        <v>0</v>
      </c>
      <c r="K35" s="33">
        <f t="shared" si="5"/>
        <v>0</v>
      </c>
      <c r="L35" s="34" t="s">
        <v>22</v>
      </c>
      <c r="M35" s="35">
        <v>42677</v>
      </c>
      <c r="N35" s="36">
        <f t="shared" si="0"/>
        <v>2308</v>
      </c>
      <c r="O35" s="37" t="s">
        <v>28</v>
      </c>
      <c r="P35" s="37" t="s">
        <v>29</v>
      </c>
      <c r="Q35" s="37" t="s">
        <v>30</v>
      </c>
      <c r="R35" s="37" t="s">
        <v>30</v>
      </c>
      <c r="S35" s="37" t="s">
        <v>48</v>
      </c>
      <c r="T35" s="38"/>
      <c r="V35" s="573" t="s">
        <v>96</v>
      </c>
      <c r="W35" s="573"/>
      <c r="X35" s="58">
        <v>44985</v>
      </c>
    </row>
    <row r="36" spans="1:31" ht="13.5" customHeight="1">
      <c r="B36" s="42" t="s">
        <v>93</v>
      </c>
      <c r="C36" s="25" t="s">
        <v>97</v>
      </c>
      <c r="D36" s="43"/>
      <c r="E36" s="44"/>
      <c r="F36" s="28">
        <f t="shared" si="6"/>
        <v>0</v>
      </c>
      <c r="G36" s="29">
        <f t="shared" si="2"/>
        <v>0</v>
      </c>
      <c r="H36" s="30">
        <f t="shared" si="11"/>
        <v>0</v>
      </c>
      <c r="I36" s="31">
        <f t="shared" si="10"/>
        <v>0</v>
      </c>
      <c r="J36" s="32">
        <f t="shared" si="4"/>
        <v>0</v>
      </c>
      <c r="K36" s="33">
        <f t="shared" si="5"/>
        <v>0</v>
      </c>
      <c r="L36" s="34" t="s">
        <v>22</v>
      </c>
      <c r="M36" s="35">
        <v>42677</v>
      </c>
      <c r="N36" s="36">
        <f t="shared" si="0"/>
        <v>2308</v>
      </c>
      <c r="O36" s="37" t="s">
        <v>28</v>
      </c>
      <c r="P36" s="37" t="s">
        <v>29</v>
      </c>
      <c r="Q36" s="37" t="s">
        <v>30</v>
      </c>
      <c r="R36" s="37" t="s">
        <v>30</v>
      </c>
      <c r="S36" s="37" t="s">
        <v>48</v>
      </c>
      <c r="T36" s="38"/>
      <c r="X36" s="1" t="s">
        <v>98</v>
      </c>
    </row>
    <row r="37" spans="1:31" ht="33.65" customHeight="1">
      <c r="B37" s="42" t="s">
        <v>93</v>
      </c>
      <c r="C37" s="25" t="s">
        <v>99</v>
      </c>
      <c r="D37" s="43">
        <v>87651.64312528001</v>
      </c>
      <c r="E37" s="44">
        <v>0.43024045622441354</v>
      </c>
      <c r="F37" s="28">
        <f>D37-(E37*D37)</f>
        <v>49940.360198240058</v>
      </c>
      <c r="G37" s="29">
        <f t="shared" si="2"/>
        <v>37711.282927039952</v>
      </c>
      <c r="H37" s="30">
        <f t="shared" si="11"/>
        <v>87651.64312528001</v>
      </c>
      <c r="I37" s="31">
        <f>E37</f>
        <v>0.43024045622441354</v>
      </c>
      <c r="J37" s="32">
        <f t="shared" si="4"/>
        <v>49940.360198240058</v>
      </c>
      <c r="K37" s="33">
        <f t="shared" si="5"/>
        <v>37711.282927039952</v>
      </c>
      <c r="L37" s="34" t="s">
        <v>19</v>
      </c>
      <c r="M37" s="46">
        <v>44253</v>
      </c>
      <c r="N37" s="36">
        <f t="shared" si="0"/>
        <v>732</v>
      </c>
      <c r="O37" s="37" t="s">
        <v>41</v>
      </c>
      <c r="P37" s="37" t="s">
        <v>29</v>
      </c>
      <c r="Q37" s="37" t="s">
        <v>30</v>
      </c>
      <c r="R37" s="37" t="s">
        <v>29</v>
      </c>
      <c r="S37" s="37" t="s">
        <v>64</v>
      </c>
      <c r="T37" s="49"/>
    </row>
    <row r="38" spans="1:31" ht="24" customHeight="1">
      <c r="B38" s="42" t="s">
        <v>93</v>
      </c>
      <c r="C38" s="25" t="s">
        <v>100</v>
      </c>
      <c r="D38" s="43"/>
      <c r="E38" s="44"/>
      <c r="F38" s="28">
        <f t="shared" si="6"/>
        <v>0</v>
      </c>
      <c r="G38" s="29">
        <f t="shared" si="2"/>
        <v>0</v>
      </c>
      <c r="H38" s="30">
        <f t="shared" si="11"/>
        <v>0</v>
      </c>
      <c r="I38" s="31">
        <f t="shared" si="10"/>
        <v>0</v>
      </c>
      <c r="J38" s="32">
        <f t="shared" si="4"/>
        <v>0</v>
      </c>
      <c r="K38" s="33">
        <f t="shared" si="5"/>
        <v>0</v>
      </c>
      <c r="L38" s="34" t="s">
        <v>22</v>
      </c>
      <c r="M38" s="35">
        <v>43181</v>
      </c>
      <c r="N38" s="36">
        <f t="shared" si="0"/>
        <v>1804</v>
      </c>
      <c r="O38" s="37" t="s">
        <v>28</v>
      </c>
      <c r="P38" s="37" t="s">
        <v>29</v>
      </c>
      <c r="Q38" s="37" t="s">
        <v>30</v>
      </c>
      <c r="R38" s="37" t="s">
        <v>30</v>
      </c>
      <c r="S38" s="37" t="s">
        <v>48</v>
      </c>
      <c r="T38" s="38"/>
    </row>
    <row r="39" spans="1:31" ht="13.5" customHeight="1">
      <c r="B39" s="42" t="s">
        <v>93</v>
      </c>
      <c r="C39" s="25" t="s">
        <v>101</v>
      </c>
      <c r="D39" s="43"/>
      <c r="E39" s="44"/>
      <c r="F39" s="28">
        <f t="shared" si="6"/>
        <v>0</v>
      </c>
      <c r="G39" s="29">
        <f t="shared" si="2"/>
        <v>0</v>
      </c>
      <c r="H39" s="30">
        <f t="shared" si="11"/>
        <v>0</v>
      </c>
      <c r="I39" s="31">
        <f t="shared" si="10"/>
        <v>0</v>
      </c>
      <c r="J39" s="32">
        <f t="shared" si="4"/>
        <v>0</v>
      </c>
      <c r="K39" s="33">
        <f t="shared" si="5"/>
        <v>0</v>
      </c>
      <c r="L39" s="34" t="s">
        <v>22</v>
      </c>
      <c r="M39" s="35">
        <v>42493</v>
      </c>
      <c r="N39" s="36">
        <f t="shared" si="0"/>
        <v>2492</v>
      </c>
      <c r="O39" s="37" t="s">
        <v>28</v>
      </c>
      <c r="P39" s="37" t="s">
        <v>29</v>
      </c>
      <c r="Q39" s="37" t="s">
        <v>30</v>
      </c>
      <c r="R39" s="37" t="s">
        <v>30</v>
      </c>
      <c r="S39" s="37" t="s">
        <v>48</v>
      </c>
      <c r="T39" s="38"/>
      <c r="W39" s="22"/>
      <c r="X39" s="22"/>
      <c r="Y39" s="22"/>
      <c r="Z39" s="22"/>
    </row>
    <row r="40" spans="1:31" ht="43" customHeight="1">
      <c r="A40" s="59"/>
      <c r="B40" s="42" t="s">
        <v>102</v>
      </c>
      <c r="C40" s="25" t="s">
        <v>102</v>
      </c>
      <c r="D40" s="43">
        <v>648200.34983667114</v>
      </c>
      <c r="E40" s="44">
        <v>9.0840170533078579E-3</v>
      </c>
      <c r="F40" s="28">
        <f>D40-(E40*D40)</f>
        <v>642312.08680479473</v>
      </c>
      <c r="G40" s="29">
        <f t="shared" si="2"/>
        <v>5888.2630318764132</v>
      </c>
      <c r="H40" s="30">
        <f t="shared" si="11"/>
        <v>648200.34983667114</v>
      </c>
      <c r="I40" s="31">
        <f t="shared" si="10"/>
        <v>9.0840170533078579E-3</v>
      </c>
      <c r="J40" s="32">
        <f t="shared" si="4"/>
        <v>642312.08680479473</v>
      </c>
      <c r="K40" s="33">
        <f t="shared" si="5"/>
        <v>5888.2630318764132</v>
      </c>
      <c r="L40" s="34" t="s">
        <v>19</v>
      </c>
      <c r="M40" s="46">
        <v>44978</v>
      </c>
      <c r="N40" s="36">
        <f t="shared" si="0"/>
        <v>7</v>
      </c>
      <c r="O40" s="37" t="s">
        <v>21</v>
      </c>
      <c r="P40" s="37" t="s">
        <v>29</v>
      </c>
      <c r="Q40" s="37" t="s">
        <v>30</v>
      </c>
      <c r="R40" s="37" t="s">
        <v>29</v>
      </c>
      <c r="S40" s="37" t="s">
        <v>64</v>
      </c>
      <c r="T40" s="49" t="s">
        <v>103</v>
      </c>
      <c r="W40" s="22"/>
      <c r="X40" s="22"/>
      <c r="Y40" s="22"/>
      <c r="Z40" s="22"/>
    </row>
    <row r="41" spans="1:31" ht="27" customHeight="1">
      <c r="B41" s="42" t="s">
        <v>104</v>
      </c>
      <c r="C41" s="25" t="s">
        <v>105</v>
      </c>
      <c r="D41" s="43">
        <v>1407374.6239197</v>
      </c>
      <c r="E41" s="44">
        <v>0.19971959790770444</v>
      </c>
      <c r="F41" s="60">
        <f>D41-(E41*D41)</f>
        <v>1126294.3299249508</v>
      </c>
      <c r="G41" s="29">
        <f t="shared" si="2"/>
        <v>281080.2939947492</v>
      </c>
      <c r="H41" s="30">
        <f t="shared" si="11"/>
        <v>1407374.6239197</v>
      </c>
      <c r="I41" s="31">
        <f t="shared" si="10"/>
        <v>0.19971959790770444</v>
      </c>
      <c r="J41" s="32">
        <f t="shared" si="4"/>
        <v>1126294.3299249508</v>
      </c>
      <c r="K41" s="33">
        <f t="shared" si="5"/>
        <v>281080.2939947492</v>
      </c>
      <c r="L41" s="34" t="s">
        <v>19</v>
      </c>
      <c r="M41" s="46">
        <v>44953</v>
      </c>
      <c r="N41" s="36">
        <f t="shared" si="0"/>
        <v>32</v>
      </c>
      <c r="O41" s="37" t="s">
        <v>21</v>
      </c>
      <c r="P41" s="37" t="s">
        <v>29</v>
      </c>
      <c r="Q41" s="37" t="s">
        <v>30</v>
      </c>
      <c r="R41" s="37" t="s">
        <v>29</v>
      </c>
      <c r="S41" s="37" t="s">
        <v>64</v>
      </c>
      <c r="T41" s="38"/>
      <c r="W41" s="22"/>
      <c r="X41" s="22"/>
      <c r="Y41" s="22"/>
      <c r="Z41" s="22"/>
    </row>
    <row r="42" spans="1:31" ht="25.5" customHeight="1" thickBot="1">
      <c r="B42" s="42" t="s">
        <v>106</v>
      </c>
      <c r="C42" s="25" t="s">
        <v>106</v>
      </c>
      <c r="D42" s="61"/>
      <c r="E42" s="62"/>
      <c r="F42" s="63">
        <f t="shared" si="6"/>
        <v>0</v>
      </c>
      <c r="G42" s="64">
        <f t="shared" si="2"/>
        <v>0</v>
      </c>
      <c r="H42" s="65">
        <f t="shared" si="11"/>
        <v>0</v>
      </c>
      <c r="I42" s="66">
        <f t="shared" si="10"/>
        <v>0</v>
      </c>
      <c r="J42" s="67">
        <f t="shared" si="4"/>
        <v>0</v>
      </c>
      <c r="K42" s="68">
        <f t="shared" si="5"/>
        <v>0</v>
      </c>
      <c r="L42" s="34" t="s">
        <v>19</v>
      </c>
      <c r="M42" s="35">
        <v>41913</v>
      </c>
      <c r="N42" s="36">
        <f t="shared" si="0"/>
        <v>3072</v>
      </c>
      <c r="O42" s="37" t="s">
        <v>41</v>
      </c>
      <c r="P42" s="37" t="s">
        <v>29</v>
      </c>
      <c r="Q42" s="37" t="s">
        <v>29</v>
      </c>
      <c r="R42" s="37" t="s">
        <v>29</v>
      </c>
      <c r="S42" s="37" t="s">
        <v>64</v>
      </c>
      <c r="T42" s="38"/>
      <c r="W42" s="40"/>
      <c r="X42" s="40"/>
      <c r="Y42" s="40"/>
      <c r="Z42" s="40"/>
    </row>
    <row r="43" spans="1:31" ht="12">
      <c r="B43" s="69"/>
      <c r="D43" s="70"/>
      <c r="E43" s="71"/>
      <c r="F43" s="72"/>
      <c r="G43" s="73"/>
      <c r="H43" s="70"/>
      <c r="I43" s="72"/>
      <c r="J43" s="72"/>
      <c r="K43" s="73"/>
    </row>
    <row r="44" spans="1:31" ht="10.5">
      <c r="B44" s="1"/>
      <c r="D44" s="74"/>
      <c r="E44" s="75"/>
      <c r="G44" s="76"/>
      <c r="H44" s="74"/>
      <c r="K44" s="76"/>
    </row>
    <row r="45" spans="1:31" ht="12">
      <c r="B45" s="77"/>
      <c r="D45" s="74"/>
      <c r="E45" s="75"/>
      <c r="G45" s="76"/>
      <c r="H45" s="74"/>
      <c r="K45" s="76"/>
    </row>
    <row r="46" spans="1:31">
      <c r="B46" s="78"/>
      <c r="C46" s="79" t="s">
        <v>107</v>
      </c>
      <c r="D46" s="80">
        <f>SUM(D5:D42)</f>
        <v>14435330.88477792</v>
      </c>
      <c r="E46" s="81">
        <f>(D46-F46)/D46</f>
        <v>0.48808949791587081</v>
      </c>
      <c r="F46" s="82">
        <f>SUM(F5:F42)</f>
        <v>7389597.4809772018</v>
      </c>
      <c r="G46" s="83">
        <f>SUM(G5:G42)</f>
        <v>7045733.4038007194</v>
      </c>
      <c r="H46" s="80">
        <f>SUM(H5:H42)</f>
        <v>14438321.88477792</v>
      </c>
      <c r="I46" s="84">
        <f>(H46-J46)/H46</f>
        <v>0.48818328473698064</v>
      </c>
      <c r="J46" s="82">
        <f>SUM(J5:J42)</f>
        <v>7389774.4809772018</v>
      </c>
      <c r="K46" s="83">
        <f>SUM(K5:K42)</f>
        <v>7048547.4038007194</v>
      </c>
      <c r="L46" s="4"/>
      <c r="N46" s="85"/>
      <c r="O46"/>
      <c r="P46"/>
      <c r="Q46"/>
      <c r="R46"/>
      <c r="S46"/>
      <c r="T46"/>
      <c r="U46"/>
      <c r="V46"/>
      <c r="W46"/>
      <c r="X46"/>
      <c r="Y46"/>
      <c r="Z46"/>
      <c r="AA46"/>
      <c r="AB46"/>
      <c r="AC46"/>
      <c r="AD46"/>
      <c r="AE46"/>
    </row>
    <row r="47" spans="1:31">
      <c r="B47" s="1"/>
      <c r="C47" s="79"/>
      <c r="D47" s="86"/>
      <c r="E47" s="81"/>
      <c r="F47" s="82"/>
      <c r="G47" s="83"/>
      <c r="H47" s="86"/>
      <c r="I47" s="87"/>
      <c r="J47" s="82"/>
      <c r="K47" s="83"/>
      <c r="N47" s="85"/>
      <c r="O47"/>
      <c r="P47"/>
      <c r="Q47"/>
      <c r="R47"/>
      <c r="S47"/>
      <c r="T47"/>
      <c r="U47"/>
      <c r="V47"/>
      <c r="W47"/>
      <c r="X47"/>
      <c r="Y47"/>
      <c r="Z47"/>
      <c r="AA47"/>
      <c r="AB47"/>
      <c r="AC47"/>
      <c r="AD47"/>
      <c r="AE47"/>
    </row>
    <row r="48" spans="1:31">
      <c r="B48" s="1"/>
      <c r="C48" s="79" t="s">
        <v>108</v>
      </c>
      <c r="D48" s="80">
        <f>SUM(D5:D19)</f>
        <v>6437025.0845008241</v>
      </c>
      <c r="E48" s="81">
        <f>(D48-F48)/D48</f>
        <v>0.43743373942399427</v>
      </c>
      <c r="F48" s="82">
        <f>SUM(F5:F16)</f>
        <v>3621253.131021576</v>
      </c>
      <c r="G48" s="83">
        <f>SUM(G5:G19)</f>
        <v>2738793.4687832301</v>
      </c>
      <c r="H48" s="80">
        <f>SUM(H5:H19)</f>
        <v>6437025.0845008241</v>
      </c>
      <c r="I48" s="84">
        <f>(H48-J48)/H48</f>
        <v>0.42547503432567635</v>
      </c>
      <c r="J48" s="82">
        <f>SUM(J5:J19)</f>
        <v>3698231.6157175964</v>
      </c>
      <c r="K48" s="83">
        <f>SUM(K5:K19)</f>
        <v>2738793.4687832301</v>
      </c>
      <c r="N48" s="85"/>
      <c r="O48"/>
      <c r="P48"/>
      <c r="Q48"/>
      <c r="R48"/>
      <c r="S48"/>
      <c r="T48"/>
      <c r="U48"/>
      <c r="V48"/>
      <c r="W48"/>
      <c r="X48"/>
      <c r="Y48"/>
      <c r="Z48"/>
      <c r="AA48"/>
      <c r="AB48"/>
      <c r="AC48"/>
      <c r="AD48"/>
      <c r="AE48"/>
    </row>
    <row r="49" spans="1:31">
      <c r="B49" s="1"/>
      <c r="C49" s="79"/>
      <c r="D49" s="86"/>
      <c r="E49" s="81"/>
      <c r="F49" s="82"/>
      <c r="G49" s="83"/>
      <c r="H49" s="86"/>
      <c r="I49" s="84"/>
      <c r="J49" s="82"/>
      <c r="K49" s="83"/>
      <c r="N49" s="85"/>
      <c r="O49"/>
      <c r="P49"/>
      <c r="Q49"/>
      <c r="R49"/>
      <c r="S49"/>
      <c r="T49"/>
      <c r="U49"/>
      <c r="V49"/>
      <c r="W49"/>
      <c r="X49"/>
      <c r="Y49"/>
      <c r="Z49"/>
      <c r="AA49"/>
      <c r="AB49"/>
      <c r="AC49"/>
      <c r="AD49"/>
      <c r="AE49"/>
    </row>
    <row r="50" spans="1:31">
      <c r="B50" s="1"/>
      <c r="C50" s="79" t="s">
        <v>109</v>
      </c>
      <c r="D50" s="80">
        <f>SUM(D20:D41)</f>
        <v>7998305.8002770962</v>
      </c>
      <c r="E50" s="81">
        <f>(D50-F50)/D50</f>
        <v>0.53848152878429301</v>
      </c>
      <c r="F50" s="82">
        <f>SUM(F20:F41)</f>
        <v>3691365.8652596069</v>
      </c>
      <c r="G50" s="83">
        <f>SUM(G20:G41)</f>
        <v>4306939.9350174889</v>
      </c>
      <c r="H50" s="80">
        <f>SUM(H20:H41)</f>
        <v>8001296.8002770962</v>
      </c>
      <c r="I50" s="84">
        <f>(H50-J50)/H50</f>
        <v>0.53863192962273765</v>
      </c>
      <c r="J50" s="82">
        <f>SUM(J20:J41)</f>
        <v>3691542.8652596069</v>
      </c>
      <c r="K50" s="83">
        <f>SUM(K20:K41)</f>
        <v>4309753.9350174889</v>
      </c>
      <c r="N50" s="85"/>
      <c r="O50"/>
      <c r="P50"/>
      <c r="Q50"/>
      <c r="R50"/>
      <c r="S50"/>
      <c r="T50"/>
      <c r="U50"/>
      <c r="V50"/>
      <c r="W50"/>
      <c r="X50"/>
      <c r="Y50"/>
      <c r="Z50"/>
      <c r="AA50"/>
      <c r="AB50"/>
      <c r="AC50"/>
      <c r="AD50"/>
      <c r="AE50"/>
    </row>
    <row r="51" spans="1:31">
      <c r="B51" s="1"/>
      <c r="C51" s="79"/>
      <c r="D51" s="86"/>
      <c r="E51" s="81"/>
      <c r="F51" s="82"/>
      <c r="G51" s="83"/>
      <c r="H51" s="86"/>
      <c r="I51" s="84"/>
      <c r="J51" s="82"/>
      <c r="K51" s="83"/>
      <c r="N51" s="85"/>
      <c r="O51"/>
      <c r="P51"/>
      <c r="Q51"/>
      <c r="R51"/>
      <c r="S51"/>
      <c r="T51"/>
      <c r="U51"/>
      <c r="V51"/>
      <c r="W51"/>
      <c r="X51"/>
      <c r="Y51"/>
      <c r="Z51"/>
      <c r="AA51"/>
      <c r="AB51"/>
      <c r="AC51"/>
      <c r="AD51"/>
      <c r="AE51"/>
    </row>
    <row r="52" spans="1:31" ht="15" thickBot="1">
      <c r="B52" s="1"/>
      <c r="C52" s="79" t="s">
        <v>110</v>
      </c>
      <c r="D52" s="88">
        <f>D42</f>
        <v>0</v>
      </c>
      <c r="E52" s="89" t="e">
        <f>(D52-F52)/D52</f>
        <v>#DIV/0!</v>
      </c>
      <c r="F52" s="90">
        <f>F42</f>
        <v>0</v>
      </c>
      <c r="G52" s="91">
        <f>G42</f>
        <v>0</v>
      </c>
      <c r="H52" s="88">
        <f>H42</f>
        <v>0</v>
      </c>
      <c r="I52" s="92" t="e">
        <f>(H52-J52)/H52</f>
        <v>#DIV/0!</v>
      </c>
      <c r="J52" s="90">
        <f>J42</f>
        <v>0</v>
      </c>
      <c r="K52" s="91">
        <f>K42</f>
        <v>0</v>
      </c>
      <c r="N52" s="85"/>
      <c r="O52"/>
      <c r="P52"/>
      <c r="Q52"/>
      <c r="R52"/>
      <c r="S52"/>
      <c r="T52"/>
      <c r="U52"/>
      <c r="V52"/>
      <c r="W52"/>
      <c r="X52"/>
      <c r="Y52"/>
      <c r="Z52"/>
      <c r="AA52"/>
      <c r="AB52"/>
      <c r="AC52"/>
      <c r="AD52"/>
      <c r="AE52"/>
    </row>
    <row r="53" spans="1:31" ht="15" thickBot="1">
      <c r="B53" s="1"/>
      <c r="C53"/>
      <c r="D53"/>
      <c r="E53" s="93"/>
      <c r="F53" s="94" t="s">
        <v>111</v>
      </c>
      <c r="G53" s="95"/>
      <c r="H53" s="96">
        <f>D46-H46</f>
        <v>-2991</v>
      </c>
      <c r="I53" s="97"/>
      <c r="J53" s="96">
        <f>F46-J46</f>
        <v>-177</v>
      </c>
      <c r="K53" s="98">
        <f>G46-K46</f>
        <v>-2814</v>
      </c>
      <c r="L53"/>
      <c r="M53"/>
      <c r="N53"/>
      <c r="O53"/>
      <c r="P53"/>
      <c r="Q53"/>
      <c r="R53"/>
      <c r="S53"/>
      <c r="T53"/>
      <c r="U53"/>
      <c r="V53"/>
      <c r="W53"/>
      <c r="X53"/>
      <c r="Y53"/>
      <c r="Z53"/>
      <c r="AA53"/>
      <c r="AB53"/>
      <c r="AC53"/>
    </row>
    <row r="54" spans="1:31">
      <c r="B54" s="1"/>
      <c r="C54"/>
      <c r="D54"/>
      <c r="E54" s="93"/>
      <c r="I54" s="22"/>
      <c r="L54"/>
    </row>
    <row r="55" spans="1:31">
      <c r="A55" s="1" t="s">
        <v>112</v>
      </c>
      <c r="B55" s="1"/>
      <c r="C55" s="99" t="s">
        <v>113</v>
      </c>
      <c r="D55" s="43">
        <v>7278595</v>
      </c>
      <c r="E55" s="100"/>
      <c r="F55"/>
      <c r="G55"/>
      <c r="H55"/>
      <c r="I55" s="22"/>
      <c r="J55"/>
      <c r="K55"/>
      <c r="L55"/>
    </row>
    <row r="56" spans="1:31">
      <c r="B56" s="1"/>
      <c r="C56" s="99"/>
      <c r="D56" s="101"/>
      <c r="E56" s="102"/>
      <c r="F56" s="103"/>
      <c r="G56"/>
      <c r="H56" s="104"/>
      <c r="I56" s="22"/>
      <c r="J56" s="103"/>
      <c r="K56" s="103"/>
      <c r="L56"/>
    </row>
    <row r="57" spans="1:31">
      <c r="B57" s="1"/>
      <c r="C57" s="99" t="s">
        <v>114</v>
      </c>
      <c r="D57" s="43">
        <v>6872620</v>
      </c>
      <c r="E57" s="105"/>
      <c r="F57"/>
      <c r="G57"/>
      <c r="H57"/>
      <c r="I57" s="22"/>
      <c r="J57"/>
      <c r="K57"/>
      <c r="L57"/>
    </row>
    <row r="58" spans="1:31">
      <c r="B58" s="1"/>
      <c r="C58" s="99"/>
      <c r="D58" s="22"/>
      <c r="E58" s="102"/>
      <c r="F58"/>
      <c r="G58" s="106"/>
      <c r="H58"/>
      <c r="I58" s="22"/>
      <c r="J58"/>
      <c r="K58"/>
      <c r="L58"/>
    </row>
    <row r="59" spans="1:31">
      <c r="A59" s="1" t="s">
        <v>112</v>
      </c>
      <c r="B59" s="1"/>
      <c r="C59" s="99" t="s">
        <v>115</v>
      </c>
      <c r="D59" s="43">
        <v>114476</v>
      </c>
      <c r="E59" s="102"/>
      <c r="F59"/>
      <c r="G59"/>
      <c r="H59"/>
      <c r="I59" s="22"/>
      <c r="J59"/>
      <c r="K59"/>
      <c r="L59" s="107"/>
      <c r="M59" s="108"/>
    </row>
    <row r="60" spans="1:31">
      <c r="B60" s="1"/>
      <c r="C60" s="99"/>
      <c r="D60" s="101"/>
      <c r="E60" s="102"/>
      <c r="F60"/>
      <c r="G60"/>
      <c r="H60"/>
      <c r="I60" s="22"/>
      <c r="J60"/>
      <c r="K60"/>
      <c r="L60" s="107"/>
      <c r="M60" s="108"/>
    </row>
    <row r="61" spans="1:31">
      <c r="A61" s="1" t="s">
        <v>112</v>
      </c>
      <c r="B61" s="1"/>
      <c r="C61" s="99" t="s">
        <v>116</v>
      </c>
      <c r="D61" s="43">
        <v>105074</v>
      </c>
      <c r="E61" s="102"/>
      <c r="F61" s="104"/>
      <c r="G61"/>
      <c r="H61"/>
      <c r="I61" s="22"/>
      <c r="J61"/>
      <c r="K61"/>
      <c r="L61" s="107"/>
      <c r="M61" s="108"/>
    </row>
    <row r="62" spans="1:31">
      <c r="B62" s="1"/>
      <c r="C62" s="99"/>
      <c r="D62" s="22"/>
      <c r="E62" s="100"/>
      <c r="F62"/>
      <c r="G62"/>
      <c r="H62"/>
      <c r="I62" s="22"/>
      <c r="J62"/>
      <c r="K62"/>
      <c r="L62" s="107"/>
      <c r="M62" s="108"/>
    </row>
    <row r="63" spans="1:31">
      <c r="A63" s="1" t="s">
        <v>112</v>
      </c>
      <c r="B63" s="1"/>
      <c r="C63" s="99" t="s">
        <v>117</v>
      </c>
      <c r="D63" s="109">
        <v>111485</v>
      </c>
      <c r="E63" s="102"/>
      <c r="F63" s="104"/>
      <c r="G63"/>
      <c r="H63"/>
      <c r="I63" s="22"/>
      <c r="J63"/>
      <c r="K63"/>
      <c r="L63" s="107"/>
      <c r="M63" s="107"/>
      <c r="N63" s="110"/>
    </row>
    <row r="64" spans="1:31">
      <c r="B64" s="1"/>
      <c r="C64" s="99"/>
      <c r="D64" s="101"/>
      <c r="E64" s="102"/>
      <c r="F64"/>
      <c r="G64"/>
      <c r="H64"/>
      <c r="I64" s="22"/>
      <c r="J64"/>
      <c r="K64"/>
      <c r="L64" s="107"/>
      <c r="M64" s="107"/>
      <c r="N64" s="110"/>
    </row>
    <row r="65" spans="1:12">
      <c r="A65" s="1" t="s">
        <v>112</v>
      </c>
      <c r="B65" s="77"/>
      <c r="C65" s="99" t="s">
        <v>118</v>
      </c>
      <c r="D65" s="109">
        <v>104897</v>
      </c>
      <c r="E65" s="102"/>
      <c r="F65" s="104"/>
      <c r="G65"/>
      <c r="H65"/>
      <c r="I65" s="22"/>
      <c r="J65" s="104"/>
      <c r="K65" s="104"/>
      <c r="L65"/>
    </row>
    <row r="66" spans="1:12">
      <c r="B66" s="78"/>
      <c r="C66" s="22"/>
      <c r="D66" s="111"/>
      <c r="E66" s="93"/>
      <c r="F66"/>
      <c r="G66"/>
      <c r="H66"/>
      <c r="I66" s="22"/>
      <c r="J66"/>
      <c r="K66"/>
      <c r="L66"/>
    </row>
    <row r="67" spans="1:12" ht="16.5" customHeight="1">
      <c r="B67" s="78"/>
      <c r="C67" s="99" t="s">
        <v>119</v>
      </c>
      <c r="D67" s="112">
        <f>D65-D61</f>
        <v>-177</v>
      </c>
      <c r="E67" s="93"/>
      <c r="F67" s="113"/>
      <c r="G67"/>
      <c r="H67"/>
      <c r="I67" s="22"/>
      <c r="J67" s="113"/>
      <c r="K67" s="113"/>
      <c r="L67" s="113"/>
    </row>
    <row r="68" spans="1:12">
      <c r="B68" s="78"/>
      <c r="C68" s="99"/>
      <c r="D68" s="114"/>
      <c r="E68" s="93"/>
      <c r="F68" s="113"/>
      <c r="G68"/>
      <c r="H68"/>
      <c r="I68" s="22"/>
      <c r="J68" s="113"/>
      <c r="K68" s="113"/>
      <c r="L68" s="113"/>
    </row>
    <row r="69" spans="1:12" ht="15" customHeight="1">
      <c r="B69" s="78"/>
      <c r="C69" s="99" t="s">
        <v>120</v>
      </c>
      <c r="D69" s="112">
        <f>(D63-D65)-(D59-D61)</f>
        <v>-2814</v>
      </c>
      <c r="E69" s="93"/>
      <c r="F69" s="113"/>
      <c r="G69"/>
      <c r="H69"/>
      <c r="I69" s="22"/>
      <c r="J69" s="113"/>
      <c r="K69" s="113"/>
      <c r="L69" s="113"/>
    </row>
    <row r="70" spans="1:12">
      <c r="B70" s="78"/>
      <c r="C70" s="99"/>
      <c r="D70" s="101"/>
      <c r="E70" s="93"/>
      <c r="F70"/>
      <c r="G70"/>
      <c r="H70"/>
      <c r="I70" s="22"/>
      <c r="J70"/>
      <c r="K70"/>
      <c r="L70"/>
    </row>
    <row r="71" spans="1:12" ht="24">
      <c r="B71" s="78"/>
      <c r="C71" s="115" t="s">
        <v>121</v>
      </c>
      <c r="D71" s="43"/>
      <c r="E71" s="116"/>
      <c r="F71" s="104"/>
      <c r="G71"/>
      <c r="H71"/>
      <c r="I71" s="22"/>
      <c r="J71"/>
      <c r="K71"/>
      <c r="L71"/>
    </row>
    <row r="72" spans="1:12">
      <c r="B72" s="78"/>
      <c r="D72" s="117"/>
      <c r="E72" s="93"/>
      <c r="F72" s="113"/>
      <c r="G72"/>
      <c r="H72"/>
      <c r="I72" s="22"/>
    </row>
    <row r="73" spans="1:12" ht="31.5" customHeight="1">
      <c r="B73" s="78"/>
      <c r="C73" s="115" t="s">
        <v>122</v>
      </c>
      <c r="D73" s="43"/>
      <c r="E73" s="116"/>
      <c r="F73" s="113"/>
      <c r="G73" s="104"/>
      <c r="H73"/>
      <c r="I73" s="22"/>
      <c r="J73" s="113"/>
      <c r="K73" s="113"/>
      <c r="L73" s="113"/>
    </row>
    <row r="74" spans="1:12">
      <c r="B74" s="78"/>
      <c r="C74" s="99"/>
      <c r="D74" s="101"/>
      <c r="E74" s="93"/>
      <c r="F74"/>
      <c r="G74"/>
      <c r="H74" s="101"/>
      <c r="I74" s="22"/>
      <c r="J74"/>
      <c r="K74"/>
      <c r="L74"/>
    </row>
    <row r="75" spans="1:12" ht="15.75" customHeight="1">
      <c r="B75" s="78"/>
      <c r="C75" s="99" t="s">
        <v>123</v>
      </c>
      <c r="D75" s="118" t="s">
        <v>98</v>
      </c>
      <c r="E75" s="93"/>
      <c r="F75" s="113"/>
      <c r="G75"/>
      <c r="H75"/>
      <c r="I75" s="22"/>
      <c r="J75" s="113"/>
      <c r="K75" s="113"/>
      <c r="L75" s="113"/>
    </row>
    <row r="76" spans="1:12" ht="15.75" customHeight="1">
      <c r="B76" s="78"/>
      <c r="C76" s="99"/>
      <c r="D76" s="119"/>
      <c r="E76" s="93"/>
      <c r="F76" s="113"/>
      <c r="G76"/>
      <c r="H76"/>
      <c r="I76" s="22"/>
      <c r="J76" s="113"/>
      <c r="K76" s="113"/>
      <c r="L76" s="113"/>
    </row>
    <row r="77" spans="1:12" ht="25.5" customHeight="1">
      <c r="B77" s="78"/>
      <c r="C77" s="99" t="s">
        <v>124</v>
      </c>
      <c r="D77" s="43">
        <v>7864897.7595079998</v>
      </c>
      <c r="E77" s="102"/>
      <c r="F77" s="113"/>
      <c r="G77"/>
      <c r="H77"/>
      <c r="I77" s="22"/>
      <c r="J77" s="113"/>
      <c r="K77" s="113"/>
      <c r="L77" s="113"/>
    </row>
    <row r="78" spans="1:12" ht="14.25" customHeight="1">
      <c r="B78" s="78"/>
      <c r="C78" s="99"/>
      <c r="D78" s="120"/>
      <c r="E78" s="102"/>
      <c r="F78" s="113"/>
      <c r="G78"/>
      <c r="H78"/>
      <c r="I78" s="22"/>
      <c r="J78" s="113"/>
      <c r="K78" s="113"/>
      <c r="L78" s="113"/>
    </row>
    <row r="79" spans="1:12" ht="23.25" customHeight="1">
      <c r="B79" s="78"/>
      <c r="C79" s="99" t="s">
        <v>125</v>
      </c>
      <c r="D79" s="121">
        <v>3513956.7420060816</v>
      </c>
      <c r="E79" s="122"/>
      <c r="F79" s="113"/>
      <c r="G79"/>
      <c r="H79"/>
      <c r="I79" s="22"/>
      <c r="J79" s="113"/>
      <c r="K79" s="113"/>
      <c r="L79" s="113"/>
    </row>
    <row r="80" spans="1:12" ht="15.75" customHeight="1">
      <c r="B80" s="78"/>
      <c r="C80" s="99"/>
      <c r="D80" s="119"/>
      <c r="E80" s="93"/>
      <c r="F80" s="113"/>
      <c r="G80"/>
      <c r="H80"/>
      <c r="I80" s="22"/>
      <c r="J80" s="113"/>
      <c r="K80" s="113"/>
      <c r="L80" s="113"/>
    </row>
    <row r="81" spans="2:12" ht="30" customHeight="1">
      <c r="B81" s="78"/>
      <c r="C81" s="115" t="s">
        <v>126</v>
      </c>
      <c r="D81" s="26">
        <f>IFERROR(D79*(1-0.0005),0)</f>
        <v>3512199.7636350789</v>
      </c>
      <c r="E81" s="93"/>
      <c r="F81" s="113"/>
      <c r="G81"/>
      <c r="H81"/>
      <c r="I81" s="22"/>
      <c r="J81" s="113"/>
      <c r="K81" s="113"/>
      <c r="L81" s="113"/>
    </row>
    <row r="82" spans="2:12" ht="15.75" customHeight="1">
      <c r="B82" s="78"/>
      <c r="C82" s="99"/>
      <c r="D82" s="119"/>
      <c r="E82" s="93"/>
      <c r="F82" s="113"/>
      <c r="G82"/>
      <c r="H82"/>
      <c r="I82" s="22"/>
      <c r="J82" s="113"/>
      <c r="K82" s="113"/>
      <c r="L82" s="113"/>
    </row>
    <row r="83" spans="2:12" ht="11" thickBot="1">
      <c r="B83" s="78"/>
    </row>
    <row r="84" spans="2:12" ht="10.5">
      <c r="B84" s="78"/>
      <c r="C84" s="70"/>
      <c r="D84" s="72"/>
      <c r="E84" s="123" t="s">
        <v>127</v>
      </c>
      <c r="F84" s="124" t="s">
        <v>128</v>
      </c>
      <c r="G84" s="125" t="s">
        <v>129</v>
      </c>
      <c r="I84" s="22"/>
      <c r="J84" s="22"/>
      <c r="K84" s="22"/>
    </row>
    <row r="85" spans="2:12">
      <c r="B85" s="78"/>
      <c r="C85" s="126" t="s">
        <v>62</v>
      </c>
      <c r="D85" s="127"/>
      <c r="E85" s="128">
        <f ca="1">SUMIF($B$5:$G$42,$C85,$D$5:$D$42)</f>
        <v>326516.22010949999</v>
      </c>
      <c r="F85" s="129">
        <f ca="1">SUMIF($B$5:$G$42,$C85,$F$5:$F$42)</f>
        <v>134177.55553853814</v>
      </c>
      <c r="G85" s="130">
        <f ca="1">SUMIF($B$5:$G$42,$C85,$G$5:$G$42)</f>
        <v>192338.66457096185</v>
      </c>
      <c r="H85" s="127"/>
      <c r="I85" s="131"/>
      <c r="J85" s="132"/>
      <c r="K85" s="132"/>
    </row>
    <row r="86" spans="2:12">
      <c r="B86" s="78"/>
      <c r="C86" s="133" t="s">
        <v>66</v>
      </c>
      <c r="D86"/>
      <c r="E86" s="134">
        <f ca="1">SUMIF($B$5:$G$42,$C86,$D$5:$D$42)</f>
        <v>4270936.5028999997</v>
      </c>
      <c r="F86" s="135">
        <f ca="1">SUMIF($B$5:$G$42,$C86,$F$5:$F$42)</f>
        <v>1135814.8393000001</v>
      </c>
      <c r="G86" s="136">
        <f ca="1">SUMIF($B$5:$G$42,$C86,$G$5:$G$42)</f>
        <v>3135121.6636000006</v>
      </c>
      <c r="H86" s="137"/>
      <c r="I86" s="132"/>
      <c r="J86" s="132"/>
      <c r="K86" s="132"/>
    </row>
    <row r="87" spans="2:12">
      <c r="B87" s="138"/>
      <c r="C87" s="133" t="s">
        <v>83</v>
      </c>
      <c r="D87"/>
      <c r="E87" s="134">
        <f ca="1">SUMIF($B$5:$G$42,$C87,$D$5:$D$42)</f>
        <v>1257626.4603859452</v>
      </c>
      <c r="F87" s="135">
        <f ca="1">SUMIF($B$5:$G$42,$C87,$F$5:$F$42)</f>
        <v>602826.69349308289</v>
      </c>
      <c r="G87" s="136">
        <f ca="1">SUMIF($B$5:$G$42,$C87,$G$5:$G$42)</f>
        <v>654799.76689286227</v>
      </c>
      <c r="H87" s="137"/>
      <c r="I87" s="132"/>
      <c r="J87" s="132"/>
      <c r="K87" s="132"/>
    </row>
    <row r="88" spans="2:12" ht="15" thickBot="1">
      <c r="B88" s="138"/>
      <c r="C88" s="139" t="s">
        <v>130</v>
      </c>
      <c r="D88" s="140"/>
      <c r="E88" s="141">
        <f ca="1">SUM(E86:E87)</f>
        <v>5528562.9632859454</v>
      </c>
      <c r="F88" s="142">
        <f ca="1">SUM(F86:F87)</f>
        <v>1738641.532793083</v>
      </c>
      <c r="G88" s="143">
        <f ca="1">SUM(G86:G87)</f>
        <v>3789921.4304928631</v>
      </c>
      <c r="H88"/>
      <c r="I88" s="137"/>
      <c r="J88" s="137"/>
      <c r="K88" s="137"/>
    </row>
    <row r="89" spans="2:12" ht="15" thickBot="1">
      <c r="B89" s="138"/>
      <c r="C89" s="144"/>
      <c r="D89"/>
      <c r="E89" s="145"/>
      <c r="F89"/>
      <c r="G89"/>
      <c r="H89"/>
      <c r="I89"/>
      <c r="J89"/>
      <c r="K89"/>
    </row>
    <row r="90" spans="2:12">
      <c r="B90" s="138"/>
      <c r="C90" s="146" t="s">
        <v>131</v>
      </c>
      <c r="D90" s="147"/>
      <c r="E90" s="148">
        <f>SUM(F90:G90)</f>
        <v>0</v>
      </c>
      <c r="F90" s="149">
        <f>D71</f>
        <v>0</v>
      </c>
      <c r="G90" s="150">
        <f>D73</f>
        <v>0</v>
      </c>
      <c r="H90" s="104"/>
      <c r="I90" s="151"/>
      <c r="J90" s="151"/>
      <c r="K90" s="151"/>
    </row>
    <row r="91" spans="2:12">
      <c r="C91" s="133" t="s">
        <v>132</v>
      </c>
      <c r="D91"/>
      <c r="E91" s="134">
        <f>F91+G91</f>
        <v>-2991</v>
      </c>
      <c r="F91" s="152">
        <f>D67</f>
        <v>-177</v>
      </c>
      <c r="G91" s="153">
        <f>D69</f>
        <v>-2814</v>
      </c>
      <c r="H91" s="137"/>
      <c r="I91" s="151"/>
      <c r="J91" s="151"/>
      <c r="K91" s="151"/>
    </row>
    <row r="92" spans="2:12">
      <c r="C92" s="133" t="s">
        <v>133</v>
      </c>
      <c r="D92"/>
      <c r="E92" s="134">
        <f>F92+G92</f>
        <v>0</v>
      </c>
      <c r="F92" s="152"/>
      <c r="G92" s="153"/>
      <c r="H92"/>
      <c r="I92" s="151"/>
      <c r="J92" s="151"/>
      <c r="K92" s="151"/>
    </row>
    <row r="93" spans="2:12" ht="24.75" customHeight="1">
      <c r="C93" s="154" t="s">
        <v>134</v>
      </c>
      <c r="D93"/>
      <c r="E93" s="155"/>
      <c r="F93" s="156"/>
      <c r="G93" s="157"/>
      <c r="H93"/>
      <c r="I93" s="151"/>
      <c r="J93" s="151"/>
      <c r="K93" s="151"/>
    </row>
    <row r="94" spans="2:12" ht="15" thickBot="1">
      <c r="C94" s="158" t="s">
        <v>135</v>
      </c>
      <c r="D94" s="159"/>
      <c r="E94" s="160">
        <f>SUM(E90:E93)</f>
        <v>-2991</v>
      </c>
      <c r="F94" s="161">
        <f>SUM(F90:F93)</f>
        <v>-177</v>
      </c>
      <c r="G94" s="162">
        <f>SUM(G90:G93)</f>
        <v>-2814</v>
      </c>
      <c r="H94" s="163"/>
      <c r="I94" s="164"/>
      <c r="J94" s="163"/>
      <c r="K94" s="163"/>
    </row>
    <row r="95" spans="2:12" ht="15" thickBot="1">
      <c r="C95" s="165" t="s">
        <v>136</v>
      </c>
      <c r="D95" s="166"/>
      <c r="E95" s="167">
        <f ca="1">E88-E94</f>
        <v>5531553.9632859454</v>
      </c>
      <c r="F95" s="168">
        <f ca="1">F88-F94</f>
        <v>1738818.532793083</v>
      </c>
      <c r="G95" s="168">
        <f ca="1">G88-G94</f>
        <v>3792735.4304928631</v>
      </c>
      <c r="H95"/>
      <c r="I95"/>
      <c r="J95"/>
      <c r="K95"/>
    </row>
    <row r="96" spans="2:12">
      <c r="C96" s="144"/>
      <c r="D96"/>
      <c r="E96" s="169"/>
      <c r="F96"/>
      <c r="G96" s="151"/>
      <c r="H96"/>
      <c r="I96"/>
      <c r="J96"/>
      <c r="K96"/>
    </row>
    <row r="97" spans="3:11" ht="15" thickBot="1">
      <c r="C97" s="144"/>
      <c r="D97" s="568" t="s">
        <v>137</v>
      </c>
      <c r="E97" s="568"/>
      <c r="F97" s="568"/>
      <c r="G97" s="568"/>
      <c r="H97"/>
      <c r="I97" t="s">
        <v>138</v>
      </c>
      <c r="J97"/>
      <c r="K97"/>
    </row>
    <row r="98" spans="3:11" ht="15" thickBot="1">
      <c r="C98" s="144"/>
      <c r="E98" s="170" t="s">
        <v>127</v>
      </c>
      <c r="F98" s="171" t="s">
        <v>128</v>
      </c>
      <c r="G98" s="171" t="s">
        <v>129</v>
      </c>
      <c r="H98"/>
      <c r="I98" s="171" t="s">
        <v>127</v>
      </c>
      <c r="J98" s="144" t="s">
        <v>128</v>
      </c>
      <c r="K98" s="144" t="s">
        <v>129</v>
      </c>
    </row>
    <row r="99" spans="3:11">
      <c r="C99" s="146" t="str">
        <f t="shared" ref="C99:C110" si="12">C21</f>
        <v>Afiesere</v>
      </c>
      <c r="D99" s="172"/>
      <c r="E99" s="173"/>
      <c r="F99" s="174"/>
      <c r="G99" s="175"/>
      <c r="H99"/>
      <c r="I99" s="176">
        <f>SUM(J99:K99)</f>
        <v>789098.51870000002</v>
      </c>
      <c r="J99" s="177">
        <f>F21-F99</f>
        <v>196267.9192</v>
      </c>
      <c r="K99" s="178">
        <f>G21-G99</f>
        <v>592830.59950000001</v>
      </c>
    </row>
    <row r="100" spans="3:11">
      <c r="C100" s="179" t="str">
        <f t="shared" si="12"/>
        <v>Eriemu LACT (Eriemu, Olomoro, Oweh &amp; Uzere)</v>
      </c>
      <c r="D100" s="180"/>
      <c r="E100" s="181">
        <f>F100+G100</f>
        <v>-2991</v>
      </c>
      <c r="F100" s="182">
        <f>F94</f>
        <v>-177</v>
      </c>
      <c r="G100" s="183">
        <f>G94</f>
        <v>-2814</v>
      </c>
      <c r="H100"/>
      <c r="I100" s="184">
        <f>SUM(J100:K100)</f>
        <v>2704176.8040999998</v>
      </c>
      <c r="J100" s="185">
        <f t="shared" ref="J100:K110" si="13">F22-F100</f>
        <v>711057.43489999999</v>
      </c>
      <c r="K100" s="186">
        <f>G22-G100</f>
        <v>1993119.3691999998</v>
      </c>
    </row>
    <row r="101" spans="3:11">
      <c r="C101" s="133" t="str">
        <f t="shared" si="12"/>
        <v>Osioka  LACT (Evwreni &amp; Oroni)</v>
      </c>
      <c r="D101" s="180"/>
      <c r="E101" s="187"/>
      <c r="F101" s="182"/>
      <c r="G101" s="188"/>
      <c r="H101"/>
      <c r="I101" s="184">
        <f t="shared" ref="I101:I106" si="14">SUM(J101:K101)</f>
        <v>105758.99210000002</v>
      </c>
      <c r="J101" s="185">
        <f t="shared" si="13"/>
        <v>67766.724399999992</v>
      </c>
      <c r="K101" s="186">
        <f t="shared" si="13"/>
        <v>37992.267700000026</v>
      </c>
    </row>
    <row r="102" spans="3:11">
      <c r="C102" s="133" t="str">
        <f t="shared" si="12"/>
        <v>Kokori</v>
      </c>
      <c r="D102" s="180"/>
      <c r="E102" s="181"/>
      <c r="F102" s="189"/>
      <c r="G102" s="190"/>
      <c r="H102"/>
      <c r="I102" s="184">
        <f t="shared" si="14"/>
        <v>674893.18800000008</v>
      </c>
      <c r="J102" s="185">
        <f t="shared" si="13"/>
        <v>160899.76080000005</v>
      </c>
      <c r="K102" s="186">
        <f t="shared" si="13"/>
        <v>513993.42720000003</v>
      </c>
    </row>
    <row r="103" spans="3:11">
      <c r="C103" s="179" t="str">
        <f t="shared" si="12"/>
        <v>Olomoro</v>
      </c>
      <c r="D103" s="180"/>
      <c r="E103" s="181"/>
      <c r="F103" s="189"/>
      <c r="G103" s="190"/>
      <c r="H103"/>
      <c r="I103" s="184">
        <f>SUM(J103:K103)</f>
        <v>0</v>
      </c>
      <c r="J103" s="185">
        <f>F25-F103</f>
        <v>0</v>
      </c>
      <c r="K103" s="186">
        <f t="shared" si="13"/>
        <v>0</v>
      </c>
    </row>
    <row r="104" spans="3:11">
      <c r="C104" s="133" t="str">
        <f t="shared" si="12"/>
        <v>Oroni</v>
      </c>
      <c r="D104" s="180"/>
      <c r="E104" s="187"/>
      <c r="F104" s="191"/>
      <c r="G104" s="192"/>
      <c r="H104"/>
      <c r="I104" s="184">
        <f t="shared" si="14"/>
        <v>0</v>
      </c>
      <c r="J104" s="185">
        <f t="shared" si="13"/>
        <v>0</v>
      </c>
      <c r="K104" s="186">
        <f t="shared" si="13"/>
        <v>0</v>
      </c>
    </row>
    <row r="105" spans="3:11">
      <c r="C105" s="179" t="str">
        <f t="shared" si="12"/>
        <v>Oweh</v>
      </c>
      <c r="D105" s="180"/>
      <c r="E105" s="181"/>
      <c r="F105" s="193"/>
      <c r="G105" s="188"/>
      <c r="H105"/>
      <c r="I105" s="184">
        <f t="shared" si="14"/>
        <v>0</v>
      </c>
      <c r="J105" s="185">
        <f t="shared" si="13"/>
        <v>0</v>
      </c>
      <c r="K105" s="186">
        <f t="shared" si="13"/>
        <v>0</v>
      </c>
    </row>
    <row r="106" spans="3:11">
      <c r="C106" s="179" t="str">
        <f t="shared" si="12"/>
        <v>Uzere</v>
      </c>
      <c r="D106" s="180"/>
      <c r="E106" s="187"/>
      <c r="F106" s="191"/>
      <c r="G106" s="192"/>
      <c r="H106"/>
      <c r="I106" s="184">
        <f t="shared" si="14"/>
        <v>0</v>
      </c>
      <c r="J106" s="185">
        <f t="shared" si="13"/>
        <v>0</v>
      </c>
      <c r="K106" s="186">
        <f t="shared" si="13"/>
        <v>0</v>
      </c>
    </row>
    <row r="107" spans="3:11">
      <c r="C107" s="133" t="str">
        <f t="shared" si="12"/>
        <v>Ughelli_E LACT</v>
      </c>
      <c r="D107" s="180"/>
      <c r="E107" s="181"/>
      <c r="F107" s="193"/>
      <c r="G107" s="188"/>
      <c r="H107"/>
      <c r="I107" s="184">
        <f>SUM(J107:K107)</f>
        <v>440470.25247407425</v>
      </c>
      <c r="J107" s="185">
        <f t="shared" si="13"/>
        <v>222179.78660398943</v>
      </c>
      <c r="K107" s="186">
        <f>G29-G107</f>
        <v>218290.46587008482</v>
      </c>
    </row>
    <row r="108" spans="3:11">
      <c r="C108" s="133" t="str">
        <f t="shared" si="12"/>
        <v>Ughelli_W</v>
      </c>
      <c r="D108" s="180"/>
      <c r="E108" s="181"/>
      <c r="F108" s="193"/>
      <c r="G108" s="188"/>
      <c r="H108"/>
      <c r="I108" s="184">
        <f>SUM(J108:K108)</f>
        <v>0</v>
      </c>
      <c r="J108" s="185">
        <f t="shared" si="13"/>
        <v>0</v>
      </c>
      <c r="K108" s="186">
        <f t="shared" si="13"/>
        <v>0</v>
      </c>
    </row>
    <row r="109" spans="3:11">
      <c r="C109" s="133" t="str">
        <f t="shared" si="12"/>
        <v>Utorogu LACT</v>
      </c>
      <c r="D109" s="180"/>
      <c r="E109" s="181"/>
      <c r="F109" s="193"/>
      <c r="G109" s="188"/>
      <c r="H109"/>
      <c r="I109" s="184">
        <f>SUM(J109:K109)</f>
        <v>817156.20791187091</v>
      </c>
      <c r="J109" s="185">
        <f t="shared" si="13"/>
        <v>380646.90688909352</v>
      </c>
      <c r="K109" s="186">
        <f t="shared" si="13"/>
        <v>436509.30102277739</v>
      </c>
    </row>
    <row r="110" spans="3:11">
      <c r="C110" s="133" t="str">
        <f t="shared" si="12"/>
        <v>Utorogu GP</v>
      </c>
      <c r="D110" s="180"/>
      <c r="E110" s="181"/>
      <c r="F110" s="193"/>
      <c r="G110" s="188"/>
      <c r="H110"/>
      <c r="I110" s="184">
        <f>SUM(J110:K110)</f>
        <v>0</v>
      </c>
      <c r="J110" s="185">
        <f t="shared" si="13"/>
        <v>0</v>
      </c>
      <c r="K110" s="186">
        <f t="shared" si="13"/>
        <v>0</v>
      </c>
    </row>
    <row r="111" spans="3:11">
      <c r="C111" s="133"/>
      <c r="D111" s="180"/>
      <c r="E111" s="187"/>
      <c r="F111" s="191"/>
      <c r="G111" s="192"/>
      <c r="H111"/>
      <c r="I111" s="194"/>
      <c r="J111" s="135"/>
      <c r="K111" s="136"/>
    </row>
    <row r="112" spans="3:11" ht="15" thickBot="1">
      <c r="C112" s="158" t="s">
        <v>139</v>
      </c>
      <c r="D112" s="195"/>
      <c r="E112" s="196">
        <f>SUM(E99:E109)</f>
        <v>-2991</v>
      </c>
      <c r="F112" s="197">
        <f>SUM(F99:F109)</f>
        <v>-177</v>
      </c>
      <c r="G112" s="198">
        <f>SUM(G99:G109)</f>
        <v>-2814</v>
      </c>
      <c r="H112" s="163"/>
      <c r="I112" s="199">
        <f>SUM(I99:I110)</f>
        <v>5531553.9632859454</v>
      </c>
      <c r="J112" s="197">
        <f>SUM(J99:J110)</f>
        <v>1738818.5327930832</v>
      </c>
      <c r="K112" s="198">
        <f>SUM(K99:K110)</f>
        <v>3792735.4304928626</v>
      </c>
    </row>
    <row r="113" spans="3:11" ht="15" thickBot="1">
      <c r="C113" s="144"/>
      <c r="D113"/>
      <c r="E113" s="169"/>
      <c r="F113"/>
      <c r="G113"/>
      <c r="H113"/>
      <c r="I113"/>
      <c r="J113"/>
      <c r="K113"/>
    </row>
    <row r="114" spans="3:11" ht="15" thickBot="1">
      <c r="C114" s="146" t="s">
        <v>140</v>
      </c>
      <c r="D114" s="147"/>
      <c r="E114" s="200"/>
      <c r="F114" s="200"/>
      <c r="G114" s="201"/>
      <c r="H114"/>
      <c r="I114" s="137"/>
      <c r="J114" s="137"/>
      <c r="K114" s="137"/>
    </row>
    <row r="115" spans="3:11" ht="15" hidden="1" thickBot="1">
      <c r="C115" s="139" t="s">
        <v>141</v>
      </c>
      <c r="D115" s="140"/>
      <c r="E115" s="202">
        <f>SUM(F115:G115)</f>
        <v>0</v>
      </c>
      <c r="F115" s="203">
        <f>F109+F107</f>
        <v>0</v>
      </c>
      <c r="G115" s="203">
        <f>G109+G107</f>
        <v>0</v>
      </c>
      <c r="H115" s="104"/>
      <c r="I115" s="104">
        <f ca="1">E95-I112</f>
        <v>0</v>
      </c>
      <c r="J115"/>
      <c r="K115"/>
    </row>
    <row r="116" spans="3:11" ht="15" thickBot="1">
      <c r="C116" s="204" t="s">
        <v>142</v>
      </c>
      <c r="D116" s="205"/>
      <c r="E116" s="206">
        <f>SUM(E114:E115)</f>
        <v>0</v>
      </c>
      <c r="F116" s="206">
        <f>SUM(F114:F115)</f>
        <v>0</v>
      </c>
      <c r="G116" s="207">
        <f>SUM(G114:G115)</f>
        <v>0</v>
      </c>
      <c r="H116"/>
      <c r="I116"/>
      <c r="J116"/>
      <c r="K116"/>
    </row>
    <row r="117" spans="3:11" ht="15" thickBot="1">
      <c r="C117" s="208" t="s">
        <v>143</v>
      </c>
      <c r="D117" s="209"/>
      <c r="E117" s="210">
        <f>SUM(F117:G117)</f>
        <v>-2991</v>
      </c>
      <c r="F117" s="210">
        <f>SUM(F99:F100)</f>
        <v>-177</v>
      </c>
      <c r="G117" s="211">
        <f>G100</f>
        <v>-2814</v>
      </c>
      <c r="H117"/>
      <c r="I117"/>
      <c r="J117"/>
      <c r="K117"/>
    </row>
    <row r="118" spans="3:11">
      <c r="E118" s="212">
        <f>SUM(E116:E117)</f>
        <v>-2991</v>
      </c>
      <c r="F118" s="212">
        <f>SUM(F116:F117)</f>
        <v>-177</v>
      </c>
      <c r="G118" s="212">
        <f>SUM(G116:G117)</f>
        <v>-2814</v>
      </c>
      <c r="H118"/>
      <c r="I118"/>
      <c r="J118"/>
      <c r="K118"/>
    </row>
    <row r="119" spans="3:11">
      <c r="C119" s="144"/>
      <c r="D119"/>
      <c r="E119" s="169"/>
      <c r="F119" s="145"/>
      <c r="G119"/>
      <c r="H119"/>
      <c r="I119"/>
      <c r="J119"/>
      <c r="K119"/>
    </row>
    <row r="120" spans="3:11">
      <c r="C120" s="144"/>
      <c r="D120"/>
      <c r="H120"/>
      <c r="I120"/>
      <c r="J120"/>
      <c r="K120"/>
    </row>
    <row r="121" spans="3:11">
      <c r="C121" s="144"/>
      <c r="D121"/>
      <c r="E121" s="169"/>
      <c r="F121"/>
      <c r="G121"/>
      <c r="H121"/>
      <c r="I121"/>
      <c r="J121"/>
      <c r="K121"/>
    </row>
    <row r="122" spans="3:11">
      <c r="C122" s="144"/>
      <c r="D122"/>
      <c r="E122" s="169"/>
      <c r="F122"/>
      <c r="G122"/>
      <c r="H122"/>
      <c r="I122"/>
      <c r="J122"/>
      <c r="K122"/>
    </row>
    <row r="123" spans="3:11">
      <c r="C123" s="144"/>
      <c r="D123"/>
      <c r="E123" s="169"/>
      <c r="F123"/>
      <c r="G123"/>
      <c r="H123"/>
      <c r="I123"/>
      <c r="J123"/>
      <c r="K123"/>
    </row>
    <row r="124" spans="3:11" hidden="1">
      <c r="C124" s="144"/>
      <c r="D124"/>
      <c r="E124" s="169"/>
      <c r="F124"/>
      <c r="G124"/>
      <c r="H124"/>
      <c r="I124"/>
      <c r="J124"/>
      <c r="K124"/>
    </row>
    <row r="125" spans="3:11" ht="10.5" hidden="1" customHeight="1">
      <c r="C125" s="144"/>
      <c r="D125"/>
      <c r="E125" s="169"/>
      <c r="F125"/>
      <c r="G125"/>
      <c r="H125"/>
      <c r="I125"/>
      <c r="J125" s="213" t="s">
        <v>29</v>
      </c>
      <c r="K125"/>
    </row>
    <row r="126" spans="3:11" ht="10.5" hidden="1" customHeight="1">
      <c r="C126" s="144"/>
      <c r="D126"/>
      <c r="E126" s="169"/>
      <c r="F126"/>
      <c r="G126"/>
      <c r="H126"/>
      <c r="I126"/>
      <c r="J126" s="213" t="s">
        <v>30</v>
      </c>
      <c r="K126"/>
    </row>
    <row r="127" spans="3:11" ht="10.5" hidden="1" customHeight="1">
      <c r="C127" s="144"/>
      <c r="D127"/>
      <c r="E127" s="169"/>
      <c r="F127"/>
      <c r="G127"/>
      <c r="H127"/>
      <c r="I127"/>
      <c r="K127"/>
    </row>
    <row r="128" spans="3:11" ht="10.5" hidden="1" customHeight="1">
      <c r="C128" s="144"/>
      <c r="D128"/>
      <c r="E128" s="169"/>
      <c r="F128"/>
      <c r="G128"/>
      <c r="H128"/>
      <c r="I128"/>
      <c r="K128"/>
    </row>
    <row r="129" spans="3:11" ht="10.5" hidden="1" customHeight="1">
      <c r="C129" s="144"/>
      <c r="D129"/>
      <c r="E129" s="169"/>
      <c r="F129"/>
      <c r="G129"/>
      <c r="H129"/>
      <c r="I129"/>
      <c r="J129" s="1" t="s">
        <v>64</v>
      </c>
      <c r="K129"/>
    </row>
    <row r="130" spans="3:11" ht="10.5" hidden="1" customHeight="1">
      <c r="C130" s="144"/>
      <c r="D130"/>
      <c r="E130" s="169"/>
      <c r="F130"/>
      <c r="G130"/>
      <c r="H130"/>
      <c r="I130"/>
      <c r="J130" s="1" t="s">
        <v>31</v>
      </c>
      <c r="K130"/>
    </row>
    <row r="131" spans="3:11" ht="10.5" hidden="1" customHeight="1">
      <c r="C131" s="144"/>
      <c r="D131"/>
      <c r="E131" s="169"/>
      <c r="F131"/>
      <c r="G131"/>
      <c r="H131"/>
      <c r="I131"/>
      <c r="J131" s="1" t="s">
        <v>48</v>
      </c>
      <c r="K131"/>
    </row>
    <row r="132" spans="3:11" ht="10.5" hidden="1" customHeight="1">
      <c r="C132" s="144"/>
      <c r="D132"/>
      <c r="E132" s="169"/>
      <c r="F132"/>
      <c r="G132"/>
      <c r="H132"/>
      <c r="I132"/>
      <c r="J132"/>
      <c r="K132"/>
    </row>
    <row r="133" spans="3:11" hidden="1">
      <c r="C133" s="144"/>
      <c r="D133"/>
      <c r="E133" s="169"/>
      <c r="F133"/>
      <c r="G133"/>
      <c r="H133"/>
      <c r="I133"/>
      <c r="J133"/>
      <c r="K133"/>
    </row>
    <row r="134" spans="3:11">
      <c r="C134" s="144"/>
      <c r="D134"/>
      <c r="E134" s="169"/>
      <c r="F134"/>
      <c r="G134"/>
      <c r="H134"/>
      <c r="I134"/>
      <c r="J134"/>
      <c r="K134"/>
    </row>
    <row r="135" spans="3:11">
      <c r="C135" s="144"/>
      <c r="D135"/>
      <c r="E135" s="169"/>
      <c r="F135"/>
      <c r="G135"/>
      <c r="H135"/>
      <c r="I135"/>
      <c r="J135"/>
      <c r="K135"/>
    </row>
    <row r="136" spans="3:11">
      <c r="C136" s="144"/>
      <c r="D136"/>
      <c r="E136" s="169"/>
      <c r="F136"/>
      <c r="G136"/>
      <c r="H136"/>
      <c r="I136"/>
      <c r="J136"/>
      <c r="K136"/>
    </row>
    <row r="137" spans="3:11">
      <c r="C137" s="144"/>
      <c r="D137"/>
      <c r="E137" s="169"/>
      <c r="F137"/>
      <c r="G137"/>
      <c r="H137"/>
      <c r="I137"/>
      <c r="J137"/>
      <c r="K137"/>
    </row>
    <row r="138" spans="3:11">
      <c r="C138" s="144"/>
      <c r="D138"/>
      <c r="E138" s="169"/>
      <c r="F138"/>
      <c r="G138"/>
      <c r="H138"/>
      <c r="I138"/>
      <c r="J138"/>
      <c r="K138"/>
    </row>
    <row r="139" spans="3:11">
      <c r="C139" s="144"/>
      <c r="D139"/>
      <c r="E139" s="169"/>
      <c r="F139"/>
      <c r="G139"/>
      <c r="H139"/>
      <c r="I139"/>
      <c r="J139"/>
      <c r="K139"/>
    </row>
    <row r="140" spans="3:11">
      <c r="C140" s="144"/>
      <c r="D140"/>
      <c r="E140" s="169"/>
      <c r="F140"/>
      <c r="G140"/>
      <c r="H140"/>
      <c r="I140"/>
      <c r="J140"/>
      <c r="K140"/>
    </row>
    <row r="141" spans="3:11">
      <c r="C141" s="144"/>
      <c r="D141"/>
      <c r="E141" s="169"/>
      <c r="F141"/>
      <c r="G141"/>
      <c r="H141"/>
      <c r="I141"/>
      <c r="J141"/>
      <c r="K141"/>
    </row>
    <row r="142" spans="3:11">
      <c r="C142" s="144"/>
      <c r="D142"/>
      <c r="E142" s="169"/>
      <c r="F142"/>
      <c r="G142"/>
      <c r="H142"/>
      <c r="I142"/>
      <c r="J142"/>
      <c r="K142"/>
    </row>
    <row r="143" spans="3:11">
      <c r="C143" s="144"/>
      <c r="D143"/>
      <c r="E143" s="169"/>
      <c r="F143"/>
      <c r="G143"/>
      <c r="H143"/>
      <c r="I143"/>
      <c r="J143"/>
      <c r="K143"/>
    </row>
    <row r="144" spans="3:11">
      <c r="C144" s="144"/>
      <c r="D144"/>
      <c r="E144" s="169"/>
      <c r="F144"/>
      <c r="G144"/>
      <c r="H144"/>
      <c r="I144"/>
      <c r="J144"/>
      <c r="K144"/>
    </row>
    <row r="145" spans="3:11">
      <c r="C145" s="144"/>
      <c r="D145"/>
      <c r="E145" s="169"/>
      <c r="F145"/>
      <c r="G145"/>
      <c r="H145"/>
      <c r="I145"/>
      <c r="J145"/>
      <c r="K145"/>
    </row>
    <row r="146" spans="3:11">
      <c r="C146" s="144"/>
      <c r="D146"/>
      <c r="E146" s="169"/>
      <c r="F146"/>
      <c r="G146"/>
      <c r="H146"/>
      <c r="I146"/>
      <c r="J146"/>
      <c r="K146"/>
    </row>
    <row r="147" spans="3:11">
      <c r="C147" s="144"/>
      <c r="D147"/>
      <c r="E147" s="169"/>
      <c r="F147"/>
      <c r="G147"/>
      <c r="H147"/>
      <c r="I147"/>
      <c r="J147"/>
      <c r="K147"/>
    </row>
    <row r="148" spans="3:11">
      <c r="C148" s="144"/>
      <c r="D148"/>
      <c r="E148" s="169"/>
      <c r="F148"/>
      <c r="G148"/>
      <c r="H148"/>
      <c r="I148"/>
      <c r="J148"/>
      <c r="K148"/>
    </row>
    <row r="149" spans="3:11">
      <c r="C149" s="144"/>
      <c r="D149"/>
      <c r="E149" s="169"/>
      <c r="F149"/>
      <c r="G149"/>
      <c r="H149"/>
      <c r="I149"/>
      <c r="J149"/>
      <c r="K149"/>
    </row>
    <row r="150" spans="3:11">
      <c r="C150" s="144"/>
      <c r="D150"/>
      <c r="E150" s="169"/>
      <c r="F150"/>
      <c r="G150"/>
      <c r="H150"/>
      <c r="I150"/>
      <c r="J150"/>
      <c r="K150"/>
    </row>
    <row r="151" spans="3:11">
      <c r="C151" s="144"/>
      <c r="D151"/>
      <c r="E151" s="169"/>
      <c r="F151"/>
      <c r="G151"/>
      <c r="H151"/>
      <c r="I151"/>
      <c r="J151"/>
      <c r="K151"/>
    </row>
    <row r="166" spans="13:17">
      <c r="M166" s="213" t="s">
        <v>24</v>
      </c>
      <c r="N166" s="40"/>
      <c r="O166" s="40"/>
      <c r="P166" s="213" t="s">
        <v>29</v>
      </c>
      <c r="Q166" s="40"/>
    </row>
    <row r="167" spans="13:17">
      <c r="M167" s="213" t="s">
        <v>34</v>
      </c>
      <c r="N167" s="40"/>
      <c r="O167" s="40"/>
      <c r="P167" s="213" t="s">
        <v>30</v>
      </c>
      <c r="Q167" s="40"/>
    </row>
    <row r="168" spans="13:17">
      <c r="M168" s="213" t="s">
        <v>38</v>
      </c>
    </row>
    <row r="169" spans="13:17">
      <c r="M169" s="213" t="s">
        <v>28</v>
      </c>
    </row>
    <row r="170" spans="13:17">
      <c r="M170" s="56" t="s">
        <v>21</v>
      </c>
      <c r="P170" s="1" t="s">
        <v>64</v>
      </c>
    </row>
    <row r="171" spans="13:17">
      <c r="M171" s="56" t="s">
        <v>37</v>
      </c>
      <c r="P171" s="1" t="s">
        <v>31</v>
      </c>
    </row>
    <row r="172" spans="13:17">
      <c r="M172" s="56" t="s">
        <v>41</v>
      </c>
      <c r="P172" s="1" t="s">
        <v>48</v>
      </c>
    </row>
  </sheetData>
  <autoFilter ref="A3:AF42" xr:uid="{66C4E156-5806-4120-9F8F-D64CEE3479E2}">
    <filterColumn colId="21" showButton="0"/>
    <filterColumn colId="22" showButton="0"/>
    <filterColumn colId="23" showButton="0"/>
    <filterColumn colId="26" showButton="0"/>
    <filterColumn colId="27" showButton="0"/>
    <filterColumn colId="28" showButton="0"/>
  </autoFilter>
  <mergeCells count="13">
    <mergeCell ref="V26:W26"/>
    <mergeCell ref="V3:Y3"/>
    <mergeCell ref="AA3:AD3"/>
    <mergeCell ref="V4:V7"/>
    <mergeCell ref="AA4:AA7"/>
    <mergeCell ref="V25:X25"/>
    <mergeCell ref="D97:G97"/>
    <mergeCell ref="V27:W27"/>
    <mergeCell ref="Y27:AD28"/>
    <mergeCell ref="V28:W28"/>
    <mergeCell ref="V31:X31"/>
    <mergeCell ref="V32:W32"/>
    <mergeCell ref="V35:W35"/>
  </mergeCells>
  <dataValidations count="4">
    <dataValidation type="list" allowBlank="1" showInputMessage="1" showErrorMessage="1" error="Please select from provided list and refer to table 1" sqref="O5:O42" xr:uid="{F5C6CE1C-B2E9-4AB1-B9B5-4B1867002079}">
      <formula1>$AF$5:$AF$10</formula1>
    </dataValidation>
    <dataValidation type="list" allowBlank="1" showInputMessage="1" showErrorMessage="1" error="Please Select Yes or No - See the Instruction Worksheet for more info" sqref="S5:S42" xr:uid="{E1E762EC-7101-455A-AED7-52471E506B49}">
      <formula1>$J$129:$J$131</formula1>
    </dataValidation>
    <dataValidation type="list" allowBlank="1" showInputMessage="1" showErrorMessage="1" error="Please Select Yes or No - See the Instruction Worksheet for more info" sqref="P5:P42 R5:R42" xr:uid="{37B4398A-1342-469E-9629-C6E95468C2A0}">
      <formula1>$J$125:$J$126</formula1>
    </dataValidation>
    <dataValidation type="list" allowBlank="1" showInputMessage="1" showErrorMessage="1" error="Please Select Yes or No - See the Instruction Worksheet for more info" sqref="Q5:Q42" xr:uid="{FBA2C76D-9751-4C61-8803-38C9630AB718}">
      <formula1>$P$166:$P$167</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E3C4-837E-4724-9064-5FE0B4C8A136}">
  <sheetPr>
    <tabColor rgb="FFC00000"/>
    <pageSetUpPr fitToPage="1"/>
  </sheetPr>
  <dimension ref="A1:DM108"/>
  <sheetViews>
    <sheetView tabSelected="1" topLeftCell="CS3" zoomScale="50" zoomScaleNormal="50" workbookViewId="0">
      <selection activeCell="DE4" sqref="CW1:DE1048576"/>
    </sheetView>
  </sheetViews>
  <sheetFormatPr defaultColWidth="9.1796875" defaultRowHeight="15.5"/>
  <cols>
    <col min="1" max="1" width="2.1796875" customWidth="1"/>
    <col min="2" max="2" width="4.453125" customWidth="1"/>
    <col min="3" max="3" width="30.453125" customWidth="1"/>
    <col min="4" max="4" width="14.453125" customWidth="1"/>
    <col min="5" max="5" width="26.1796875" customWidth="1"/>
    <col min="6" max="6" width="25.1796875" customWidth="1"/>
    <col min="7" max="7" width="17.81640625" customWidth="1"/>
    <col min="8" max="8" width="16.81640625" customWidth="1"/>
    <col min="9" max="9" width="19.1796875" customWidth="1"/>
    <col min="10" max="10" width="15.1796875" bestFit="1" customWidth="1"/>
    <col min="11" max="11" width="13.1796875" bestFit="1" customWidth="1"/>
    <col min="12" max="12" width="16.81640625" customWidth="1"/>
    <col min="13" max="13" width="25.7265625" customWidth="1"/>
    <col min="14" max="14" width="16.81640625" bestFit="1" customWidth="1"/>
    <col min="15" max="15" width="12" customWidth="1"/>
    <col min="16" max="16" width="18" customWidth="1"/>
    <col min="17" max="17" width="18.54296875" customWidth="1"/>
    <col min="18" max="18" width="20.26953125" customWidth="1"/>
    <col min="19" max="19" width="20" customWidth="1"/>
    <col min="20" max="20" width="17.1796875" customWidth="1"/>
    <col min="21" max="21" width="18.81640625" customWidth="1"/>
    <col min="22" max="22" width="20.81640625" customWidth="1"/>
    <col min="23" max="23" width="18" customWidth="1"/>
    <col min="24" max="24" width="17.54296875" customWidth="1"/>
    <col min="25" max="25" width="16.26953125" customWidth="1"/>
    <col min="26" max="26" width="15.7265625" customWidth="1"/>
    <col min="27" max="27" width="18" customWidth="1"/>
    <col min="28" max="28" width="17.453125" customWidth="1"/>
    <col min="29" max="31" width="20.26953125" customWidth="1"/>
    <col min="32" max="32" width="10.1796875" customWidth="1"/>
    <col min="33" max="33" width="17" style="224" customWidth="1"/>
    <col min="34" max="34" width="19.26953125" style="224" customWidth="1"/>
    <col min="35" max="35" width="23" customWidth="1"/>
    <col min="36" max="36" width="19.453125" customWidth="1"/>
    <col min="37" max="39" width="16.81640625" customWidth="1"/>
    <col min="40" max="40" width="17" hidden="1" customWidth="1"/>
    <col min="41" max="42" width="20.1796875" hidden="1" customWidth="1"/>
    <col min="43" max="43" width="20.1796875" customWidth="1"/>
    <col min="44" max="47" width="17" customWidth="1"/>
    <col min="48" max="48" width="15" customWidth="1"/>
    <col min="49" max="49" width="16.453125" hidden="1" customWidth="1"/>
    <col min="50" max="50" width="15.1796875" hidden="1" customWidth="1"/>
    <col min="51" max="51" width="12.7265625" hidden="1" customWidth="1"/>
    <col min="52" max="52" width="13" hidden="1" customWidth="1"/>
    <col min="53" max="53" width="16.26953125" hidden="1" customWidth="1"/>
    <col min="54" max="54" width="12.7265625" hidden="1" customWidth="1"/>
    <col min="55" max="55" width="11" hidden="1" customWidth="1"/>
    <col min="56" max="56" width="15.1796875" hidden="1" customWidth="1"/>
    <col min="57" max="57" width="11" hidden="1" customWidth="1"/>
    <col min="58" max="58" width="14" hidden="1" customWidth="1"/>
    <col min="59" max="59" width="13.81640625" hidden="1" customWidth="1"/>
    <col min="60" max="60" width="15.26953125" hidden="1" customWidth="1"/>
    <col min="61" max="61" width="13.7265625" hidden="1" customWidth="1"/>
    <col min="62" max="62" width="16.7265625" hidden="1" customWidth="1"/>
    <col min="63" max="63" width="11.7265625" hidden="1" customWidth="1"/>
    <col min="64" max="66" width="9.81640625" hidden="1" customWidth="1"/>
    <col min="67" max="67" width="16.1796875" hidden="1" customWidth="1"/>
    <col min="68" max="68" width="9.81640625" hidden="1" customWidth="1"/>
    <col min="69" max="69" width="10.7265625" hidden="1" customWidth="1"/>
    <col min="70" max="75" width="9.81640625" hidden="1" customWidth="1"/>
    <col min="76" max="76" width="3" hidden="1" customWidth="1"/>
    <col min="77" max="77" width="13.26953125" hidden="1" customWidth="1"/>
    <col min="78" max="79" width="22" customWidth="1"/>
    <col min="80" max="81" width="15.1796875" customWidth="1"/>
    <col min="82" max="82" width="19.7265625" customWidth="1"/>
    <col min="83" max="83" width="18" customWidth="1"/>
    <col min="84" max="84" width="13.7265625" customWidth="1"/>
    <col min="85" max="85" width="15" bestFit="1" customWidth="1"/>
    <col min="86" max="86" width="15.1796875" customWidth="1"/>
    <col min="87" max="87" width="15" bestFit="1" customWidth="1"/>
    <col min="88" max="88" width="16" bestFit="1" customWidth="1"/>
    <col min="89" max="89" width="15" bestFit="1" customWidth="1"/>
    <col min="90" max="90" width="17.1796875" customWidth="1"/>
    <col min="91" max="91" width="15" bestFit="1" customWidth="1"/>
    <col min="92" max="92" width="13.54296875" style="127" customWidth="1"/>
    <col min="93" max="93" width="9.1796875" style="220"/>
    <col min="99" max="99" width="65.81640625" customWidth="1"/>
    <col min="100" max="100" width="25.1796875" customWidth="1"/>
    <col min="101" max="101" width="24.1796875" hidden="1" customWidth="1"/>
    <col min="102" max="102" width="27" hidden="1" customWidth="1"/>
    <col min="103" max="103" width="26" hidden="1" customWidth="1"/>
    <col min="104" max="104" width="27.453125" hidden="1" customWidth="1"/>
    <col min="105" max="105" width="24.81640625" hidden="1" customWidth="1"/>
    <col min="106" max="106" width="20.26953125" hidden="1" customWidth="1"/>
    <col min="107" max="107" width="22.26953125" hidden="1" customWidth="1"/>
    <col min="108" max="109" width="20.26953125" hidden="1" customWidth="1"/>
    <col min="110" max="110" width="24.81640625" customWidth="1"/>
    <col min="111" max="111" width="28.7265625" customWidth="1"/>
    <col min="112" max="112" width="17.54296875" style="225" customWidth="1"/>
    <col min="113" max="113" width="19.26953125" style="225" customWidth="1"/>
    <col min="114" max="114" width="19.81640625" style="225" customWidth="1"/>
    <col min="115" max="115" width="19.7265625" style="225" customWidth="1"/>
    <col min="116" max="116" width="18" style="225" customWidth="1"/>
    <col min="117" max="117" width="16.26953125" style="225" customWidth="1"/>
  </cols>
  <sheetData>
    <row r="1" spans="2:117" s="2" customFormat="1" ht="28.5" customHeight="1" thickBot="1">
      <c r="C1" s="214"/>
      <c r="F1" s="633"/>
      <c r="G1" s="633"/>
      <c r="H1" s="633"/>
      <c r="I1" s="633"/>
      <c r="J1" s="215"/>
      <c r="K1" s="633"/>
      <c r="L1" s="633"/>
      <c r="M1" s="633"/>
      <c r="N1" s="633"/>
      <c r="O1" s="633"/>
      <c r="P1" s="633"/>
      <c r="R1" s="216"/>
      <c r="S1" s="216"/>
      <c r="T1" s="216"/>
      <c r="U1" s="216"/>
      <c r="V1" s="217"/>
      <c r="W1" s="216"/>
      <c r="X1" s="216"/>
      <c r="Y1" s="216"/>
      <c r="Z1" s="216"/>
      <c r="AA1" s="216"/>
      <c r="AB1" s="216"/>
      <c r="AC1" s="216"/>
      <c r="AD1" s="216"/>
      <c r="AE1" s="216"/>
      <c r="AF1" s="216"/>
      <c r="AG1" s="218"/>
      <c r="AH1" s="218"/>
      <c r="BZ1" s="219"/>
      <c r="CA1" s="219"/>
      <c r="CN1" s="220"/>
      <c r="CO1" s="220"/>
      <c r="DH1" s="221"/>
      <c r="DI1" s="221"/>
      <c r="DJ1" s="221"/>
      <c r="DK1" s="221"/>
      <c r="DL1" s="221"/>
      <c r="DM1" s="221"/>
    </row>
    <row r="2" spans="2:117" ht="23.25" customHeight="1" thickBot="1">
      <c r="F2" s="634" t="s">
        <v>144</v>
      </c>
      <c r="G2" s="634"/>
      <c r="H2" s="634"/>
      <c r="I2" s="634"/>
      <c r="J2" s="635" t="s">
        <v>145</v>
      </c>
      <c r="K2" s="635"/>
      <c r="L2" s="635"/>
      <c r="M2" s="635"/>
      <c r="N2" s="635"/>
      <c r="O2" s="222"/>
      <c r="P2" s="636" t="s">
        <v>146</v>
      </c>
      <c r="Q2" s="636"/>
      <c r="R2" s="636"/>
      <c r="S2" s="636"/>
      <c r="T2" s="636"/>
      <c r="U2" s="636"/>
      <c r="V2" s="636"/>
      <c r="W2" s="637" t="s">
        <v>147</v>
      </c>
      <c r="X2" s="637"/>
      <c r="Y2" s="637"/>
      <c r="Z2" s="620" t="s">
        <v>148</v>
      </c>
      <c r="AA2" s="620"/>
      <c r="AB2" s="620"/>
      <c r="AC2" s="621" t="s">
        <v>149</v>
      </c>
      <c r="AD2" s="621"/>
      <c r="AE2" s="621"/>
      <c r="AF2" s="223"/>
      <c r="CE2" s="104"/>
    </row>
    <row r="3" spans="2:117" ht="42.65" customHeight="1" thickBot="1">
      <c r="C3" s="226" t="s">
        <v>150</v>
      </c>
      <c r="D3" s="5" t="s">
        <v>1</v>
      </c>
      <c r="E3" s="227" t="s">
        <v>2</v>
      </c>
      <c r="F3" s="227" t="s">
        <v>3</v>
      </c>
      <c r="G3" s="227" t="s">
        <v>151</v>
      </c>
      <c r="H3" s="227" t="s">
        <v>152</v>
      </c>
      <c r="I3" s="227" t="s">
        <v>153</v>
      </c>
      <c r="J3" s="227" t="s">
        <v>7</v>
      </c>
      <c r="K3" s="227" t="s">
        <v>154</v>
      </c>
      <c r="L3" s="227" t="s">
        <v>155</v>
      </c>
      <c r="M3" s="227" t="s">
        <v>156</v>
      </c>
      <c r="N3" s="227" t="s">
        <v>157</v>
      </c>
      <c r="O3" s="227" t="s">
        <v>12</v>
      </c>
      <c r="P3" s="227" t="s">
        <v>158</v>
      </c>
      <c r="Q3" s="227" t="s">
        <v>159</v>
      </c>
      <c r="R3" s="228" t="s">
        <v>160</v>
      </c>
      <c r="S3" s="227" t="s">
        <v>161</v>
      </c>
      <c r="T3" s="227" t="s">
        <v>162</v>
      </c>
      <c r="U3" s="227" t="s">
        <v>163</v>
      </c>
      <c r="V3" s="227" t="s">
        <v>164</v>
      </c>
      <c r="W3" s="227" t="s">
        <v>127</v>
      </c>
      <c r="X3" s="227" t="s">
        <v>165</v>
      </c>
      <c r="Y3" s="227" t="s">
        <v>166</v>
      </c>
      <c r="Z3" s="227" t="s">
        <v>127</v>
      </c>
      <c r="AA3" s="227" t="s">
        <v>129</v>
      </c>
      <c r="AB3" s="227" t="s">
        <v>166</v>
      </c>
      <c r="AC3" s="227" t="s">
        <v>167</v>
      </c>
      <c r="AD3" s="227" t="s">
        <v>168</v>
      </c>
      <c r="AE3" s="227" t="s">
        <v>169</v>
      </c>
      <c r="AF3" s="227"/>
      <c r="AG3" s="227" t="s">
        <v>170</v>
      </c>
      <c r="AH3" s="227" t="s">
        <v>171</v>
      </c>
      <c r="AI3" s="220"/>
      <c r="AJ3" s="227" t="s">
        <v>172</v>
      </c>
      <c r="AK3" s="227" t="s">
        <v>173</v>
      </c>
      <c r="AL3" s="227" t="s">
        <v>174</v>
      </c>
      <c r="AM3" s="229" t="s">
        <v>175</v>
      </c>
      <c r="AN3" s="229" t="s">
        <v>176</v>
      </c>
      <c r="AO3" s="227" t="s">
        <v>177</v>
      </c>
      <c r="AP3" s="230" t="s">
        <v>178</v>
      </c>
      <c r="AQ3" s="230" t="s">
        <v>179</v>
      </c>
      <c r="AR3" s="230" t="s">
        <v>180</v>
      </c>
      <c r="AS3" s="230" t="s">
        <v>181</v>
      </c>
      <c r="AT3" s="230" t="s">
        <v>182</v>
      </c>
      <c r="AU3" s="230" t="s">
        <v>183</v>
      </c>
      <c r="AX3" s="622" t="s">
        <v>184</v>
      </c>
      <c r="AY3" s="623"/>
      <c r="AZ3" s="624"/>
      <c r="BA3" s="625" t="s">
        <v>185</v>
      </c>
      <c r="BB3" s="626"/>
      <c r="BC3" s="626"/>
      <c r="BD3" s="626"/>
      <c r="BE3" s="627" t="s">
        <v>186</v>
      </c>
      <c r="BF3" s="628"/>
      <c r="BG3" s="629"/>
      <c r="BH3" s="140"/>
      <c r="BI3" s="140"/>
      <c r="BZ3" s="630" t="s">
        <v>187</v>
      </c>
      <c r="CA3" s="631"/>
      <c r="CB3" s="631"/>
      <c r="CC3" s="631"/>
      <c r="CD3" s="631"/>
      <c r="CE3" s="631"/>
      <c r="CF3" s="631"/>
      <c r="CG3" s="631"/>
      <c r="CH3" s="631"/>
      <c r="CI3" s="631"/>
      <c r="CJ3" s="631"/>
      <c r="CK3" s="631"/>
      <c r="CL3" s="631"/>
      <c r="CM3" s="632"/>
      <c r="CU3" s="606" t="s">
        <v>188</v>
      </c>
      <c r="CV3" s="607"/>
      <c r="CW3" s="607"/>
      <c r="CX3" s="607"/>
      <c r="CY3" s="607"/>
      <c r="CZ3" s="607"/>
      <c r="DA3" s="607"/>
      <c r="DB3" s="607"/>
      <c r="DC3" s="607"/>
      <c r="DD3" s="607"/>
      <c r="DE3" s="607"/>
      <c r="DF3" s="607"/>
      <c r="DG3" s="608"/>
      <c r="DH3" s="609" t="s">
        <v>189</v>
      </c>
      <c r="DI3" s="610"/>
      <c r="DJ3" s="610"/>
      <c r="DK3" s="610"/>
      <c r="DL3" s="610"/>
      <c r="DM3" s="611"/>
    </row>
    <row r="4" spans="2:117" ht="77.25" customHeight="1" thickBot="1">
      <c r="C4" s="612" t="s">
        <v>190</v>
      </c>
      <c r="D4" s="613"/>
      <c r="E4" s="231"/>
      <c r="F4" s="232" t="s">
        <v>17</v>
      </c>
      <c r="G4" s="232" t="s">
        <v>191</v>
      </c>
      <c r="H4" s="232" t="s">
        <v>192</v>
      </c>
      <c r="I4" s="232" t="s">
        <v>193</v>
      </c>
      <c r="J4" s="232"/>
      <c r="K4" s="232" t="s">
        <v>194</v>
      </c>
      <c r="L4" s="232" t="s">
        <v>195</v>
      </c>
      <c r="M4" s="232" t="s">
        <v>196</v>
      </c>
      <c r="N4" s="232" t="s">
        <v>197</v>
      </c>
      <c r="O4" s="232"/>
      <c r="P4" s="232" t="s">
        <v>198</v>
      </c>
      <c r="Q4" s="232" t="s">
        <v>199</v>
      </c>
      <c r="R4" s="232" t="s">
        <v>200</v>
      </c>
      <c r="S4" s="232" t="s">
        <v>201</v>
      </c>
      <c r="T4" s="232"/>
      <c r="U4" s="232"/>
      <c r="V4" s="232" t="s">
        <v>202</v>
      </c>
      <c r="W4" s="232"/>
      <c r="X4" s="232"/>
      <c r="Y4" s="232"/>
      <c r="Z4" s="232"/>
      <c r="AA4" s="232"/>
      <c r="AB4" s="232"/>
      <c r="AC4" s="232"/>
      <c r="AD4" s="232"/>
      <c r="AE4" s="232"/>
      <c r="AF4" s="232"/>
      <c r="AG4" s="232"/>
      <c r="AH4" s="233"/>
      <c r="AI4" s="234"/>
      <c r="AJ4" s="234"/>
      <c r="AK4" s="234"/>
      <c r="AL4" s="234"/>
      <c r="AM4" s="234"/>
      <c r="AN4" s="234"/>
      <c r="AO4" s="234"/>
      <c r="AP4" s="234"/>
      <c r="AQ4" s="234"/>
      <c r="AR4" s="234"/>
      <c r="AS4" s="234"/>
      <c r="AT4" s="234"/>
      <c r="AU4" s="234"/>
      <c r="AX4" s="235" t="s">
        <v>184</v>
      </c>
      <c r="AY4" s="236" t="s">
        <v>203</v>
      </c>
      <c r="AZ4" s="237" t="s">
        <v>204</v>
      </c>
      <c r="BA4" s="235" t="s">
        <v>205</v>
      </c>
      <c r="BB4" s="236" t="s">
        <v>206</v>
      </c>
      <c r="BC4" s="236" t="s">
        <v>207</v>
      </c>
      <c r="BD4" s="238" t="s">
        <v>208</v>
      </c>
      <c r="BE4" s="235" t="s">
        <v>209</v>
      </c>
      <c r="BF4" s="236" t="s">
        <v>210</v>
      </c>
      <c r="BG4" s="237" t="s">
        <v>211</v>
      </c>
      <c r="BH4" s="235" t="s">
        <v>212</v>
      </c>
      <c r="BI4" s="237" t="s">
        <v>213</v>
      </c>
      <c r="BK4" s="614" t="s">
        <v>214</v>
      </c>
      <c r="BL4" s="615"/>
      <c r="BM4" s="615"/>
      <c r="BN4" s="616"/>
      <c r="BO4" s="617" t="s">
        <v>215</v>
      </c>
      <c r="BP4" s="618"/>
      <c r="BQ4" s="618"/>
      <c r="BR4" s="619"/>
      <c r="BV4" t="s">
        <v>216</v>
      </c>
      <c r="BW4" t="s">
        <v>217</v>
      </c>
      <c r="BZ4" s="239"/>
      <c r="CA4" s="240"/>
      <c r="CB4" s="241" t="s">
        <v>218</v>
      </c>
      <c r="CC4" s="241" t="s">
        <v>175</v>
      </c>
      <c r="CD4" s="241" t="s">
        <v>172</v>
      </c>
      <c r="CE4" s="241" t="s">
        <v>173</v>
      </c>
      <c r="CF4" s="241" t="s">
        <v>219</v>
      </c>
      <c r="CG4" s="241" t="s">
        <v>220</v>
      </c>
      <c r="CH4" s="241" t="s">
        <v>221</v>
      </c>
      <c r="CI4" s="241" t="s">
        <v>222</v>
      </c>
      <c r="CJ4" s="241" t="s">
        <v>223</v>
      </c>
      <c r="CK4" s="241" t="s">
        <v>224</v>
      </c>
      <c r="CL4" s="241" t="s">
        <v>225</v>
      </c>
      <c r="CM4" s="242" t="s">
        <v>226</v>
      </c>
      <c r="CU4" s="243"/>
      <c r="CV4" s="244" t="s">
        <v>220</v>
      </c>
      <c r="CW4" s="244" t="s">
        <v>227</v>
      </c>
      <c r="CX4" s="244" t="s">
        <v>228</v>
      </c>
      <c r="CY4" s="244" t="s">
        <v>229</v>
      </c>
      <c r="CZ4" s="244" t="s">
        <v>230</v>
      </c>
      <c r="DA4" s="245" t="s">
        <v>226</v>
      </c>
      <c r="DB4" s="246" t="s">
        <v>218</v>
      </c>
      <c r="DC4" s="245" t="s">
        <v>231</v>
      </c>
      <c r="DD4" s="247" t="s">
        <v>232</v>
      </c>
      <c r="DE4" s="248" t="s">
        <v>233</v>
      </c>
      <c r="DF4" s="249" t="s">
        <v>234</v>
      </c>
      <c r="DG4" s="250" t="s">
        <v>235</v>
      </c>
      <c r="DH4" s="251" t="s">
        <v>236</v>
      </c>
      <c r="DI4" s="252" t="s">
        <v>237</v>
      </c>
      <c r="DJ4" s="251" t="s">
        <v>238</v>
      </c>
      <c r="DK4" s="252" t="s">
        <v>239</v>
      </c>
      <c r="DL4" s="251" t="s">
        <v>240</v>
      </c>
      <c r="DM4" s="252" t="s">
        <v>241</v>
      </c>
    </row>
    <row r="5" spans="2:117" ht="23.15" customHeight="1">
      <c r="B5" s="253" t="str">
        <f>[2]Adj_NPDC_HCA_Input!N5</f>
        <v>Online BS&amp;W Meter</v>
      </c>
      <c r="C5" s="24" t="s">
        <v>242</v>
      </c>
      <c r="D5" s="24" t="s">
        <v>243</v>
      </c>
      <c r="E5" s="24" t="s">
        <v>27</v>
      </c>
      <c r="F5" s="254">
        <f>VLOOKUP($E5,[2]Adj_NPDC_HCA_Input!$B$5:$E$42,2,FALSE)</f>
        <v>0</v>
      </c>
      <c r="G5" s="255">
        <f>VLOOKUP($E5,[2]Adj_NPDC_HCA_Input!$B$5:$E$42,3,FALSE)</f>
        <v>0</v>
      </c>
      <c r="H5" s="256">
        <f>F5*G5</f>
        <v>0</v>
      </c>
      <c r="I5" s="256">
        <f>F5-H5</f>
        <v>0</v>
      </c>
      <c r="J5" s="257" t="str">
        <f>[2]Adj_NPDC_HCA_Input!G5</f>
        <v>Non-LACT</v>
      </c>
      <c r="K5" s="257">
        <f>IF(J5="LACT",[2]Adj_NPDC_HCA_Input!$T$4,[2]Adj_NPDC_HCA_Input!$Y$4)</f>
        <v>0.99</v>
      </c>
      <c r="L5" s="257">
        <f>IF(J5="Non-LACT",VLOOKUP([2]Adj_NPDC_HCA_Input!J5,[2]Adj_NPDC_HCA_Input!$X$4:$Y$7,2,FALSE),VLOOKUP([2]Adj_NPDC_HCA_Input!J5,[2]Adj_NPDC_HCA_Input!$S$4:$T$7,2,FALSE))</f>
        <v>0.98</v>
      </c>
      <c r="M5" s="258">
        <f>IF([2]Adj_NPDC_HCA_Input!M5="No",[2]Adj_NPDC_HCA_Input!$S$32,1)</f>
        <v>1</v>
      </c>
      <c r="N5" s="259">
        <f>IF([2]Adj_NPDC_HCA_Input!K5="Yes",1,0.99)</f>
        <v>1</v>
      </c>
      <c r="O5" s="259" t="str">
        <f>[2]Adj_NPDC_HCA_Input!L5</f>
        <v>No</v>
      </c>
      <c r="P5" s="260">
        <f>F5*K5*L5*M5*N5</f>
        <v>0</v>
      </c>
      <c r="Q5" s="260">
        <f>((P5*G5))</f>
        <v>0</v>
      </c>
      <c r="R5" s="260">
        <f t="shared" ref="R5:R19" si="0">IF(B5="Auto Sampler",0,IF($N$75&gt;$Q$46,($N$76*(Q5/$N$77)),0))</f>
        <v>0</v>
      </c>
      <c r="S5" s="260">
        <f>Q5+R5</f>
        <v>0</v>
      </c>
      <c r="T5" s="260">
        <f>IF(S5&gt;P5,(P5-Q5),R5)</f>
        <v>0</v>
      </c>
      <c r="U5" s="260">
        <f>T5+Q5</f>
        <v>0</v>
      </c>
      <c r="V5" s="260">
        <f>IF((U5&gt;P5),0,(P5-U5))</f>
        <v>0</v>
      </c>
      <c r="W5" s="260">
        <f>F5-P5</f>
        <v>0</v>
      </c>
      <c r="X5" s="260">
        <f>(H5-U5)</f>
        <v>0</v>
      </c>
      <c r="Y5" s="260">
        <f>(I5-V5)</f>
        <v>0</v>
      </c>
      <c r="Z5" s="260">
        <f ca="1">SUM(AA5:AB5)</f>
        <v>0</v>
      </c>
      <c r="AA5" s="260">
        <f ca="1">IF(O5="Yes",0,IF(AND(B5="Auto Sampler",$N$81&lt;=0),0,IF(N$81&lt;=0,($N$81*X5/($X$46-$N$90-$N$92)),($N$81*U5/($U$46-$N$93)))))</f>
        <v>0</v>
      </c>
      <c r="AB5" s="260">
        <f t="shared" ref="AB5:AB20" ca="1" si="1">IF(AND(J5="LACT",$N$80&lt;=0),0,IF(O5="Yes",0,IF($N$80&lt;=0,($N$80*Y5/($Y$46-$N$89-$N$97)),($N$80*V5/($V$46-$N$98)))))</f>
        <v>0</v>
      </c>
      <c r="AC5" s="260">
        <f ca="1">P5-Z5</f>
        <v>0</v>
      </c>
      <c r="AD5" s="260">
        <f ca="1">U5-AA5</f>
        <v>0</v>
      </c>
      <c r="AE5" s="260">
        <f ca="1">(V5-AB5)</f>
        <v>0</v>
      </c>
      <c r="AF5" s="259"/>
      <c r="AG5" s="261">
        <f t="shared" ref="AG5:AG42" ca="1" si="2">IF(ISERROR(AE5/I5),0,(AE5/I5))</f>
        <v>0</v>
      </c>
      <c r="AH5" s="262" t="str">
        <f t="shared" ref="AH5:AH42" si="3">IF(ISERROR(1-(V5/I5)),"No Production",(1-(V5/I5)))</f>
        <v>No Production</v>
      </c>
      <c r="AI5" s="263" t="str">
        <f t="shared" ref="AI5:AI42" si="4">C5</f>
        <v>WEST SPDC</v>
      </c>
      <c r="AJ5" s="264">
        <f ca="1">AE5</f>
        <v>0</v>
      </c>
      <c r="AK5" s="264">
        <f t="shared" ref="AK5:AK42" ca="1" si="5">AD5</f>
        <v>0</v>
      </c>
      <c r="AL5" s="265">
        <f t="shared" ref="AL5:AL42" ca="1" si="6">AB5</f>
        <v>0</v>
      </c>
      <c r="AM5" s="265">
        <f ca="1">AA5</f>
        <v>0</v>
      </c>
      <c r="AN5" s="264">
        <f t="shared" ref="AN5:AN42" si="7">Y5</f>
        <v>0</v>
      </c>
      <c r="AO5" s="264">
        <f t="shared" ref="AO5:AO41" si="8">I5</f>
        <v>0</v>
      </c>
      <c r="AP5" s="264">
        <f>V5</f>
        <v>0</v>
      </c>
      <c r="AQ5" s="264">
        <f>S5</f>
        <v>0</v>
      </c>
      <c r="AR5" s="264">
        <f t="shared" ref="AR5:AR42" si="9">H5</f>
        <v>0</v>
      </c>
      <c r="AS5" s="264">
        <f>P5-Q5</f>
        <v>0</v>
      </c>
      <c r="AT5" s="264">
        <f t="shared" ref="AT5:AU16" si="10">Q5</f>
        <v>0</v>
      </c>
      <c r="AU5" s="264">
        <f t="shared" si="10"/>
        <v>0</v>
      </c>
      <c r="AV5" t="s">
        <v>27</v>
      </c>
      <c r="AW5" t="s">
        <v>244</v>
      </c>
      <c r="AX5" s="266">
        <f>F5</f>
        <v>0</v>
      </c>
      <c r="AY5" s="267">
        <f>I5</f>
        <v>0</v>
      </c>
      <c r="AZ5" s="268">
        <f>H5</f>
        <v>0</v>
      </c>
      <c r="BA5" s="266">
        <f>P5</f>
        <v>0</v>
      </c>
      <c r="BB5" s="267">
        <f>BA5*(1-BC5)</f>
        <v>0</v>
      </c>
      <c r="BC5" s="269">
        <f>G5</f>
        <v>0</v>
      </c>
      <c r="BD5" s="270">
        <f>BA5*BC5</f>
        <v>0</v>
      </c>
      <c r="BE5" s="271"/>
      <c r="BF5" s="272">
        <f t="shared" ref="BF5:BF14" si="11">S5</f>
        <v>0</v>
      </c>
      <c r="BG5" s="273">
        <f>V5</f>
        <v>0</v>
      </c>
      <c r="BH5" s="274">
        <f ca="1">AK5</f>
        <v>0</v>
      </c>
      <c r="BI5" s="275">
        <f ca="1">AJ5</f>
        <v>0</v>
      </c>
      <c r="BJ5" t="s">
        <v>245</v>
      </c>
      <c r="BK5" s="276">
        <f>AY5-BB5</f>
        <v>0</v>
      </c>
      <c r="BL5" s="271" t="s">
        <v>244</v>
      </c>
      <c r="BM5" s="277">
        <f>SUMIF($AW$5:$AW$43,$BL$5,$BK$5:$BK$43)</f>
        <v>29378.162328492243</v>
      </c>
      <c r="BN5" s="278"/>
      <c r="BO5" s="279">
        <f>BB5-BG5</f>
        <v>0</v>
      </c>
      <c r="BP5" s="271"/>
      <c r="BQ5" s="277">
        <f>SUMIF($AW$5:$AW$43,$BL$5,$BO$5:$BO$43)</f>
        <v>0</v>
      </c>
      <c r="BR5" s="278"/>
      <c r="BT5" t="s">
        <v>246</v>
      </c>
      <c r="BU5" t="s">
        <v>246</v>
      </c>
      <c r="BV5">
        <f>SUMIF($BT:$BT,$BU5,$AN:$AN)</f>
        <v>7546.7074541276379</v>
      </c>
      <c r="BW5">
        <f ca="1">SUMIF($BT:$BT,$BU5,$AL:$AL)</f>
        <v>-16946.181397098771</v>
      </c>
      <c r="BZ5" s="271" t="s">
        <v>242</v>
      </c>
      <c r="CA5" s="277" t="s">
        <v>247</v>
      </c>
      <c r="CB5" s="280">
        <f t="shared" ref="CB5:CB14" ca="1" si="12">SUMIF($AI$5:$AK$43,BZ5,$AL$5:$AL$43)</f>
        <v>-66138.333637433956</v>
      </c>
      <c r="CC5" s="280">
        <f t="shared" ref="CC5:CC14" ca="1" si="13">SUMIF($AI$5:$AK$43,BZ5,$AM$5:$AM$43)</f>
        <v>166508.14329390839</v>
      </c>
      <c r="CD5" s="280">
        <f t="shared" ref="CD5:CD14" ca="1" si="14">SUMIF($AI$5:$AK$43,BZ5,$AJ$5:$AJ$43)</f>
        <v>2884445.597405517</v>
      </c>
      <c r="CE5" s="280">
        <f t="shared" ref="CE5:CE14" ca="1" si="15">SUMIF($AI$5:$AK$43,BZ5,$AK$5:$AK$43)</f>
        <v>2318455.0958347777</v>
      </c>
      <c r="CF5" s="280">
        <f t="shared" ref="CF5:CF14" ca="1" si="16">SUMIF($AI$5:$AN$43,BZ5,$AN$5:$AN$43)</f>
        <v>29537.744528492243</v>
      </c>
      <c r="CG5" s="281">
        <f t="shared" ref="CG5:CG14" ca="1" si="17">SUMIF($AI$5:$AO$43,BZ5,$AO$5:$AO$43)</f>
        <v>2847845.0082965763</v>
      </c>
      <c r="CH5" s="281">
        <f t="shared" ref="CH5:CH14" ca="1" si="18">SUMIF($AI$5:$AR$43,BZ5,$AR$5:$AR$43)</f>
        <v>2514275.3798442502</v>
      </c>
      <c r="CI5" s="281">
        <f t="shared" ref="CI5:CI14" ca="1" si="19">SUMIF($AI$5:$AR$43,BZ5,$AP$5:$AP$43)</f>
        <v>2818307.2637680839</v>
      </c>
      <c r="CJ5" s="281">
        <f t="shared" ref="CJ5:CJ14" ca="1" si="20">SUMIF($AI$5:$AR$43,BZ5,$AQ$5:$AQ$43)</f>
        <v>2484963.2391286856</v>
      </c>
      <c r="CK5" s="281">
        <f t="shared" ref="CK5:CK12" ca="1" si="21">SUMIF($AI$5:$AU$43,$BZ5,$AS$5:$AS$43)</f>
        <v>2818307.2637680839</v>
      </c>
      <c r="CL5" s="281">
        <f t="shared" ref="CL5:CL14" ca="1" si="22">SUMIF($AI$5:$AU$43,$BZ5,$AT$5:$AT$43)</f>
        <v>2484963.2391286856</v>
      </c>
      <c r="CM5" s="282">
        <f t="shared" ref="CM5:CM14" ca="1" si="23">SUMIF($AI$5:$AU$43,$BZ5,$AU$5:$AU$43)</f>
        <v>0</v>
      </c>
      <c r="CN5" s="283">
        <f ca="1">CD5/CG5</f>
        <v>1.0128520298690107</v>
      </c>
      <c r="CO5" s="284">
        <f ca="1">CD5/CG5</f>
        <v>1.0128520298690107</v>
      </c>
      <c r="CP5" s="137"/>
      <c r="CU5" s="285" t="s">
        <v>247</v>
      </c>
      <c r="CV5" s="286">
        <f ca="1">CG5</f>
        <v>2847845.0082965763</v>
      </c>
      <c r="CW5" s="286">
        <f ca="1">CH5</f>
        <v>2514275.3798442502</v>
      </c>
      <c r="CX5" s="286">
        <f ca="1">CD5</f>
        <v>2884445.597405517</v>
      </c>
      <c r="CY5" s="286">
        <f ca="1">CE5</f>
        <v>2318455.0958347777</v>
      </c>
      <c r="CZ5" s="286">
        <f ca="1">CF5</f>
        <v>29537.744528492243</v>
      </c>
      <c r="DA5" s="287">
        <f ca="1">CM5</f>
        <v>0</v>
      </c>
      <c r="DB5" s="288">
        <f ca="1">CB5</f>
        <v>-66138.333637433956</v>
      </c>
      <c r="DC5" s="289">
        <f ca="1">CC5</f>
        <v>166508.14329390839</v>
      </c>
      <c r="DD5" s="290">
        <f>SUM(DH5,DJ5,DL5)</f>
        <v>83228.572467861086</v>
      </c>
      <c r="DE5" s="291">
        <f>SUM(DI5,DK5,DM5)</f>
        <v>60813.82699928544</v>
      </c>
      <c r="DF5" s="292">
        <f ca="1">SUM(CX5,DD5)</f>
        <v>2967674.1698733782</v>
      </c>
      <c r="DG5" s="293">
        <f ca="1">SUM(CY5,DE5)</f>
        <v>2379268.9228340629</v>
      </c>
      <c r="DH5" s="294">
        <v>67087.862467861094</v>
      </c>
      <c r="DI5" s="295">
        <v>60813.82699928544</v>
      </c>
      <c r="DJ5" s="294">
        <v>16140.71</v>
      </c>
      <c r="DK5" s="295">
        <v>0</v>
      </c>
      <c r="DL5" s="294">
        <v>0</v>
      </c>
      <c r="DM5" s="295">
        <v>0</v>
      </c>
    </row>
    <row r="6" spans="2:117" ht="23.15" customHeight="1">
      <c r="B6" s="253" t="str">
        <f>[2]Adj_NPDC_HCA_Input!N6</f>
        <v>Online BS&amp;W Meter</v>
      </c>
      <c r="C6" s="24" t="s">
        <v>242</v>
      </c>
      <c r="D6" s="24" t="s">
        <v>243</v>
      </c>
      <c r="E6" s="24" t="s">
        <v>35</v>
      </c>
      <c r="F6" s="254">
        <f>VLOOKUP($E6,[2]Adj_NPDC_HCA_Input!$B$5:$E$42,2,FALSE)</f>
        <v>388526.76683077199</v>
      </c>
      <c r="G6" s="255">
        <f>VLOOKUP($E6,[2]Adj_NPDC_HCA_Input!$B$5:$E$42,3,FALSE)</f>
        <v>0.38733061065257302</v>
      </c>
      <c r="H6" s="256">
        <f t="shared" ref="H6:H40" si="24">F6*G6</f>
        <v>150488.30985143277</v>
      </c>
      <c r="I6" s="256">
        <f t="shared" ref="I6:I42" si="25">F6-H6</f>
        <v>238038.45697933921</v>
      </c>
      <c r="J6" s="257" t="str">
        <f>[2]Adj_NPDC_HCA_Input!G6</f>
        <v>Non-LACT</v>
      </c>
      <c r="K6" s="257">
        <f>IF(J6="LACT",[2]Adj_NPDC_HCA_Input!$T$4,[2]Adj_NPDC_HCA_Input!$Y$4)</f>
        <v>0.99</v>
      </c>
      <c r="L6" s="257">
        <f>IF(J6="Non-LACT",VLOOKUP([2]Adj_NPDC_HCA_Input!J6,[2]Adj_NPDC_HCA_Input!$X$4:$Y$7,2,FALSE),VLOOKUP([2]Adj_NPDC_HCA_Input!J6,[2]Adj_NPDC_HCA_Input!$S$4:$T$7,2,FALSE))</f>
        <v>1</v>
      </c>
      <c r="M6" s="258">
        <f>IF([2]Adj_NPDC_HCA_Input!M6="No",[2]Adj_NPDC_HCA_Input!$S$32,1)</f>
        <v>1</v>
      </c>
      <c r="N6" s="259">
        <f>IF([2]Adj_NPDC_HCA_Input!K6="Yes",1,0.99)</f>
        <v>1</v>
      </c>
      <c r="O6" s="259" t="str">
        <f>[2]Adj_NPDC_HCA_Input!L6</f>
        <v>No</v>
      </c>
      <c r="P6" s="260">
        <f t="shared" ref="P6:P41" si="26">F6*K6*L6*M6*N6</f>
        <v>384641.49916246429</v>
      </c>
      <c r="Q6" s="260">
        <f>((P6*G6))</f>
        <v>148983.42675291846</v>
      </c>
      <c r="R6" s="260">
        <f t="shared" si="0"/>
        <v>0</v>
      </c>
      <c r="S6" s="260">
        <f t="shared" ref="S6:S41" si="27">Q6+R6</f>
        <v>148983.42675291846</v>
      </c>
      <c r="T6" s="260">
        <f t="shared" ref="T6:T42" si="28">IF(S6&gt;P6,(P6-Q6),R6)</f>
        <v>0</v>
      </c>
      <c r="U6" s="260">
        <f t="shared" ref="U6:U42" si="29">T6+Q6</f>
        <v>148983.42675291846</v>
      </c>
      <c r="V6" s="260">
        <f t="shared" ref="V6:V42" si="30">IF((U6&gt;P6),0,(P6-U6))</f>
        <v>235658.07240954583</v>
      </c>
      <c r="W6" s="260">
        <f t="shared" ref="W6:W41" si="31">F6-P6</f>
        <v>3885.2676683077007</v>
      </c>
      <c r="X6" s="260">
        <f t="shared" ref="X6:Y42" si="32">(H6-U6)</f>
        <v>1504.883098514314</v>
      </c>
      <c r="Y6" s="260">
        <f t="shared" si="32"/>
        <v>2380.3845697933866</v>
      </c>
      <c r="Z6" s="260">
        <f t="shared" ref="Z6:Z40" ca="1" si="33">SUM(AA6:AB6)</f>
        <v>4642.9607609958357</v>
      </c>
      <c r="AA6" s="260">
        <f t="shared" ref="AA6:AA20" ca="1" si="34">IF(O6="Yes",0,IF(AND(B6="Auto Sampler",$N$81&lt;=0),0,IF(N$81&lt;=0,($N$81*X6/($X$46-$N$90-$N$92)),($N$81*U6/($U$46-$N$93)))))</f>
        <v>9988.1300231898713</v>
      </c>
      <c r="AB6" s="260">
        <f t="shared" ca="1" si="1"/>
        <v>-5345.1692621940356</v>
      </c>
      <c r="AC6" s="260">
        <f t="shared" ref="AC6:AC41" ca="1" si="35">P6-Z6</f>
        <v>379998.53840146842</v>
      </c>
      <c r="AD6" s="260">
        <f t="shared" ref="AD6:AE42" ca="1" si="36">U6-AA6</f>
        <v>138995.29672972858</v>
      </c>
      <c r="AE6" s="260">
        <f ca="1">V6-AB6</f>
        <v>241003.24167173987</v>
      </c>
      <c r="AF6" s="259"/>
      <c r="AG6" s="261">
        <f t="shared" ca="1" si="2"/>
        <v>1.0124550660007765</v>
      </c>
      <c r="AH6" s="262">
        <f t="shared" si="3"/>
        <v>1.0000000000000009E-2</v>
      </c>
      <c r="AI6" s="263" t="str">
        <f t="shared" si="4"/>
        <v>WEST SPDC</v>
      </c>
      <c r="AJ6" s="264">
        <f ca="1">AE6</f>
        <v>241003.24167173987</v>
      </c>
      <c r="AK6" s="264">
        <f t="shared" ca="1" si="5"/>
        <v>138995.29672972858</v>
      </c>
      <c r="AL6" s="265">
        <f t="shared" ca="1" si="6"/>
        <v>-5345.1692621940356</v>
      </c>
      <c r="AM6" s="265">
        <f t="shared" ref="AM6:AM42" ca="1" si="37">AA6</f>
        <v>9988.1300231898713</v>
      </c>
      <c r="AN6" s="264">
        <f t="shared" si="7"/>
        <v>2380.3845697933866</v>
      </c>
      <c r="AO6" s="264">
        <f t="shared" si="8"/>
        <v>238038.45697933921</v>
      </c>
      <c r="AP6" s="264">
        <f t="shared" ref="AP6:AP42" si="38">V6</f>
        <v>235658.07240954583</v>
      </c>
      <c r="AQ6" s="264">
        <f t="shared" ref="AQ6:AQ42" si="39">S6</f>
        <v>148983.42675291846</v>
      </c>
      <c r="AR6" s="264">
        <f t="shared" si="9"/>
        <v>150488.30985143277</v>
      </c>
      <c r="AS6" s="264">
        <f t="shared" ref="AS6:AS42" si="40">P6-Q6</f>
        <v>235658.07240954583</v>
      </c>
      <c r="AT6" s="264">
        <f t="shared" si="10"/>
        <v>148983.42675291846</v>
      </c>
      <c r="AU6" s="264">
        <f t="shared" si="10"/>
        <v>0</v>
      </c>
      <c r="AV6" t="s">
        <v>35</v>
      </c>
      <c r="AW6" t="s">
        <v>244</v>
      </c>
      <c r="AX6" s="296">
        <f t="shared" ref="AX6:AX42" si="41">F6</f>
        <v>388526.76683077199</v>
      </c>
      <c r="AY6" s="297">
        <f t="shared" ref="AY6:AY42" si="42">I6</f>
        <v>238038.45697933921</v>
      </c>
      <c r="AZ6" s="298">
        <f t="shared" ref="AZ6:AZ42" si="43">H6</f>
        <v>150488.30985143277</v>
      </c>
      <c r="BA6" s="296">
        <f t="shared" ref="BA6:BA42" si="44">P6</f>
        <v>384641.49916246429</v>
      </c>
      <c r="BB6" s="297">
        <f t="shared" ref="BB6:BB42" si="45">BA6*(1-BC6)</f>
        <v>235658.07240954583</v>
      </c>
      <c r="BC6" s="299">
        <f t="shared" ref="BC6:BC42" si="46">G6</f>
        <v>0.38733061065257302</v>
      </c>
      <c r="BD6" s="300">
        <f t="shared" ref="BD6:BD42" si="47">BA6*BC6</f>
        <v>148983.42675291846</v>
      </c>
      <c r="BE6" s="301"/>
      <c r="BF6" s="302">
        <f t="shared" si="11"/>
        <v>148983.42675291846</v>
      </c>
      <c r="BG6" s="303">
        <f t="shared" ref="BG6:BG42" si="48">V6</f>
        <v>235658.07240954583</v>
      </c>
      <c r="BH6" s="304">
        <f t="shared" ref="BH6:BH42" ca="1" si="49">AK6</f>
        <v>138995.29672972858</v>
      </c>
      <c r="BI6" s="305">
        <f t="shared" ref="BI6:BI42" ca="1" si="50">AJ6</f>
        <v>241003.24167173987</v>
      </c>
      <c r="BJ6" t="s">
        <v>248</v>
      </c>
      <c r="BK6" s="306">
        <f t="shared" ref="BK6:BK42" si="51">AY6-BB6</f>
        <v>2380.3845697933866</v>
      </c>
      <c r="BL6" s="301"/>
      <c r="BM6" s="307"/>
      <c r="BN6" s="308"/>
      <c r="BO6" s="309">
        <f t="shared" ref="BO6:BO42" si="52">BB6-BG6</f>
        <v>0</v>
      </c>
      <c r="BP6" s="301"/>
      <c r="BQ6" s="307"/>
      <c r="BR6" s="308"/>
      <c r="BT6" t="s">
        <v>249</v>
      </c>
      <c r="BU6" t="s">
        <v>249</v>
      </c>
      <c r="BV6">
        <f>SUMIF($BT:$BT,$BU6,$AN:$AN)</f>
        <v>21831.454874364605</v>
      </c>
      <c r="BW6">
        <f ca="1">SUMIF($BT:$BT,$BU6,$AL:$AL)</f>
        <v>-48833.809356980273</v>
      </c>
      <c r="BZ6" s="310" t="s">
        <v>250</v>
      </c>
      <c r="CA6" s="307" t="s">
        <v>46</v>
      </c>
      <c r="CB6" s="311">
        <f t="shared" ca="1" si="12"/>
        <v>-52821.314507550742</v>
      </c>
      <c r="CC6" s="311">
        <f t="shared" ca="1" si="13"/>
        <v>14535.303951718352</v>
      </c>
      <c r="CD6" s="311">
        <f t="shared" ca="1" si="14"/>
        <v>818664.54021934583</v>
      </c>
      <c r="CE6" s="311">
        <f t="shared" ca="1" si="15"/>
        <v>202273.98733648655</v>
      </c>
      <c r="CF6" s="311">
        <f t="shared" ca="1" si="16"/>
        <v>23523.117013205076</v>
      </c>
      <c r="CG6" s="312">
        <f t="shared" ca="1" si="17"/>
        <v>789366.34272500011</v>
      </c>
      <c r="CH6" s="312">
        <f t="shared" ca="1" si="18"/>
        <v>223468.65727499989</v>
      </c>
      <c r="CI6" s="312">
        <f t="shared" ca="1" si="19"/>
        <v>765843.22571179504</v>
      </c>
      <c r="CJ6" s="312">
        <f t="shared" ca="1" si="20"/>
        <v>216809.2912882049</v>
      </c>
      <c r="CK6" s="312">
        <f t="shared" ca="1" si="21"/>
        <v>765843.22571179504</v>
      </c>
      <c r="CL6" s="312">
        <f t="shared" ca="1" si="22"/>
        <v>216809.2912882049</v>
      </c>
      <c r="CM6" s="313">
        <f t="shared" ca="1" si="23"/>
        <v>0</v>
      </c>
      <c r="CN6" s="283">
        <f t="shared" ref="CN6:CN13" ca="1" si="53">CD6/CG6</f>
        <v>1.0371160966823141</v>
      </c>
      <c r="CO6" s="284">
        <f t="shared" ref="CO6:CO14" ca="1" si="54">CD6/CG6</f>
        <v>1.0371160966823141</v>
      </c>
      <c r="CP6" s="137"/>
      <c r="CU6" s="285" t="s">
        <v>251</v>
      </c>
      <c r="CV6" s="286">
        <f t="shared" ref="CV6:CW13" ca="1" si="55">CG6</f>
        <v>789366.34272500011</v>
      </c>
      <c r="CW6" s="286">
        <f t="shared" ca="1" si="55"/>
        <v>223468.65727499989</v>
      </c>
      <c r="CX6" s="286">
        <f t="shared" ref="CX6:CZ13" ca="1" si="56">CD6</f>
        <v>818664.54021934583</v>
      </c>
      <c r="CY6" s="286">
        <f t="shared" ca="1" si="56"/>
        <v>202273.98733648655</v>
      </c>
      <c r="CZ6" s="286">
        <f t="shared" ca="1" si="56"/>
        <v>23523.117013205076</v>
      </c>
      <c r="DA6" s="287">
        <f t="shared" ref="DA6:DA13" ca="1" si="57">CM6</f>
        <v>0</v>
      </c>
      <c r="DB6" s="288">
        <f t="shared" ref="DB6:DC13" ca="1" si="58">CB6</f>
        <v>-52821.314507550742</v>
      </c>
      <c r="DC6" s="289">
        <f t="shared" ca="1" si="58"/>
        <v>14535.303951718352</v>
      </c>
      <c r="DD6" s="290">
        <f t="shared" ref="DD6:DE13" si="59">SUM(DH6,DJ6,DL6)</f>
        <v>0</v>
      </c>
      <c r="DE6" s="291">
        <f t="shared" si="59"/>
        <v>0</v>
      </c>
      <c r="DF6" s="292">
        <f t="shared" ref="DF6:DG13" ca="1" si="60">SUM(CX6,DD6)</f>
        <v>818664.54021934583</v>
      </c>
      <c r="DG6" s="293">
        <f t="shared" ca="1" si="60"/>
        <v>202273.98733648655</v>
      </c>
      <c r="DH6" s="294">
        <v>0</v>
      </c>
      <c r="DI6" s="295">
        <v>0</v>
      </c>
      <c r="DJ6" s="294">
        <v>0</v>
      </c>
      <c r="DK6" s="295">
        <v>0</v>
      </c>
      <c r="DL6" s="294">
        <v>0</v>
      </c>
      <c r="DM6" s="295">
        <v>0</v>
      </c>
    </row>
    <row r="7" spans="2:117" ht="23.15" customHeight="1">
      <c r="B7" s="253" t="str">
        <f>[2]Adj_NPDC_HCA_Input!N7</f>
        <v>Online BS&amp;W Meter</v>
      </c>
      <c r="C7" s="24" t="s">
        <v>242</v>
      </c>
      <c r="D7" s="24" t="s">
        <v>243</v>
      </c>
      <c r="E7" s="24" t="s">
        <v>39</v>
      </c>
      <c r="F7" s="254">
        <f>VLOOKUP($E7,[2]Adj_NPDC_HCA_Input!$B$5:$E$42,2,FALSE)</f>
        <v>977418.77884359797</v>
      </c>
      <c r="G7" s="255">
        <f>VLOOKUP($E7,[2]Adj_NPDC_HCA_Input!$B$5:$E$42,3,FALSE)</f>
        <v>0.31644530336964599</v>
      </c>
      <c r="H7" s="256">
        <f t="shared" si="24"/>
        <v>309299.58199035126</v>
      </c>
      <c r="I7" s="256">
        <f t="shared" si="25"/>
        <v>668119.19685324677</v>
      </c>
      <c r="J7" s="257" t="str">
        <f>[2]Adj_NPDC_HCA_Input!G7</f>
        <v>Non-LACT</v>
      </c>
      <c r="K7" s="257">
        <f>IF(J7="LACT",[2]Adj_NPDC_HCA_Input!$T$4,[2]Adj_NPDC_HCA_Input!$Y$4)</f>
        <v>0.99</v>
      </c>
      <c r="L7" s="257">
        <f>IF(J7="Non-LACT",VLOOKUP([2]Adj_NPDC_HCA_Input!J7,[2]Adj_NPDC_HCA_Input!$X$4:$Y$7,2,FALSE),VLOOKUP([2]Adj_NPDC_HCA_Input!J7,[2]Adj_NPDC_HCA_Input!$S$4:$T$7,2,FALSE))</f>
        <v>1</v>
      </c>
      <c r="M7" s="258">
        <f>IF([2]Adj_NPDC_HCA_Input!M7="No",[2]Adj_NPDC_HCA_Input!$S$32,1)</f>
        <v>1</v>
      </c>
      <c r="N7" s="259">
        <f>IF([2]Adj_NPDC_HCA_Input!K7="Yes",1,0.99)</f>
        <v>1</v>
      </c>
      <c r="O7" s="259" t="str">
        <f>[2]Adj_NPDC_HCA_Input!L7</f>
        <v>No</v>
      </c>
      <c r="P7" s="260">
        <f t="shared" si="26"/>
        <v>967644.59105516202</v>
      </c>
      <c r="Q7" s="260">
        <f t="shared" ref="Q7:Q42" si="61">((P7*G7))</f>
        <v>306206.58617044776</v>
      </c>
      <c r="R7" s="260">
        <f t="shared" si="0"/>
        <v>0</v>
      </c>
      <c r="S7" s="260">
        <f t="shared" si="27"/>
        <v>306206.58617044776</v>
      </c>
      <c r="T7" s="260">
        <f t="shared" si="28"/>
        <v>0</v>
      </c>
      <c r="U7" s="260">
        <f t="shared" si="29"/>
        <v>306206.58617044776</v>
      </c>
      <c r="V7" s="260">
        <f t="shared" si="30"/>
        <v>661438.00488471426</v>
      </c>
      <c r="W7" s="260">
        <f t="shared" si="31"/>
        <v>9774.1877884359565</v>
      </c>
      <c r="X7" s="260">
        <f t="shared" si="32"/>
        <v>3092.9958199035027</v>
      </c>
      <c r="Y7" s="260">
        <f t="shared" si="32"/>
        <v>6681.191968532512</v>
      </c>
      <c r="Z7" s="260">
        <f t="shared" ca="1" si="33"/>
        <v>5526.0066087607574</v>
      </c>
      <c r="AA7" s="260">
        <f t="shared" ca="1" si="34"/>
        <v>20528.667270486269</v>
      </c>
      <c r="AB7" s="260">
        <f t="shared" ca="1" si="1"/>
        <v>-15002.660661725511</v>
      </c>
      <c r="AC7" s="260">
        <f t="shared" ca="1" si="35"/>
        <v>962118.58444640122</v>
      </c>
      <c r="AD7" s="260">
        <f t="shared" ca="1" si="36"/>
        <v>285677.91889996151</v>
      </c>
      <c r="AE7" s="260">
        <f t="shared" ca="1" si="36"/>
        <v>676440.66554643982</v>
      </c>
      <c r="AF7" s="259"/>
      <c r="AG7" s="261">
        <f t="shared" ca="1" si="2"/>
        <v>1.0124550660007765</v>
      </c>
      <c r="AH7" s="262">
        <f t="shared" si="3"/>
        <v>1.000000000000012E-2</v>
      </c>
      <c r="AI7" s="263" t="str">
        <f t="shared" si="4"/>
        <v>WEST SPDC</v>
      </c>
      <c r="AJ7" s="264">
        <f ca="1">AE7</f>
        <v>676440.66554643982</v>
      </c>
      <c r="AK7" s="264">
        <f t="shared" ca="1" si="5"/>
        <v>285677.91889996151</v>
      </c>
      <c r="AL7" s="265">
        <f t="shared" ca="1" si="6"/>
        <v>-15002.660661725511</v>
      </c>
      <c r="AM7" s="265">
        <f t="shared" ca="1" si="37"/>
        <v>20528.667270486269</v>
      </c>
      <c r="AN7" s="264">
        <f t="shared" si="7"/>
        <v>6681.191968532512</v>
      </c>
      <c r="AO7" s="264">
        <f>I7</f>
        <v>668119.19685324677</v>
      </c>
      <c r="AP7" s="264">
        <f t="shared" si="38"/>
        <v>661438.00488471426</v>
      </c>
      <c r="AQ7" s="264">
        <f t="shared" si="39"/>
        <v>306206.58617044776</v>
      </c>
      <c r="AR7" s="264">
        <f t="shared" si="9"/>
        <v>309299.58199035126</v>
      </c>
      <c r="AS7" s="264">
        <f t="shared" si="40"/>
        <v>661438.00488471426</v>
      </c>
      <c r="AT7" s="264">
        <f t="shared" si="10"/>
        <v>306206.58617044776</v>
      </c>
      <c r="AU7" s="264">
        <f t="shared" si="10"/>
        <v>0</v>
      </c>
      <c r="AV7" t="s">
        <v>39</v>
      </c>
      <c r="AW7" t="s">
        <v>244</v>
      </c>
      <c r="AX7" s="296">
        <f t="shared" si="41"/>
        <v>977418.77884359797</v>
      </c>
      <c r="AY7" s="297">
        <f t="shared" si="42"/>
        <v>668119.19685324677</v>
      </c>
      <c r="AZ7" s="298">
        <f t="shared" si="43"/>
        <v>309299.58199035126</v>
      </c>
      <c r="BA7" s="296">
        <f t="shared" si="44"/>
        <v>967644.59105516202</v>
      </c>
      <c r="BB7" s="297">
        <f t="shared" si="45"/>
        <v>661438.00488471426</v>
      </c>
      <c r="BC7" s="299">
        <f t="shared" si="46"/>
        <v>0.31644530336964599</v>
      </c>
      <c r="BD7" s="300">
        <f t="shared" si="47"/>
        <v>306206.58617044776</v>
      </c>
      <c r="BE7" s="301"/>
      <c r="BF7" s="302">
        <f t="shared" si="11"/>
        <v>306206.58617044776</v>
      </c>
      <c r="BG7" s="303">
        <f t="shared" si="48"/>
        <v>661438.00488471426</v>
      </c>
      <c r="BH7" s="304">
        <f t="shared" ca="1" si="49"/>
        <v>285677.91889996151</v>
      </c>
      <c r="BI7" s="305">
        <f t="shared" ca="1" si="50"/>
        <v>676440.66554643982</v>
      </c>
      <c r="BJ7" t="s">
        <v>252</v>
      </c>
      <c r="BK7" s="306">
        <f t="shared" si="51"/>
        <v>6681.191968532512</v>
      </c>
      <c r="BL7" s="301"/>
      <c r="BM7" s="307"/>
      <c r="BN7" s="308"/>
      <c r="BO7" s="309">
        <f t="shared" si="52"/>
        <v>0</v>
      </c>
      <c r="BP7" s="301"/>
      <c r="BQ7" s="307"/>
      <c r="BR7" s="308"/>
      <c r="BT7" t="s">
        <v>249</v>
      </c>
      <c r="BZ7" s="301" t="s">
        <v>253</v>
      </c>
      <c r="CA7" s="307" t="s">
        <v>62</v>
      </c>
      <c r="CB7" s="311">
        <f t="shared" ca="1" si="12"/>
        <v>5534.8565569783068</v>
      </c>
      <c r="CC7" s="311">
        <f t="shared" ca="1" si="13"/>
        <v>-6229.6776709321384</v>
      </c>
      <c r="CD7" s="311">
        <f t="shared" ca="1" si="14"/>
        <v>125959.14787078908</v>
      </c>
      <c r="CE7" s="311">
        <f t="shared" ca="1" si="15"/>
        <v>194721.56895047476</v>
      </c>
      <c r="CF7" s="311">
        <f t="shared" ca="1" si="16"/>
        <v>2683.5511107707571</v>
      </c>
      <c r="CG7" s="314">
        <f t="shared" ca="1" si="17"/>
        <v>134177.55553853814</v>
      </c>
      <c r="CH7" s="312">
        <f t="shared" ca="1" si="18"/>
        <v>192338.66457096185</v>
      </c>
      <c r="CI7" s="314">
        <f t="shared" ca="1" si="19"/>
        <v>131494.00442776739</v>
      </c>
      <c r="CJ7" s="314">
        <f t="shared" ca="1" si="20"/>
        <v>188491.89127954261</v>
      </c>
      <c r="CK7" s="314">
        <f t="shared" ca="1" si="21"/>
        <v>131494.00442776739</v>
      </c>
      <c r="CL7" s="314">
        <f t="shared" ca="1" si="22"/>
        <v>188491.89127954261</v>
      </c>
      <c r="CM7" s="315">
        <f t="shared" ca="1" si="23"/>
        <v>0</v>
      </c>
      <c r="CN7" s="283">
        <f t="shared" ca="1" si="53"/>
        <v>0.93874975859588827</v>
      </c>
      <c r="CO7" s="284">
        <f t="shared" ca="1" si="54"/>
        <v>0.93874975859588827</v>
      </c>
      <c r="CP7" s="137"/>
      <c r="CU7" s="285" t="s">
        <v>254</v>
      </c>
      <c r="CV7" s="286">
        <f t="shared" ca="1" si="55"/>
        <v>134177.55553853814</v>
      </c>
      <c r="CW7" s="286">
        <f t="shared" ca="1" si="55"/>
        <v>192338.66457096185</v>
      </c>
      <c r="CX7" s="286">
        <f t="shared" ca="1" si="56"/>
        <v>125959.14787078908</v>
      </c>
      <c r="CY7" s="286">
        <f t="shared" ca="1" si="56"/>
        <v>194721.56895047476</v>
      </c>
      <c r="CZ7" s="286">
        <f t="shared" ca="1" si="56"/>
        <v>2683.5511107707571</v>
      </c>
      <c r="DA7" s="287">
        <f t="shared" ca="1" si="57"/>
        <v>0</v>
      </c>
      <c r="DB7" s="288">
        <f t="shared" ca="1" si="58"/>
        <v>5534.8565569783068</v>
      </c>
      <c r="DC7" s="289">
        <f t="shared" ca="1" si="58"/>
        <v>-6229.6776709321384</v>
      </c>
      <c r="DD7" s="290">
        <f t="shared" si="59"/>
        <v>2570.5948545058782</v>
      </c>
      <c r="DE7" s="291">
        <f t="shared" si="59"/>
        <v>5137.273670213297</v>
      </c>
      <c r="DF7" s="292">
        <f t="shared" ca="1" si="60"/>
        <v>128529.74272529496</v>
      </c>
      <c r="DG7" s="293">
        <f t="shared" ca="1" si="60"/>
        <v>199858.84262068805</v>
      </c>
      <c r="DH7" s="294">
        <v>0</v>
      </c>
      <c r="DI7" s="295">
        <v>0</v>
      </c>
      <c r="DJ7" s="294">
        <v>0</v>
      </c>
      <c r="DK7" s="295">
        <v>0</v>
      </c>
      <c r="DL7" s="294">
        <v>2570.5948545058782</v>
      </c>
      <c r="DM7" s="295">
        <v>5137.273670213297</v>
      </c>
    </row>
    <row r="8" spans="2:117" ht="23.15" customHeight="1" thickBot="1">
      <c r="B8" s="253" t="str">
        <f>[2]Adj_NPDC_HCA_Input!N8</f>
        <v>Online BS&amp;W Meter</v>
      </c>
      <c r="C8" s="24" t="s">
        <v>242</v>
      </c>
      <c r="D8" s="24" t="s">
        <v>243</v>
      </c>
      <c r="E8" s="24" t="s">
        <v>42</v>
      </c>
      <c r="F8" s="254">
        <f>VLOOKUP($E8,[2]Adj_NPDC_HCA_Input!$B$5:$E$42,2,FALSE)</f>
        <v>446101.93292834098</v>
      </c>
      <c r="G8" s="255">
        <f>VLOOKUP($E8,[2]Adj_NPDC_HCA_Input!$B$5:$E$42,3,FALSE)</f>
        <v>0.20105965171849399</v>
      </c>
      <c r="H8" s="316">
        <f t="shared" si="24"/>
        <v>89693.099265519209</v>
      </c>
      <c r="I8" s="316">
        <f t="shared" si="25"/>
        <v>356408.83366282179</v>
      </c>
      <c r="J8" s="257" t="str">
        <f>[2]Adj_NPDC_HCA_Input!G8</f>
        <v>Non-LACT</v>
      </c>
      <c r="K8" s="257">
        <f>IF(J8="LACT",[2]Adj_NPDC_HCA_Input!$T$4,[2]Adj_NPDC_HCA_Input!$Y$4)</f>
        <v>0.99</v>
      </c>
      <c r="L8" s="257">
        <f>IF(J8="Non-LACT",VLOOKUP([2]Adj_NPDC_HCA_Input!J8,[2]Adj_NPDC_HCA_Input!$X$4:$Y$7,2,FALSE),VLOOKUP([2]Adj_NPDC_HCA_Input!J8,[2]Adj_NPDC_HCA_Input!$S$4:$T$7,2,FALSE))</f>
        <v>1</v>
      </c>
      <c r="M8" s="258">
        <f>IF([2]Adj_NPDC_HCA_Input!M8="No",[2]Adj_NPDC_HCA_Input!$S$32,1)</f>
        <v>1</v>
      </c>
      <c r="N8" s="259">
        <f>IF([2]Adj_NPDC_HCA_Input!K8="Yes",1,0.99)</f>
        <v>1</v>
      </c>
      <c r="O8" s="259" t="str">
        <f>[2]Adj_NPDC_HCA_Input!L8</f>
        <v>No</v>
      </c>
      <c r="P8" s="260">
        <f t="shared" si="26"/>
        <v>441640.91359905759</v>
      </c>
      <c r="Q8" s="260">
        <f t="shared" si="61"/>
        <v>88796.168272864015</v>
      </c>
      <c r="R8" s="260">
        <f t="shared" si="0"/>
        <v>0</v>
      </c>
      <c r="S8" s="260">
        <f t="shared" si="27"/>
        <v>88796.168272864015</v>
      </c>
      <c r="T8" s="260">
        <f t="shared" si="28"/>
        <v>0</v>
      </c>
      <c r="U8" s="260">
        <f t="shared" si="29"/>
        <v>88796.168272864015</v>
      </c>
      <c r="V8" s="260">
        <f t="shared" si="30"/>
        <v>352844.74532619357</v>
      </c>
      <c r="W8" s="260">
        <f t="shared" si="31"/>
        <v>4461.0193292833865</v>
      </c>
      <c r="X8" s="260">
        <f t="shared" si="32"/>
        <v>896.93099265519413</v>
      </c>
      <c r="Y8" s="260">
        <f t="shared" si="32"/>
        <v>3564.0883366282214</v>
      </c>
      <c r="Z8" s="260">
        <f t="shared" ca="1" si="33"/>
        <v>-2050.121226455648</v>
      </c>
      <c r="AA8" s="260">
        <f t="shared" ca="1" si="34"/>
        <v>5953.0626567027803</v>
      </c>
      <c r="AB8" s="260">
        <f t="shared" ca="1" si="1"/>
        <v>-8003.1838831584282</v>
      </c>
      <c r="AC8" s="260">
        <f t="shared" ca="1" si="35"/>
        <v>443691.03482551326</v>
      </c>
      <c r="AD8" s="260">
        <f t="shared" ca="1" si="36"/>
        <v>82843.105616161236</v>
      </c>
      <c r="AE8" s="260">
        <f t="shared" ca="1" si="36"/>
        <v>360847.92920935201</v>
      </c>
      <c r="AF8" s="259"/>
      <c r="AG8" s="261">
        <f t="shared" ca="1" si="2"/>
        <v>1.0124550660007765</v>
      </c>
      <c r="AH8" s="262">
        <f t="shared" si="3"/>
        <v>1.0000000000000009E-2</v>
      </c>
      <c r="AI8" s="263" t="str">
        <f t="shared" si="4"/>
        <v>WEST SPDC</v>
      </c>
      <c r="AJ8" s="264">
        <f t="shared" ref="AJ8:AJ42" ca="1" si="62">AE8</f>
        <v>360847.92920935201</v>
      </c>
      <c r="AK8" s="264">
        <f t="shared" ca="1" si="5"/>
        <v>82843.105616161236</v>
      </c>
      <c r="AL8" s="265">
        <f t="shared" ca="1" si="6"/>
        <v>-8003.1838831584282</v>
      </c>
      <c r="AM8" s="265">
        <f t="shared" ca="1" si="37"/>
        <v>5953.0626567027803</v>
      </c>
      <c r="AN8" s="264">
        <f t="shared" si="7"/>
        <v>3564.0883366282214</v>
      </c>
      <c r="AO8" s="264">
        <f t="shared" si="8"/>
        <v>356408.83366282179</v>
      </c>
      <c r="AP8" s="264">
        <f t="shared" si="38"/>
        <v>352844.74532619357</v>
      </c>
      <c r="AQ8" s="264">
        <f t="shared" si="39"/>
        <v>88796.168272864015</v>
      </c>
      <c r="AR8" s="264">
        <f t="shared" si="9"/>
        <v>89693.099265519209</v>
      </c>
      <c r="AS8" s="264">
        <f t="shared" si="40"/>
        <v>352844.74532619357</v>
      </c>
      <c r="AT8" s="264">
        <f t="shared" si="10"/>
        <v>88796.168272864015</v>
      </c>
      <c r="AU8" s="264">
        <f t="shared" si="10"/>
        <v>0</v>
      </c>
      <c r="AV8" t="s">
        <v>42</v>
      </c>
      <c r="AW8" t="s">
        <v>244</v>
      </c>
      <c r="AX8" s="296">
        <f t="shared" si="41"/>
        <v>446101.93292834098</v>
      </c>
      <c r="AY8" s="297">
        <f t="shared" si="42"/>
        <v>356408.83366282179</v>
      </c>
      <c r="AZ8" s="298">
        <f t="shared" si="43"/>
        <v>89693.099265519209</v>
      </c>
      <c r="BA8" s="296">
        <f t="shared" si="44"/>
        <v>441640.91359905759</v>
      </c>
      <c r="BB8" s="297">
        <f t="shared" si="45"/>
        <v>352844.74532619357</v>
      </c>
      <c r="BC8" s="299">
        <f t="shared" si="46"/>
        <v>0.20105965171849399</v>
      </c>
      <c r="BD8" s="300">
        <f t="shared" si="47"/>
        <v>88796.168272864015</v>
      </c>
      <c r="BE8" s="301"/>
      <c r="BF8" s="302">
        <f t="shared" si="11"/>
        <v>88796.168272864015</v>
      </c>
      <c r="BG8" s="303">
        <f t="shared" si="48"/>
        <v>352844.74532619357</v>
      </c>
      <c r="BH8" s="304">
        <f t="shared" ca="1" si="49"/>
        <v>82843.105616161236</v>
      </c>
      <c r="BI8" s="305">
        <f t="shared" ca="1" si="50"/>
        <v>360847.92920935201</v>
      </c>
      <c r="BJ8" t="s">
        <v>255</v>
      </c>
      <c r="BK8" s="306">
        <f t="shared" si="51"/>
        <v>3564.0883366282214</v>
      </c>
      <c r="BL8" s="317"/>
      <c r="BM8" s="318"/>
      <c r="BN8" s="319"/>
      <c r="BO8" s="309">
        <f t="shared" si="52"/>
        <v>0</v>
      </c>
      <c r="BP8" s="317"/>
      <c r="BQ8" s="318"/>
      <c r="BR8" s="319"/>
      <c r="BT8" t="s">
        <v>249</v>
      </c>
      <c r="BZ8" s="301" t="s">
        <v>256</v>
      </c>
      <c r="CA8" s="307" t="s">
        <v>66</v>
      </c>
      <c r="CB8" s="311">
        <f t="shared" ca="1" si="12"/>
        <v>46918.489849241698</v>
      </c>
      <c r="CC8" s="311">
        <f t="shared" ca="1" si="13"/>
        <v>-100225.15448450428</v>
      </c>
      <c r="CD8" s="311">
        <f t="shared" ca="1" si="14"/>
        <v>1067744.5639207584</v>
      </c>
      <c r="CE8" s="311">
        <f t="shared" ca="1" si="15"/>
        <v>3176272.6325691747</v>
      </c>
      <c r="CF8" s="311">
        <f t="shared" ca="1" si="16"/>
        <v>21328.785529999994</v>
      </c>
      <c r="CG8" s="312">
        <f t="shared" ca="1" si="17"/>
        <v>1135991.8393000001</v>
      </c>
      <c r="CH8" s="312">
        <f t="shared" ca="1" si="18"/>
        <v>3137935.6636000006</v>
      </c>
      <c r="CI8" s="312">
        <f t="shared" ca="1" si="19"/>
        <v>1114663.0537700001</v>
      </c>
      <c r="CJ8" s="312">
        <f t="shared" ca="1" si="20"/>
        <v>3076047.4780846699</v>
      </c>
      <c r="CK8" s="312">
        <f t="shared" ca="1" si="21"/>
        <v>1114663.0537700001</v>
      </c>
      <c r="CL8" s="312">
        <f t="shared" ca="1" si="22"/>
        <v>3076047.4780846699</v>
      </c>
      <c r="CM8" s="313">
        <f t="shared" ca="1" si="23"/>
        <v>0</v>
      </c>
      <c r="CN8" s="283">
        <f t="shared" ca="1" si="53"/>
        <v>0.93992274150376309</v>
      </c>
      <c r="CO8" s="284">
        <f t="shared" ca="1" si="54"/>
        <v>0.93992274150376309</v>
      </c>
      <c r="CP8" s="137"/>
      <c r="CU8" s="285" t="s">
        <v>257</v>
      </c>
      <c r="CV8" s="286">
        <f t="shared" ca="1" si="55"/>
        <v>1135991.8393000001</v>
      </c>
      <c r="CW8" s="286">
        <f t="shared" ca="1" si="55"/>
        <v>3137935.6636000006</v>
      </c>
      <c r="CX8" s="286">
        <f t="shared" ca="1" si="56"/>
        <v>1067744.5639207584</v>
      </c>
      <c r="CY8" s="286">
        <f t="shared" ca="1" si="56"/>
        <v>3176272.6325691747</v>
      </c>
      <c r="CZ8" s="286">
        <f t="shared" ca="1" si="56"/>
        <v>21328.785529999994</v>
      </c>
      <c r="DA8" s="287">
        <f t="shared" ca="1" si="57"/>
        <v>0</v>
      </c>
      <c r="DB8" s="288">
        <f t="shared" ca="1" si="58"/>
        <v>46918.489849241698</v>
      </c>
      <c r="DC8" s="289">
        <f t="shared" ca="1" si="58"/>
        <v>-100225.15448450428</v>
      </c>
      <c r="DD8" s="290">
        <f t="shared" si="59"/>
        <v>-116974.70327835699</v>
      </c>
      <c r="DE8" s="291">
        <f t="shared" si="59"/>
        <v>-66958.350986450125</v>
      </c>
      <c r="DF8" s="292">
        <f t="shared" ca="1" si="60"/>
        <v>950769.8606424015</v>
      </c>
      <c r="DG8" s="293">
        <f t="shared" ca="1" si="60"/>
        <v>3109314.2815827248</v>
      </c>
      <c r="DH8" s="294">
        <v>-67087.862467861094</v>
      </c>
      <c r="DI8" s="295">
        <v>-60813.826999285397</v>
      </c>
      <c r="DJ8" s="294">
        <v>0</v>
      </c>
      <c r="DK8" s="295">
        <v>0</v>
      </c>
      <c r="DL8" s="294">
        <v>-49886.840810495894</v>
      </c>
      <c r="DM8" s="295">
        <v>-6144.5239871647209</v>
      </c>
    </row>
    <row r="9" spans="2:117" ht="23.15" customHeight="1">
      <c r="B9" s="253" t="str">
        <f>[2]Adj_NPDC_HCA_Input!N9</f>
        <v>Online BS&amp;W Meter</v>
      </c>
      <c r="C9" s="24" t="s">
        <v>242</v>
      </c>
      <c r="D9" s="24" t="s">
        <v>243</v>
      </c>
      <c r="E9" s="24" t="s">
        <v>43</v>
      </c>
      <c r="F9" s="254">
        <f>VLOOKUP($E9,[2]Adj_NPDC_HCA_Input!$B$5:$E$42,2,FALSE)</f>
        <v>654961.15551352501</v>
      </c>
      <c r="G9" s="255">
        <f>VLOOKUP($E9,[2]Adj_NPDC_HCA_Input!$B$5:$E$42,3,FALSE)</f>
        <v>0.60235874800594003</v>
      </c>
      <c r="H9" s="316">
        <f t="shared" si="24"/>
        <v>394521.58162765071</v>
      </c>
      <c r="I9" s="316">
        <f t="shared" si="25"/>
        <v>260439.5738858743</v>
      </c>
      <c r="J9" s="257" t="str">
        <f>[2]Adj_NPDC_HCA_Input!G9</f>
        <v>Non-LACT</v>
      </c>
      <c r="K9" s="257">
        <f>IF(J9="LACT",[2]Adj_NPDC_HCA_Input!$T$4,[2]Adj_NPDC_HCA_Input!$Y$4)</f>
        <v>0.99</v>
      </c>
      <c r="L9" s="257">
        <f>IF(J9="Non-LACT",VLOOKUP([2]Adj_NPDC_HCA_Input!J9,[2]Adj_NPDC_HCA_Input!$X$4:$Y$7,2,FALSE),VLOOKUP([2]Adj_NPDC_HCA_Input!J9,[2]Adj_NPDC_HCA_Input!$S$4:$T$7,2,FALSE))</f>
        <v>1</v>
      </c>
      <c r="M9" s="258">
        <f>IF([2]Adj_NPDC_HCA_Input!M9="No",[2]Adj_NPDC_HCA_Input!$S$32,1)</f>
        <v>1</v>
      </c>
      <c r="N9" s="259">
        <f>IF([2]Adj_NPDC_HCA_Input!K9="Yes",1,0.99)</f>
        <v>1</v>
      </c>
      <c r="O9" s="259" t="str">
        <f>[2]Adj_NPDC_HCA_Input!L9</f>
        <v>No</v>
      </c>
      <c r="P9" s="260">
        <f t="shared" si="26"/>
        <v>648411.54395838978</v>
      </c>
      <c r="Q9" s="260">
        <f t="shared" si="61"/>
        <v>390576.36581137421</v>
      </c>
      <c r="R9" s="260">
        <f t="shared" si="0"/>
        <v>0</v>
      </c>
      <c r="S9" s="260">
        <f t="shared" si="27"/>
        <v>390576.36581137421</v>
      </c>
      <c r="T9" s="260">
        <f t="shared" si="28"/>
        <v>0</v>
      </c>
      <c r="U9" s="260">
        <f t="shared" si="29"/>
        <v>390576.36581137421</v>
      </c>
      <c r="V9" s="260">
        <f t="shared" si="30"/>
        <v>257835.17814701557</v>
      </c>
      <c r="W9" s="260">
        <f t="shared" si="31"/>
        <v>6549.6115551352268</v>
      </c>
      <c r="X9" s="260">
        <f t="shared" si="32"/>
        <v>3945.2158162764972</v>
      </c>
      <c r="Y9" s="260">
        <f t="shared" si="32"/>
        <v>2604.3957388587296</v>
      </c>
      <c r="Z9" s="260">
        <f t="shared" ca="1" si="33"/>
        <v>20336.788661017781</v>
      </c>
      <c r="AA9" s="260">
        <f t="shared" ca="1" si="34"/>
        <v>26184.976481839156</v>
      </c>
      <c r="AB9" s="260">
        <f t="shared" ca="1" si="1"/>
        <v>-5848.187820821373</v>
      </c>
      <c r="AC9" s="260">
        <f t="shared" ca="1" si="35"/>
        <v>628074.755297372</v>
      </c>
      <c r="AD9" s="260">
        <f t="shared" ca="1" si="36"/>
        <v>364391.38932953507</v>
      </c>
      <c r="AE9" s="260">
        <f t="shared" ca="1" si="36"/>
        <v>263683.36596783693</v>
      </c>
      <c r="AF9" s="259"/>
      <c r="AG9" s="261">
        <f t="shared" ca="1" si="2"/>
        <v>1.0124550660007763</v>
      </c>
      <c r="AH9" s="262">
        <f t="shared" si="3"/>
        <v>9.9999999999998979E-3</v>
      </c>
      <c r="AI9" s="263" t="str">
        <f t="shared" si="4"/>
        <v>WEST SPDC</v>
      </c>
      <c r="AJ9" s="264">
        <f t="shared" ca="1" si="62"/>
        <v>263683.36596783693</v>
      </c>
      <c r="AK9" s="264">
        <f t="shared" ca="1" si="5"/>
        <v>364391.38932953507</v>
      </c>
      <c r="AL9" s="265">
        <f t="shared" ca="1" si="6"/>
        <v>-5848.187820821373</v>
      </c>
      <c r="AM9" s="265">
        <f t="shared" ca="1" si="37"/>
        <v>26184.976481839156</v>
      </c>
      <c r="AN9" s="264">
        <f t="shared" si="7"/>
        <v>2604.3957388587296</v>
      </c>
      <c r="AO9" s="264">
        <f t="shared" si="8"/>
        <v>260439.5738858743</v>
      </c>
      <c r="AP9" s="264">
        <f t="shared" si="38"/>
        <v>257835.17814701557</v>
      </c>
      <c r="AQ9" s="264">
        <f t="shared" si="39"/>
        <v>390576.36581137421</v>
      </c>
      <c r="AR9" s="264">
        <f t="shared" si="9"/>
        <v>394521.58162765071</v>
      </c>
      <c r="AS9" s="264">
        <f t="shared" si="40"/>
        <v>257835.17814701557</v>
      </c>
      <c r="AT9" s="264">
        <f t="shared" si="10"/>
        <v>390576.36581137421</v>
      </c>
      <c r="AU9" s="264">
        <f t="shared" si="10"/>
        <v>0</v>
      </c>
      <c r="AV9" t="s">
        <v>43</v>
      </c>
      <c r="AW9" t="s">
        <v>244</v>
      </c>
      <c r="AX9" s="296">
        <f t="shared" si="41"/>
        <v>654961.15551352501</v>
      </c>
      <c r="AY9" s="297">
        <f t="shared" si="42"/>
        <v>260439.5738858743</v>
      </c>
      <c r="AZ9" s="298">
        <f t="shared" si="43"/>
        <v>394521.58162765071</v>
      </c>
      <c r="BA9" s="296">
        <f t="shared" si="44"/>
        <v>648411.54395838978</v>
      </c>
      <c r="BB9" s="297">
        <f t="shared" si="45"/>
        <v>257835.17814701557</v>
      </c>
      <c r="BC9" s="299">
        <f t="shared" si="46"/>
        <v>0.60235874800594003</v>
      </c>
      <c r="BD9" s="300">
        <f t="shared" si="47"/>
        <v>390576.36581137421</v>
      </c>
      <c r="BE9" s="301"/>
      <c r="BF9" s="302">
        <f t="shared" si="11"/>
        <v>390576.36581137421</v>
      </c>
      <c r="BG9" s="303">
        <f t="shared" si="48"/>
        <v>257835.17814701557</v>
      </c>
      <c r="BH9" s="304">
        <f t="shared" ca="1" si="49"/>
        <v>364391.38932953507</v>
      </c>
      <c r="BI9" s="305">
        <f t="shared" ca="1" si="50"/>
        <v>263683.36596783693</v>
      </c>
      <c r="BJ9" t="s">
        <v>258</v>
      </c>
      <c r="BK9" s="320">
        <f t="shared" si="51"/>
        <v>2604.3957388587296</v>
      </c>
      <c r="BO9" s="321">
        <f t="shared" si="52"/>
        <v>0</v>
      </c>
      <c r="BT9" t="s">
        <v>249</v>
      </c>
      <c r="BZ9" s="310" t="s">
        <v>259</v>
      </c>
      <c r="CA9" s="322" t="s">
        <v>260</v>
      </c>
      <c r="CB9" s="311">
        <f t="shared" ca="1" si="12"/>
        <v>25374.231256563406</v>
      </c>
      <c r="CC9" s="311">
        <f t="shared" ca="1" si="13"/>
        <v>0</v>
      </c>
      <c r="CD9" s="311">
        <f t="shared" ca="1" si="14"/>
        <v>577452.46223651955</v>
      </c>
      <c r="CE9" s="311">
        <f t="shared" ca="1" si="15"/>
        <v>654799.76689286227</v>
      </c>
      <c r="CF9" s="311">
        <f t="shared" ca="1" si="16"/>
        <v>0</v>
      </c>
      <c r="CG9" s="312">
        <f t="shared" ca="1" si="17"/>
        <v>602826.69349308289</v>
      </c>
      <c r="CH9" s="312">
        <f t="shared" ca="1" si="18"/>
        <v>654799.76689286227</v>
      </c>
      <c r="CI9" s="312">
        <f t="shared" ca="1" si="19"/>
        <v>602826.69349308289</v>
      </c>
      <c r="CJ9" s="312">
        <f t="shared" ca="1" si="20"/>
        <v>654799.76689286227</v>
      </c>
      <c r="CK9" s="312">
        <f t="shared" ca="1" si="21"/>
        <v>602826.69349308289</v>
      </c>
      <c r="CL9" s="312">
        <f t="shared" ca="1" si="22"/>
        <v>654799.76689286227</v>
      </c>
      <c r="CM9" s="313">
        <f t="shared" ca="1" si="23"/>
        <v>0</v>
      </c>
      <c r="CN9" s="283">
        <f t="shared" ca="1" si="53"/>
        <v>0.95790791693457999</v>
      </c>
      <c r="CO9" s="284">
        <f t="shared" ca="1" si="54"/>
        <v>0.95790791693457999</v>
      </c>
      <c r="CP9" s="137"/>
      <c r="CU9" s="285" t="s">
        <v>261</v>
      </c>
      <c r="CV9" s="286">
        <f t="shared" ca="1" si="55"/>
        <v>602826.69349308289</v>
      </c>
      <c r="CW9" s="286">
        <f t="shared" ca="1" si="55"/>
        <v>654799.76689286227</v>
      </c>
      <c r="CX9" s="286">
        <f t="shared" ca="1" si="56"/>
        <v>577452.46223651955</v>
      </c>
      <c r="CY9" s="286">
        <f t="shared" ca="1" si="56"/>
        <v>654799.76689286227</v>
      </c>
      <c r="CZ9" s="286">
        <f t="shared" ca="1" si="56"/>
        <v>0</v>
      </c>
      <c r="DA9" s="287">
        <f t="shared" ca="1" si="57"/>
        <v>0</v>
      </c>
      <c r="DB9" s="288">
        <f t="shared" ca="1" si="58"/>
        <v>25374.231256563406</v>
      </c>
      <c r="DC9" s="289">
        <f t="shared" ca="1" si="58"/>
        <v>0</v>
      </c>
      <c r="DD9" s="290">
        <f>SUM(DH9,DJ9,DL9)</f>
        <v>11784.744127275742</v>
      </c>
      <c r="DE9" s="291">
        <f t="shared" si="59"/>
        <v>0</v>
      </c>
      <c r="DF9" s="292">
        <f t="shared" ca="1" si="60"/>
        <v>589237.20636379533</v>
      </c>
      <c r="DG9" s="293">
        <f t="shared" ca="1" si="60"/>
        <v>654799.76689286227</v>
      </c>
      <c r="DH9" s="294">
        <v>0</v>
      </c>
      <c r="DI9" s="295">
        <v>0</v>
      </c>
      <c r="DJ9" s="294">
        <v>0</v>
      </c>
      <c r="DK9" s="295">
        <v>0</v>
      </c>
      <c r="DL9" s="294">
        <f>SUM(DL16:DL17)</f>
        <v>11784.744127275742</v>
      </c>
      <c r="DM9" s="295">
        <f>SUM(DM16:DM17)</f>
        <v>0</v>
      </c>
    </row>
    <row r="10" spans="2:117" ht="23.15" customHeight="1">
      <c r="B10" s="253" t="str">
        <f>[2]Adj_NPDC_HCA_Input!N10</f>
        <v>Online BS&amp;W Meter</v>
      </c>
      <c r="C10" s="24" t="s">
        <v>242</v>
      </c>
      <c r="D10" s="24" t="s">
        <v>243</v>
      </c>
      <c r="E10" s="24" t="s">
        <v>44</v>
      </c>
      <c r="F10" s="254">
        <f>VLOOKUP($E10,[2]Adj_NPDC_HCA_Input!$B$5:$E$42,2,FALSE)</f>
        <v>4446</v>
      </c>
      <c r="G10" s="255">
        <f>VLOOKUP($E10,[2]Adj_NPDC_HCA_Input!$B$5:$E$42,3,FALSE)</f>
        <v>0.30515546051114301</v>
      </c>
      <c r="H10" s="256">
        <f t="shared" si="24"/>
        <v>1356.7211774325417</v>
      </c>
      <c r="I10" s="256">
        <f t="shared" si="25"/>
        <v>3089.2788225674585</v>
      </c>
      <c r="J10" s="257" t="str">
        <f>[2]Adj_NPDC_HCA_Input!G10</f>
        <v>Non-LACT</v>
      </c>
      <c r="K10" s="257">
        <f>IF(J10="LACT",[2]Adj_NPDC_HCA_Input!$T$4,[2]Adj_NPDC_HCA_Input!$Y$4)</f>
        <v>0.99</v>
      </c>
      <c r="L10" s="257">
        <f>IF(J10="Non-LACT",VLOOKUP([2]Adj_NPDC_HCA_Input!J10,[2]Adj_NPDC_HCA_Input!$X$4:$Y$7,2,FALSE),VLOOKUP([2]Adj_NPDC_HCA_Input!J10,[2]Adj_NPDC_HCA_Input!$S$4:$T$7,2,FALSE))</f>
        <v>1</v>
      </c>
      <c r="M10" s="258">
        <f>IF([2]Adj_NPDC_HCA_Input!M10="No",[2]Adj_NPDC_HCA_Input!$S$32,1)</f>
        <v>0.98260000000000003</v>
      </c>
      <c r="N10" s="259">
        <f>IF([2]Adj_NPDC_HCA_Input!K10="Yes",1,0.99)</f>
        <v>1</v>
      </c>
      <c r="O10" s="259" t="str">
        <f>[2]Adj_NPDC_HCA_Input!L10</f>
        <v>Yes</v>
      </c>
      <c r="P10" s="260">
        <f t="shared" si="26"/>
        <v>4324.9532040000004</v>
      </c>
      <c r="Q10" s="260">
        <f t="shared" si="61"/>
        <v>1319.7830866557636</v>
      </c>
      <c r="R10" s="260">
        <f t="shared" si="0"/>
        <v>0</v>
      </c>
      <c r="S10" s="260">
        <f t="shared" si="27"/>
        <v>1319.7830866557636</v>
      </c>
      <c r="T10" s="260">
        <f t="shared" si="28"/>
        <v>0</v>
      </c>
      <c r="U10" s="260">
        <f t="shared" si="29"/>
        <v>1319.7830866557636</v>
      </c>
      <c r="V10" s="260">
        <f t="shared" si="30"/>
        <v>3005.170117344237</v>
      </c>
      <c r="W10" s="260">
        <f t="shared" si="31"/>
        <v>121.04679599999963</v>
      </c>
      <c r="X10" s="260">
        <f t="shared" si="32"/>
        <v>36.938090776778154</v>
      </c>
      <c r="Y10" s="260">
        <f t="shared" si="32"/>
        <v>84.108705223221477</v>
      </c>
      <c r="Z10" s="260">
        <f t="shared" ca="1" si="33"/>
        <v>0</v>
      </c>
      <c r="AA10" s="260">
        <f t="shared" si="34"/>
        <v>0</v>
      </c>
      <c r="AB10" s="260">
        <f t="shared" ca="1" si="1"/>
        <v>0</v>
      </c>
      <c r="AC10" s="260">
        <f t="shared" ca="1" si="35"/>
        <v>4324.9532040000004</v>
      </c>
      <c r="AD10" s="260">
        <f t="shared" si="36"/>
        <v>1319.7830866557636</v>
      </c>
      <c r="AE10" s="260">
        <f t="shared" ca="1" si="36"/>
        <v>3005.170117344237</v>
      </c>
      <c r="AF10" s="259"/>
      <c r="AG10" s="261">
        <f t="shared" ca="1" si="2"/>
        <v>0.97277400000000003</v>
      </c>
      <c r="AH10" s="262">
        <f t="shared" si="3"/>
        <v>2.7225999999999972E-2</v>
      </c>
      <c r="AI10" s="263" t="str">
        <f t="shared" si="4"/>
        <v>WEST SPDC</v>
      </c>
      <c r="AJ10" s="264">
        <f t="shared" ca="1" si="62"/>
        <v>3005.170117344237</v>
      </c>
      <c r="AK10" s="264">
        <f t="shared" si="5"/>
        <v>1319.7830866557636</v>
      </c>
      <c r="AL10" s="265">
        <f t="shared" ca="1" si="6"/>
        <v>0</v>
      </c>
      <c r="AM10" s="265">
        <f t="shared" si="37"/>
        <v>0</v>
      </c>
      <c r="AN10" s="264">
        <f t="shared" si="7"/>
        <v>84.108705223221477</v>
      </c>
      <c r="AO10" s="264">
        <f t="shared" si="8"/>
        <v>3089.2788225674585</v>
      </c>
      <c r="AP10" s="264">
        <f t="shared" si="38"/>
        <v>3005.170117344237</v>
      </c>
      <c r="AQ10" s="264">
        <f t="shared" si="39"/>
        <v>1319.7830866557636</v>
      </c>
      <c r="AR10" s="264">
        <f t="shared" si="9"/>
        <v>1356.7211774325417</v>
      </c>
      <c r="AS10" s="264">
        <f t="shared" si="40"/>
        <v>3005.170117344237</v>
      </c>
      <c r="AT10" s="264">
        <f t="shared" si="10"/>
        <v>1319.7830866557636</v>
      </c>
      <c r="AU10" s="264">
        <f t="shared" si="10"/>
        <v>0</v>
      </c>
      <c r="AV10" t="s">
        <v>44</v>
      </c>
      <c r="AW10" t="s">
        <v>244</v>
      </c>
      <c r="AX10" s="296">
        <f t="shared" si="41"/>
        <v>4446</v>
      </c>
      <c r="AY10" s="297">
        <f t="shared" si="42"/>
        <v>3089.2788225674585</v>
      </c>
      <c r="AZ10" s="298">
        <f t="shared" si="43"/>
        <v>1356.7211774325417</v>
      </c>
      <c r="BA10" s="296">
        <f t="shared" si="44"/>
        <v>4324.9532040000004</v>
      </c>
      <c r="BB10" s="297">
        <f t="shared" si="45"/>
        <v>3005.1701173442366</v>
      </c>
      <c r="BC10" s="299">
        <f t="shared" si="46"/>
        <v>0.30515546051114301</v>
      </c>
      <c r="BD10" s="300">
        <f t="shared" si="47"/>
        <v>1319.7830866557636</v>
      </c>
      <c r="BE10" s="301"/>
      <c r="BF10" s="302">
        <f t="shared" si="11"/>
        <v>1319.7830866557636</v>
      </c>
      <c r="BG10" s="303">
        <f t="shared" si="48"/>
        <v>3005.170117344237</v>
      </c>
      <c r="BH10" s="304">
        <f t="shared" si="49"/>
        <v>1319.7830866557636</v>
      </c>
      <c r="BI10" s="305">
        <f t="shared" ca="1" si="50"/>
        <v>3005.170117344237</v>
      </c>
      <c r="BJ10" t="s">
        <v>262</v>
      </c>
      <c r="BK10" s="320">
        <f t="shared" si="51"/>
        <v>84.108705223221932</v>
      </c>
      <c r="BO10" s="321">
        <f t="shared" si="52"/>
        <v>0</v>
      </c>
      <c r="BT10" t="s">
        <v>249</v>
      </c>
      <c r="BZ10" s="301" t="s">
        <v>263</v>
      </c>
      <c r="CA10" s="307" t="s">
        <v>93</v>
      </c>
      <c r="CB10" s="311">
        <f t="shared" ca="1" si="12"/>
        <v>2060.0519139856947</v>
      </c>
      <c r="CC10" s="311">
        <f t="shared" ca="1" si="13"/>
        <v>-1221.4347942824011</v>
      </c>
      <c r="CD10" s="311">
        <f t="shared" ca="1" si="14"/>
        <v>46881.501080289563</v>
      </c>
      <c r="CE10" s="311">
        <f t="shared" ca="1" si="15"/>
        <v>38178.492062781559</v>
      </c>
      <c r="CF10" s="311">
        <f t="shared" ca="1" si="16"/>
        <v>998.80720396480319</v>
      </c>
      <c r="CG10" s="312">
        <f t="shared" ca="1" si="17"/>
        <v>49940.360198240058</v>
      </c>
      <c r="CH10" s="312">
        <f t="shared" ca="1" si="18"/>
        <v>37711.282927039952</v>
      </c>
      <c r="CI10" s="312">
        <f t="shared" ca="1" si="19"/>
        <v>48941.552994275255</v>
      </c>
      <c r="CJ10" s="312">
        <f t="shared" ca="1" si="20"/>
        <v>36957.057268499157</v>
      </c>
      <c r="CK10" s="312">
        <f t="shared" ca="1" si="21"/>
        <v>48941.552994275255</v>
      </c>
      <c r="CL10" s="312">
        <f t="shared" ca="1" si="22"/>
        <v>36957.057268499157</v>
      </c>
      <c r="CM10" s="313">
        <f t="shared" ca="1" si="23"/>
        <v>0</v>
      </c>
      <c r="CN10" s="283">
        <f t="shared" ca="1" si="53"/>
        <v>0.93874975859588827</v>
      </c>
      <c r="CO10" s="284">
        <f t="shared" ca="1" si="54"/>
        <v>0.93874975859588827</v>
      </c>
      <c r="CP10" s="137"/>
      <c r="CU10" s="285" t="s">
        <v>264</v>
      </c>
      <c r="CV10" s="286">
        <f t="shared" ca="1" si="55"/>
        <v>49940.360198240058</v>
      </c>
      <c r="CW10" s="286">
        <f t="shared" ca="1" si="55"/>
        <v>37711.282927039952</v>
      </c>
      <c r="CX10" s="286">
        <f t="shared" ca="1" si="56"/>
        <v>46881.501080289563</v>
      </c>
      <c r="CY10" s="286">
        <f t="shared" ca="1" si="56"/>
        <v>38178.492062781559</v>
      </c>
      <c r="CZ10" s="286">
        <f t="shared" ca="1" si="56"/>
        <v>998.80720396480319</v>
      </c>
      <c r="DA10" s="287">
        <f t="shared" ca="1" si="57"/>
        <v>0</v>
      </c>
      <c r="DB10" s="288">
        <f t="shared" ca="1" si="58"/>
        <v>2060.0519139856947</v>
      </c>
      <c r="DC10" s="289">
        <f t="shared" ca="1" si="58"/>
        <v>-1221.4347942824011</v>
      </c>
      <c r="DD10" s="290">
        <f t="shared" si="59"/>
        <v>956.76532816916006</v>
      </c>
      <c r="DE10" s="291">
        <f t="shared" si="59"/>
        <v>1007.2503169510601</v>
      </c>
      <c r="DF10" s="292">
        <f t="shared" ca="1" si="60"/>
        <v>47838.266408458723</v>
      </c>
      <c r="DG10" s="293">
        <f t="shared" ca="1" si="60"/>
        <v>39185.742379732619</v>
      </c>
      <c r="DH10" s="294">
        <v>0</v>
      </c>
      <c r="DI10" s="295">
        <v>0</v>
      </c>
      <c r="DJ10" s="294">
        <v>0</v>
      </c>
      <c r="DK10" s="295">
        <v>0</v>
      </c>
      <c r="DL10" s="294">
        <v>956.76532816916006</v>
      </c>
      <c r="DM10" s="295">
        <v>1007.2503169510601</v>
      </c>
    </row>
    <row r="11" spans="2:117" ht="23.15" customHeight="1">
      <c r="B11" s="253" t="str">
        <f>[2]Adj_NPDC_HCA_Input!N11</f>
        <v>Manual Sampling</v>
      </c>
      <c r="C11" s="323" t="s">
        <v>250</v>
      </c>
      <c r="D11" s="42" t="s">
        <v>46</v>
      </c>
      <c r="E11" s="324" t="s">
        <v>47</v>
      </c>
      <c r="F11" s="254">
        <f>VLOOKUP($E11,[2]Adj_NPDC_HCA_Input!$B$5:$E$42,2,FALSE)</f>
        <v>1012835</v>
      </c>
      <c r="G11" s="255">
        <f>VLOOKUP($E11,[2]Adj_NPDC_HCA_Input!$B$5:$E$42,3,FALSE)</f>
        <v>0.22063678415042914</v>
      </c>
      <c r="H11" s="256">
        <f>F11*G11</f>
        <v>223468.65727499989</v>
      </c>
      <c r="I11" s="256">
        <f>F11-H11</f>
        <v>789366.34272500011</v>
      </c>
      <c r="J11" s="257" t="str">
        <f>[2]Adj_NPDC_HCA_Input!G11</f>
        <v>Non-LACT</v>
      </c>
      <c r="K11" s="257">
        <f>IF(J11="LACT",[2]Adj_NPDC_HCA_Input!$T$4,[2]Adj_NPDC_HCA_Input!$Y$4)</f>
        <v>0.99</v>
      </c>
      <c r="L11" s="257">
        <f>IF(J11="Non-LACT",VLOOKUP([2]Adj_NPDC_HCA_Input!J11,[2]Adj_NPDC_HCA_Input!$X$4:$Y$7,2,FALSE),VLOOKUP([2]Adj_NPDC_HCA_Input!J11,[2]Adj_NPDC_HCA_Input!$S$4:$T$7,2,FALSE))</f>
        <v>0.98</v>
      </c>
      <c r="M11" s="258">
        <f>IF([2]Adj_NPDC_HCA_Input!M11="No",[2]Adj_NPDC_HCA_Input!$S$32,1)</f>
        <v>1</v>
      </c>
      <c r="N11" s="259">
        <f>IF([2]Adj_NPDC_HCA_Input!K11="Yes",1,0.99)</f>
        <v>1</v>
      </c>
      <c r="O11" s="259" t="str">
        <f>[2]Adj_NPDC_HCA_Input!L11</f>
        <v>No</v>
      </c>
      <c r="P11" s="260">
        <f t="shared" si="26"/>
        <v>982652.51699999999</v>
      </c>
      <c r="Q11" s="260">
        <f t="shared" si="61"/>
        <v>216809.2912882049</v>
      </c>
      <c r="R11" s="260">
        <f t="shared" si="0"/>
        <v>0</v>
      </c>
      <c r="S11" s="260">
        <f t="shared" si="27"/>
        <v>216809.2912882049</v>
      </c>
      <c r="T11" s="260">
        <f t="shared" si="28"/>
        <v>0</v>
      </c>
      <c r="U11" s="260">
        <f t="shared" si="29"/>
        <v>216809.2912882049</v>
      </c>
      <c r="V11" s="260">
        <f t="shared" si="30"/>
        <v>765843.22571179504</v>
      </c>
      <c r="W11" s="260">
        <f t="shared" si="31"/>
        <v>30182.483000000007</v>
      </c>
      <c r="X11" s="260">
        <f t="shared" si="32"/>
        <v>6659.36598679499</v>
      </c>
      <c r="Y11" s="260">
        <f t="shared" si="32"/>
        <v>23523.117013205076</v>
      </c>
      <c r="Z11" s="260">
        <f t="shared" ca="1" si="33"/>
        <v>-38286.010555832392</v>
      </c>
      <c r="AA11" s="260">
        <f t="shared" ca="1" si="34"/>
        <v>14535.303951718352</v>
      </c>
      <c r="AB11" s="260">
        <f t="shared" ca="1" si="1"/>
        <v>-52821.314507550742</v>
      </c>
      <c r="AC11" s="260">
        <f t="shared" ca="1" si="35"/>
        <v>1020938.5275558324</v>
      </c>
      <c r="AD11" s="260">
        <f t="shared" ca="1" si="36"/>
        <v>202273.98733648655</v>
      </c>
      <c r="AE11" s="260">
        <f t="shared" ca="1" si="36"/>
        <v>818664.54021934583</v>
      </c>
      <c r="AF11" s="259"/>
      <c r="AG11" s="261">
        <f t="shared" ca="1" si="2"/>
        <v>1.0371160966823141</v>
      </c>
      <c r="AH11" s="262">
        <f t="shared" si="3"/>
        <v>2.9800000000000049E-2</v>
      </c>
      <c r="AI11" s="263" t="str">
        <f t="shared" si="4"/>
        <v>WEST-NPDC/ELCREST</v>
      </c>
      <c r="AJ11" s="264">
        <f t="shared" ca="1" si="62"/>
        <v>818664.54021934583</v>
      </c>
      <c r="AK11" s="264">
        <f t="shared" ca="1" si="5"/>
        <v>202273.98733648655</v>
      </c>
      <c r="AL11" s="265">
        <f t="shared" ca="1" si="6"/>
        <v>-52821.314507550742</v>
      </c>
      <c r="AM11" s="265">
        <f t="shared" ca="1" si="37"/>
        <v>14535.303951718352</v>
      </c>
      <c r="AN11" s="264">
        <f t="shared" si="7"/>
        <v>23523.117013205076</v>
      </c>
      <c r="AO11" s="264">
        <f t="shared" si="8"/>
        <v>789366.34272500011</v>
      </c>
      <c r="AP11" s="264">
        <f t="shared" si="38"/>
        <v>765843.22571179504</v>
      </c>
      <c r="AQ11" s="264">
        <f t="shared" si="39"/>
        <v>216809.2912882049</v>
      </c>
      <c r="AR11" s="264">
        <f t="shared" si="9"/>
        <v>223468.65727499989</v>
      </c>
      <c r="AS11" s="264">
        <f t="shared" si="40"/>
        <v>765843.22571179504</v>
      </c>
      <c r="AT11" s="264">
        <f t="shared" si="10"/>
        <v>216809.2912882049</v>
      </c>
      <c r="AU11" s="264">
        <f t="shared" si="10"/>
        <v>0</v>
      </c>
      <c r="AV11" t="s">
        <v>47</v>
      </c>
      <c r="AW11" t="s">
        <v>47</v>
      </c>
      <c r="AX11" s="296">
        <f t="shared" si="41"/>
        <v>1012835</v>
      </c>
      <c r="AY11" s="297">
        <f t="shared" si="42"/>
        <v>789366.34272500011</v>
      </c>
      <c r="AZ11" s="298">
        <f t="shared" si="43"/>
        <v>223468.65727499989</v>
      </c>
      <c r="BA11" s="296">
        <f t="shared" si="44"/>
        <v>982652.51699999999</v>
      </c>
      <c r="BB11" s="297">
        <f t="shared" si="45"/>
        <v>765843.22571179515</v>
      </c>
      <c r="BC11" s="299">
        <f t="shared" si="46"/>
        <v>0.22063678415042914</v>
      </c>
      <c r="BD11" s="300">
        <f t="shared" si="47"/>
        <v>216809.2912882049</v>
      </c>
      <c r="BE11" s="301"/>
      <c r="BF11" s="302">
        <f t="shared" si="11"/>
        <v>216809.2912882049</v>
      </c>
      <c r="BG11" s="303">
        <f t="shared" si="48"/>
        <v>765843.22571179504</v>
      </c>
      <c r="BH11" s="304">
        <f t="shared" ca="1" si="49"/>
        <v>202273.98733648655</v>
      </c>
      <c r="BI11" s="305">
        <f t="shared" ca="1" si="50"/>
        <v>818664.54021934583</v>
      </c>
      <c r="BJ11" t="s">
        <v>265</v>
      </c>
      <c r="BK11" s="320">
        <f t="shared" si="51"/>
        <v>23523.117013204959</v>
      </c>
      <c r="BM11">
        <f>BK9/2.74</f>
        <v>950.50939374406187</v>
      </c>
      <c r="BN11">
        <v>1</v>
      </c>
      <c r="BO11" s="321">
        <f t="shared" si="52"/>
        <v>0</v>
      </c>
      <c r="BZ11" s="325" t="s">
        <v>266</v>
      </c>
      <c r="CA11" s="326" t="s">
        <v>267</v>
      </c>
      <c r="CB11" s="311">
        <f t="shared" ca="1" si="12"/>
        <v>47408.074491312727</v>
      </c>
      <c r="CC11" s="311">
        <f t="shared" ca="1" si="13"/>
        <v>0</v>
      </c>
      <c r="CD11" s="311">
        <f t="shared" ca="1" si="14"/>
        <v>1078886.2554336381</v>
      </c>
      <c r="CE11" s="327">
        <f t="shared" ca="1" si="15"/>
        <v>281080.29399474926</v>
      </c>
      <c r="CF11" s="311">
        <f t="shared" ca="1" si="16"/>
        <v>0</v>
      </c>
      <c r="CG11" s="312">
        <f t="shared" ca="1" si="17"/>
        <v>1126294.3299249508</v>
      </c>
      <c r="CH11" s="328">
        <f t="shared" ca="1" si="18"/>
        <v>281080.29399474926</v>
      </c>
      <c r="CI11" s="312">
        <f t="shared" ca="1" si="19"/>
        <v>1126294.3299249508</v>
      </c>
      <c r="CJ11" s="312">
        <f t="shared" ca="1" si="20"/>
        <v>281080.29399474926</v>
      </c>
      <c r="CK11" s="312">
        <f t="shared" ca="1" si="21"/>
        <v>1126294.3299249508</v>
      </c>
      <c r="CL11" s="312">
        <f t="shared" ca="1" si="22"/>
        <v>281080.29399474926</v>
      </c>
      <c r="CM11" s="313">
        <f t="shared" ca="1" si="23"/>
        <v>0</v>
      </c>
      <c r="CN11" s="283">
        <f t="shared" ca="1" si="53"/>
        <v>0.95790791693457988</v>
      </c>
      <c r="CO11" s="284">
        <f t="shared" ca="1" si="54"/>
        <v>0.95790791693457988</v>
      </c>
      <c r="CP11" s="137"/>
      <c r="CU11" s="285" t="s">
        <v>408</v>
      </c>
      <c r="CV11" s="286">
        <f t="shared" ca="1" si="55"/>
        <v>1126294.3299249508</v>
      </c>
      <c r="CW11" s="286">
        <f t="shared" ca="1" si="55"/>
        <v>281080.29399474926</v>
      </c>
      <c r="CX11" s="286">
        <f t="shared" ca="1" si="56"/>
        <v>1078886.2554336381</v>
      </c>
      <c r="CY11" s="286">
        <f t="shared" ca="1" si="56"/>
        <v>281080.29399474926</v>
      </c>
      <c r="CZ11" s="286">
        <f t="shared" ca="1" si="56"/>
        <v>0</v>
      </c>
      <c r="DA11" s="287">
        <f t="shared" ca="1" si="57"/>
        <v>0</v>
      </c>
      <c r="DB11" s="288">
        <f t="shared" ca="1" si="58"/>
        <v>47408.074491312727</v>
      </c>
      <c r="DC11" s="289">
        <f t="shared" ca="1" si="58"/>
        <v>0</v>
      </c>
      <c r="DD11" s="290">
        <f>SUM(DH11,DJ11,DL11)</f>
        <v>22018.086845584097</v>
      </c>
      <c r="DE11" s="291">
        <f t="shared" si="59"/>
        <v>0</v>
      </c>
      <c r="DF11" s="292">
        <f t="shared" ca="1" si="60"/>
        <v>1100904.3422792223</v>
      </c>
      <c r="DG11" s="293">
        <f t="shared" ca="1" si="60"/>
        <v>281080.29399474926</v>
      </c>
      <c r="DH11" s="294">
        <v>0</v>
      </c>
      <c r="DI11" s="295">
        <v>0</v>
      </c>
      <c r="DJ11" s="294">
        <v>0</v>
      </c>
      <c r="DK11" s="295">
        <v>0</v>
      </c>
      <c r="DL11" s="294">
        <f>SUM(DL18:DL21)</f>
        <v>22018.086845584097</v>
      </c>
      <c r="DM11" s="295">
        <f>SUM(DM18:DM21)</f>
        <v>0</v>
      </c>
    </row>
    <row r="12" spans="2:117" ht="23.15" customHeight="1">
      <c r="B12" s="253" t="str">
        <f>[2]Adj_NPDC_HCA_Input!N12</f>
        <v>Online BS&amp;W Meter</v>
      </c>
      <c r="C12" s="24" t="s">
        <v>242</v>
      </c>
      <c r="D12" s="24" t="s">
        <v>243</v>
      </c>
      <c r="E12" s="24" t="s">
        <v>51</v>
      </c>
      <c r="F12" s="254">
        <f>VLOOKUP($E12,[2]Adj_NPDC_HCA_Input!$B$5:$E$42,2,FALSE)</f>
        <v>138901.08280331001</v>
      </c>
      <c r="G12" s="255">
        <f>VLOOKUP($E12,[2]Adj_NPDC_HCA_Input!$B$5:$E$42,3,FALSE)</f>
        <v>0.30253979756741201</v>
      </c>
      <c r="H12" s="256">
        <f t="shared" si="24"/>
        <v>42023.105473207746</v>
      </c>
      <c r="I12" s="256">
        <f t="shared" si="25"/>
        <v>96877.977330102265</v>
      </c>
      <c r="J12" s="257" t="str">
        <f>[2]Adj_NPDC_HCA_Input!G12</f>
        <v>Non-LACT</v>
      </c>
      <c r="K12" s="257">
        <f>IF(J12="LACT",[2]Adj_NPDC_HCA_Input!$T$4,[2]Adj_NPDC_HCA_Input!$Y$4)</f>
        <v>0.99</v>
      </c>
      <c r="L12" s="257">
        <f>IF(J12="Non-LACT",VLOOKUP([2]Adj_NPDC_HCA_Input!J12,[2]Adj_NPDC_HCA_Input!$X$4:$Y$7,2,FALSE),VLOOKUP([2]Adj_NPDC_HCA_Input!J12,[2]Adj_NPDC_HCA_Input!$S$4:$T$7,2,FALSE))</f>
        <v>1</v>
      </c>
      <c r="M12" s="258">
        <f>IF([2]Adj_NPDC_HCA_Input!M12="No",[2]Adj_NPDC_HCA_Input!$S$32,1)</f>
        <v>1</v>
      </c>
      <c r="N12" s="259">
        <f>IF([2]Adj_NPDC_HCA_Input!K12="Yes",1,0.99)</f>
        <v>1</v>
      </c>
      <c r="O12" s="259" t="str">
        <f>[2]Adj_NPDC_HCA_Input!L12</f>
        <v>No</v>
      </c>
      <c r="P12" s="260">
        <f t="shared" si="26"/>
        <v>137512.07197527692</v>
      </c>
      <c r="Q12" s="260">
        <f t="shared" si="61"/>
        <v>41602.874418475672</v>
      </c>
      <c r="R12" s="260">
        <f t="shared" si="0"/>
        <v>0</v>
      </c>
      <c r="S12" s="260">
        <f t="shared" si="27"/>
        <v>41602.874418475672</v>
      </c>
      <c r="T12" s="260">
        <f t="shared" si="28"/>
        <v>0</v>
      </c>
      <c r="U12" s="260">
        <f t="shared" si="29"/>
        <v>41602.874418475672</v>
      </c>
      <c r="V12" s="260">
        <f t="shared" si="30"/>
        <v>95909.197556801257</v>
      </c>
      <c r="W12" s="260">
        <f t="shared" si="31"/>
        <v>1389.0108280330896</v>
      </c>
      <c r="X12" s="260">
        <f t="shared" si="32"/>
        <v>420.23105473207397</v>
      </c>
      <c r="Y12" s="260">
        <f t="shared" si="32"/>
        <v>968.77977330100839</v>
      </c>
      <c r="Z12" s="260">
        <f t="shared" ca="1" si="33"/>
        <v>613.73382004364885</v>
      </c>
      <c r="AA12" s="260">
        <f t="shared" ca="1" si="34"/>
        <v>2789.1351950127882</v>
      </c>
      <c r="AB12" s="260">
        <f t="shared" ca="1" si="1"/>
        <v>-2175.4013749691394</v>
      </c>
      <c r="AC12" s="260">
        <f t="shared" ca="1" si="35"/>
        <v>136898.33815523327</v>
      </c>
      <c r="AD12" s="260">
        <f t="shared" ca="1" si="36"/>
        <v>38813.739223462886</v>
      </c>
      <c r="AE12" s="260">
        <f ca="1">(V12-AB12)</f>
        <v>98084.598931770393</v>
      </c>
      <c r="AF12" s="259"/>
      <c r="AG12" s="261">
        <f t="shared" ca="1" si="2"/>
        <v>1.0124550660007763</v>
      </c>
      <c r="AH12" s="262">
        <f t="shared" si="3"/>
        <v>9.9999999999998979E-3</v>
      </c>
      <c r="AI12" s="263" t="str">
        <f t="shared" si="4"/>
        <v>WEST SPDC</v>
      </c>
      <c r="AJ12" s="264">
        <f t="shared" ca="1" si="62"/>
        <v>98084.598931770393</v>
      </c>
      <c r="AK12" s="264">
        <f t="shared" ca="1" si="5"/>
        <v>38813.739223462886</v>
      </c>
      <c r="AL12" s="265">
        <f t="shared" ca="1" si="6"/>
        <v>-2175.4013749691394</v>
      </c>
      <c r="AM12" s="265">
        <f t="shared" ca="1" si="37"/>
        <v>2789.1351950127882</v>
      </c>
      <c r="AN12" s="264">
        <f t="shared" si="7"/>
        <v>968.77977330100839</v>
      </c>
      <c r="AO12" s="264">
        <f>I12</f>
        <v>96877.977330102265</v>
      </c>
      <c r="AP12" s="264">
        <f t="shared" si="38"/>
        <v>95909.197556801257</v>
      </c>
      <c r="AQ12" s="264">
        <f t="shared" si="39"/>
        <v>41602.874418475672</v>
      </c>
      <c r="AR12" s="264">
        <f t="shared" si="9"/>
        <v>42023.105473207746</v>
      </c>
      <c r="AS12" s="264">
        <f t="shared" si="40"/>
        <v>95909.197556801257</v>
      </c>
      <c r="AT12" s="264">
        <f t="shared" si="10"/>
        <v>41602.874418475672</v>
      </c>
      <c r="AU12" s="264">
        <f t="shared" si="10"/>
        <v>0</v>
      </c>
      <c r="AV12" t="s">
        <v>51</v>
      </c>
      <c r="AW12" t="s">
        <v>244</v>
      </c>
      <c r="AX12" s="296">
        <f t="shared" si="41"/>
        <v>138901.08280331001</v>
      </c>
      <c r="AY12" s="297">
        <f t="shared" si="42"/>
        <v>96877.977330102265</v>
      </c>
      <c r="AZ12" s="298">
        <f t="shared" si="43"/>
        <v>42023.105473207746</v>
      </c>
      <c r="BA12" s="296">
        <f t="shared" si="44"/>
        <v>137512.07197527692</v>
      </c>
      <c r="BB12" s="297">
        <f t="shared" si="45"/>
        <v>95909.197556801257</v>
      </c>
      <c r="BC12" s="299">
        <f t="shared" si="46"/>
        <v>0.30253979756741201</v>
      </c>
      <c r="BD12" s="300">
        <f t="shared" si="47"/>
        <v>41602.874418475672</v>
      </c>
      <c r="BE12" s="301"/>
      <c r="BF12" s="302">
        <f t="shared" si="11"/>
        <v>41602.874418475672</v>
      </c>
      <c r="BG12" s="303">
        <f t="shared" si="48"/>
        <v>95909.197556801257</v>
      </c>
      <c r="BH12" s="304">
        <f t="shared" ca="1" si="49"/>
        <v>38813.739223462886</v>
      </c>
      <c r="BI12" s="305">
        <f t="shared" ca="1" si="50"/>
        <v>98084.598931770393</v>
      </c>
      <c r="BJ12" t="s">
        <v>268</v>
      </c>
      <c r="BK12" s="320">
        <f t="shared" si="51"/>
        <v>968.77977330100839</v>
      </c>
      <c r="BM12">
        <f>BM11*BN12</f>
        <v>1653.8863451146676</v>
      </c>
      <c r="BN12">
        <v>1.74</v>
      </c>
      <c r="BO12" s="321">
        <f t="shared" si="52"/>
        <v>0</v>
      </c>
      <c r="BT12" t="s">
        <v>246</v>
      </c>
      <c r="BZ12" s="301" t="s">
        <v>269</v>
      </c>
      <c r="CA12" s="307" t="s">
        <v>270</v>
      </c>
      <c r="CB12" s="311">
        <f t="shared" ca="1" si="12"/>
        <v>27036.25371171076</v>
      </c>
      <c r="CC12" s="311">
        <f t="shared" ca="1" si="13"/>
        <v>0</v>
      </c>
      <c r="CD12" s="311">
        <f t="shared" ca="1" si="14"/>
        <v>615275.83309308393</v>
      </c>
      <c r="CE12" s="311">
        <f t="shared" ca="1" si="15"/>
        <v>5888.2630318764404</v>
      </c>
      <c r="CF12" s="311">
        <f t="shared" ca="1" si="16"/>
        <v>0</v>
      </c>
      <c r="CG12" s="312">
        <f t="shared" ca="1" si="17"/>
        <v>642312.08680479473</v>
      </c>
      <c r="CH12" s="312">
        <f t="shared" ca="1" si="18"/>
        <v>5888.2630318764404</v>
      </c>
      <c r="CI12" s="312">
        <f t="shared" ca="1" si="19"/>
        <v>642312.08680479473</v>
      </c>
      <c r="CJ12" s="312">
        <f t="shared" ca="1" si="20"/>
        <v>5888.2630318764404</v>
      </c>
      <c r="CK12" s="312">
        <f t="shared" ca="1" si="21"/>
        <v>642312.08680479473</v>
      </c>
      <c r="CL12" s="312">
        <f t="shared" ca="1" si="22"/>
        <v>5888.2630318764404</v>
      </c>
      <c r="CM12" s="313">
        <f t="shared" ca="1" si="23"/>
        <v>0</v>
      </c>
      <c r="CN12" s="283">
        <f t="shared" ca="1" si="53"/>
        <v>0.95790791693457977</v>
      </c>
      <c r="CO12" s="284">
        <f t="shared" ca="1" si="54"/>
        <v>0.95790791693457977</v>
      </c>
      <c r="CP12" s="137"/>
      <c r="CU12" s="285" t="s">
        <v>270</v>
      </c>
      <c r="CV12" s="286">
        <f t="shared" ca="1" si="55"/>
        <v>642312.08680479473</v>
      </c>
      <c r="CW12" s="286">
        <f t="shared" ca="1" si="55"/>
        <v>5888.2630318764404</v>
      </c>
      <c r="CX12" s="286">
        <f t="shared" ca="1" si="56"/>
        <v>615275.83309308393</v>
      </c>
      <c r="CY12" s="286">
        <f t="shared" ca="1" si="56"/>
        <v>5888.2630318764404</v>
      </c>
      <c r="CZ12" s="286">
        <f t="shared" ca="1" si="56"/>
        <v>0</v>
      </c>
      <c r="DA12" s="287">
        <f t="shared" ca="1" si="57"/>
        <v>0</v>
      </c>
      <c r="DB12" s="288">
        <f t="shared" ca="1" si="58"/>
        <v>27036.25371171076</v>
      </c>
      <c r="DC12" s="289">
        <f t="shared" ca="1" si="58"/>
        <v>0</v>
      </c>
      <c r="DD12" s="290">
        <f t="shared" si="59"/>
        <v>12556.6496549608</v>
      </c>
      <c r="DE12" s="291">
        <f t="shared" si="59"/>
        <v>0</v>
      </c>
      <c r="DF12" s="292">
        <f t="shared" ca="1" si="60"/>
        <v>627832.48274804477</v>
      </c>
      <c r="DG12" s="293">
        <f t="shared" ca="1" si="60"/>
        <v>5888.2630318764404</v>
      </c>
      <c r="DH12" s="294">
        <v>0</v>
      </c>
      <c r="DI12" s="295">
        <v>0</v>
      </c>
      <c r="DJ12" s="294">
        <v>0</v>
      </c>
      <c r="DK12" s="295"/>
      <c r="DL12" s="294">
        <v>12556.6496549608</v>
      </c>
      <c r="DM12" s="295"/>
    </row>
    <row r="13" spans="2:117" ht="23.15" customHeight="1">
      <c r="B13" s="253" t="str">
        <f>[2]Adj_NPDC_HCA_Input!N13</f>
        <v>Online BS&amp;W Meter</v>
      </c>
      <c r="C13" s="24" t="s">
        <v>242</v>
      </c>
      <c r="D13" s="24" t="s">
        <v>243</v>
      </c>
      <c r="E13" s="24" t="s">
        <v>53</v>
      </c>
      <c r="F13" s="254">
        <f>VLOOKUP($E13,[2]Adj_NPDC_HCA_Input!$B$5:$E$42,2,FALSE)</f>
        <v>1405648.5611352001</v>
      </c>
      <c r="G13" s="255">
        <f>VLOOKUP($E13,[2]Adj_NPDC_HCA_Input!$B$5:$E$42,3,FALSE)</f>
        <v>0.64947422513765196</v>
      </c>
      <c r="H13" s="256">
        <f t="shared" si="24"/>
        <v>912932.51005913946</v>
      </c>
      <c r="I13" s="256">
        <f t="shared" si="25"/>
        <v>492716.05107606063</v>
      </c>
      <c r="J13" s="257" t="str">
        <f>[2]Adj_NPDC_HCA_Input!G13</f>
        <v>Non-LACT</v>
      </c>
      <c r="K13" s="257">
        <f>IF(J13="LACT",[2]Adj_NPDC_HCA_Input!$T$4,[2]Adj_NPDC_HCA_Input!$Y$4)</f>
        <v>0.99</v>
      </c>
      <c r="L13" s="257">
        <f>IF(J13="Non-LACT",VLOOKUP([2]Adj_NPDC_HCA_Input!J13,[2]Adj_NPDC_HCA_Input!$X$4:$Y$7,2,FALSE),VLOOKUP([2]Adj_NPDC_HCA_Input!J13,[2]Adj_NPDC_HCA_Input!$S$4:$T$7,2,FALSE))</f>
        <v>1</v>
      </c>
      <c r="M13" s="258">
        <f>IF([2]Adj_NPDC_HCA_Input!M13="No",[2]Adj_NPDC_HCA_Input!$S$32,1)</f>
        <v>1</v>
      </c>
      <c r="N13" s="259">
        <f>IF([2]Adj_NPDC_HCA_Input!K13="Yes",1,0.99)</f>
        <v>1</v>
      </c>
      <c r="O13" s="259" t="str">
        <f>[2]Adj_NPDC_HCA_Input!L13</f>
        <v>No</v>
      </c>
      <c r="P13" s="260">
        <f t="shared" si="26"/>
        <v>1391592.0755238482</v>
      </c>
      <c r="Q13" s="260">
        <f t="shared" si="61"/>
        <v>903803.18495854817</v>
      </c>
      <c r="R13" s="260">
        <f t="shared" si="0"/>
        <v>0</v>
      </c>
      <c r="S13" s="260">
        <f t="shared" si="27"/>
        <v>903803.18495854817</v>
      </c>
      <c r="T13" s="260">
        <f t="shared" si="28"/>
        <v>0</v>
      </c>
      <c r="U13" s="260">
        <f t="shared" si="29"/>
        <v>903803.18495854817</v>
      </c>
      <c r="V13" s="260">
        <f t="shared" si="30"/>
        <v>487788.89056530001</v>
      </c>
      <c r="W13" s="260">
        <f t="shared" si="31"/>
        <v>14056.485611351905</v>
      </c>
      <c r="X13" s="260">
        <f t="shared" si="32"/>
        <v>9129.3251005912898</v>
      </c>
      <c r="Y13" s="260">
        <f t="shared" si="32"/>
        <v>4927.1605107606156</v>
      </c>
      <c r="Z13" s="260">
        <f t="shared" ca="1" si="33"/>
        <v>49528.699318834544</v>
      </c>
      <c r="AA13" s="260">
        <f t="shared" ca="1" si="34"/>
        <v>60592.670765389448</v>
      </c>
      <c r="AB13" s="260">
        <f t="shared" ca="1" si="1"/>
        <v>-11063.971446554904</v>
      </c>
      <c r="AC13" s="260">
        <f t="shared" ca="1" si="35"/>
        <v>1342063.3762050136</v>
      </c>
      <c r="AD13" s="260">
        <f t="shared" ca="1" si="36"/>
        <v>843210.51419315871</v>
      </c>
      <c r="AE13" s="260">
        <f t="shared" ca="1" si="36"/>
        <v>498852.86201185489</v>
      </c>
      <c r="AF13" s="259"/>
      <c r="AG13" s="261">
        <f ca="1">IF(ISERROR(AE13/I13),0,(AE13/I13))</f>
        <v>1.0124550660007765</v>
      </c>
      <c r="AH13" s="262">
        <f t="shared" si="3"/>
        <v>1.0000000000000009E-2</v>
      </c>
      <c r="AI13" s="263" t="str">
        <f t="shared" si="4"/>
        <v>WEST SPDC</v>
      </c>
      <c r="AJ13" s="264">
        <f t="shared" ca="1" si="62"/>
        <v>498852.86201185489</v>
      </c>
      <c r="AK13" s="264">
        <f t="shared" ca="1" si="5"/>
        <v>843210.51419315871</v>
      </c>
      <c r="AL13" s="265">
        <f t="shared" ca="1" si="6"/>
        <v>-11063.971446554904</v>
      </c>
      <c r="AM13" s="265">
        <f t="shared" ca="1" si="37"/>
        <v>60592.670765389448</v>
      </c>
      <c r="AN13" s="264">
        <f t="shared" si="7"/>
        <v>4927.1605107606156</v>
      </c>
      <c r="AO13" s="264">
        <f>I13</f>
        <v>492716.05107606063</v>
      </c>
      <c r="AP13" s="264">
        <f t="shared" si="38"/>
        <v>487788.89056530001</v>
      </c>
      <c r="AQ13" s="264">
        <f t="shared" si="39"/>
        <v>903803.18495854817</v>
      </c>
      <c r="AR13" s="264">
        <f t="shared" si="9"/>
        <v>912932.51005913946</v>
      </c>
      <c r="AS13" s="264">
        <f t="shared" si="40"/>
        <v>487788.89056530001</v>
      </c>
      <c r="AT13" s="264">
        <f t="shared" si="10"/>
        <v>903803.18495854817</v>
      </c>
      <c r="AU13" s="264">
        <f t="shared" si="10"/>
        <v>0</v>
      </c>
      <c r="AV13" t="s">
        <v>53</v>
      </c>
      <c r="AW13" t="s">
        <v>244</v>
      </c>
      <c r="AX13" s="296">
        <f t="shared" si="41"/>
        <v>1405648.5611352001</v>
      </c>
      <c r="AY13" s="297">
        <f t="shared" si="42"/>
        <v>492716.05107606063</v>
      </c>
      <c r="AZ13" s="298">
        <f t="shared" si="43"/>
        <v>912932.51005913946</v>
      </c>
      <c r="BA13" s="296">
        <f t="shared" si="44"/>
        <v>1391592.0755238482</v>
      </c>
      <c r="BB13" s="297">
        <f t="shared" si="45"/>
        <v>487788.89056530001</v>
      </c>
      <c r="BC13" s="299">
        <f t="shared" si="46"/>
        <v>0.64947422513765196</v>
      </c>
      <c r="BD13" s="300">
        <f t="shared" si="47"/>
        <v>903803.18495854817</v>
      </c>
      <c r="BE13" s="301"/>
      <c r="BF13" s="302">
        <f t="shared" si="11"/>
        <v>903803.18495854817</v>
      </c>
      <c r="BG13" s="303">
        <f t="shared" si="48"/>
        <v>487788.89056530001</v>
      </c>
      <c r="BH13" s="304">
        <f t="shared" ca="1" si="49"/>
        <v>843210.51419315871</v>
      </c>
      <c r="BI13" s="305">
        <f t="shared" ca="1" si="50"/>
        <v>498852.86201185489</v>
      </c>
      <c r="BJ13" t="s">
        <v>271</v>
      </c>
      <c r="BK13" s="320">
        <f t="shared" si="51"/>
        <v>4927.1605107606156</v>
      </c>
      <c r="BO13" s="321">
        <f t="shared" si="52"/>
        <v>0</v>
      </c>
      <c r="BT13" t="s">
        <v>249</v>
      </c>
      <c r="BZ13" s="301" t="s">
        <v>272</v>
      </c>
      <c r="CA13" s="307" t="s">
        <v>273</v>
      </c>
      <c r="CB13" s="311">
        <f t="shared" ca="1" si="12"/>
        <v>-4083.2379319792649</v>
      </c>
      <c r="CC13" s="311">
        <f t="shared" ca="1" si="13"/>
        <v>68.259273575584075</v>
      </c>
      <c r="CD13" s="311">
        <f t="shared" ca="1" si="14"/>
        <v>63285.098740058012</v>
      </c>
      <c r="CE13" s="311">
        <f t="shared" ca="1" si="15"/>
        <v>949.89932681753123</v>
      </c>
      <c r="CF13" s="311">
        <f t="shared" ca="1" si="16"/>
        <v>1818.4038879414002</v>
      </c>
      <c r="CG13" s="312">
        <f t="shared" ca="1" si="17"/>
        <v>61020.264696020145</v>
      </c>
      <c r="CH13" s="312">
        <f t="shared" ca="1" si="18"/>
        <v>1049.4316639797107</v>
      </c>
      <c r="CI13" s="312">
        <f t="shared" ca="1" si="19"/>
        <v>59201.860808078745</v>
      </c>
      <c r="CJ13" s="312">
        <f t="shared" ca="1" si="20"/>
        <v>1018.1586003931153</v>
      </c>
      <c r="CK13" s="312">
        <f ca="1">SUMIF($AI$5:$AU$43,BZ13,$AS$5:$AS$43)</f>
        <v>59201.860808078745</v>
      </c>
      <c r="CL13" s="312">
        <f t="shared" ca="1" si="22"/>
        <v>1018.1586003931153</v>
      </c>
      <c r="CM13" s="313">
        <f t="shared" ca="1" si="23"/>
        <v>0</v>
      </c>
      <c r="CN13" s="283">
        <f t="shared" ca="1" si="53"/>
        <v>1.0371160966823139</v>
      </c>
      <c r="CO13" s="284">
        <f t="shared" ca="1" si="54"/>
        <v>1.0371160966823139</v>
      </c>
      <c r="CP13" s="137"/>
      <c r="CU13" s="285" t="s">
        <v>273</v>
      </c>
      <c r="CV13" s="286">
        <f t="shared" ca="1" si="55"/>
        <v>61020.264696020145</v>
      </c>
      <c r="CW13" s="286">
        <f t="shared" ca="1" si="55"/>
        <v>1049.4316639797107</v>
      </c>
      <c r="CX13" s="286">
        <f t="shared" ca="1" si="56"/>
        <v>63285.098740058012</v>
      </c>
      <c r="CY13" s="286">
        <f t="shared" ca="1" si="56"/>
        <v>949.89932681753123</v>
      </c>
      <c r="CZ13" s="286">
        <f t="shared" ca="1" si="56"/>
        <v>1818.4038879414002</v>
      </c>
      <c r="DA13" s="287">
        <f t="shared" ca="1" si="57"/>
        <v>0</v>
      </c>
      <c r="DB13" s="288">
        <f t="shared" ca="1" si="58"/>
        <v>-4083.2379319792649</v>
      </c>
      <c r="DC13" s="289">
        <f t="shared" ca="1" si="58"/>
        <v>68.259273575584075</v>
      </c>
      <c r="DD13" s="290">
        <f t="shared" si="59"/>
        <v>-16140.71</v>
      </c>
      <c r="DE13" s="291">
        <f t="shared" si="59"/>
        <v>0</v>
      </c>
      <c r="DF13" s="292">
        <f t="shared" ca="1" si="60"/>
        <v>47144.388740058013</v>
      </c>
      <c r="DG13" s="293">
        <f t="shared" ca="1" si="60"/>
        <v>949.89932681753123</v>
      </c>
      <c r="DH13" s="294">
        <v>0</v>
      </c>
      <c r="DI13" s="295">
        <v>0</v>
      </c>
      <c r="DJ13" s="294">
        <v>-16140.71</v>
      </c>
      <c r="DK13" s="295">
        <v>0</v>
      </c>
      <c r="DL13" s="294">
        <v>0</v>
      </c>
      <c r="DM13" s="295">
        <v>0</v>
      </c>
    </row>
    <row r="14" spans="2:117" ht="23.15" customHeight="1">
      <c r="B14" s="253" t="str">
        <f>[2]Adj_NPDC_HCA_Input!N14</f>
        <v>Online BS&amp;W Meter</v>
      </c>
      <c r="C14" s="24" t="s">
        <v>242</v>
      </c>
      <c r="D14" s="24" t="s">
        <v>243</v>
      </c>
      <c r="E14" s="24" t="s">
        <v>55</v>
      </c>
      <c r="F14" s="254">
        <f>VLOOKUP($E14,[2]Adj_NPDC_HCA_Input!$B$5:$E$42,2,FALSE)</f>
        <v>58404.651603904997</v>
      </c>
      <c r="G14" s="255">
        <f>VLOOKUP($E14,[2]Adj_NPDC_HCA_Input!$B$5:$E$42,3,FALSE)</f>
        <v>0</v>
      </c>
      <c r="H14" s="256">
        <f t="shared" si="24"/>
        <v>0</v>
      </c>
      <c r="I14" s="256">
        <f t="shared" si="25"/>
        <v>58404.651603904997</v>
      </c>
      <c r="J14" s="257" t="str">
        <f>[2]Adj_NPDC_HCA_Input!G14</f>
        <v>Non-LACT</v>
      </c>
      <c r="K14" s="257">
        <f>IF(J14="LACT",[2]Adj_NPDC_HCA_Input!$T$4,[2]Adj_NPDC_HCA_Input!$Y$4)</f>
        <v>0.99</v>
      </c>
      <c r="L14" s="257">
        <f>IF(J14="Non-LACT",VLOOKUP([2]Adj_NPDC_HCA_Input!J14,[2]Adj_NPDC_HCA_Input!$X$4:$Y$7,2,FALSE),VLOOKUP([2]Adj_NPDC_HCA_Input!J14,[2]Adj_NPDC_HCA_Input!$S$4:$T$7,2,FALSE))</f>
        <v>1</v>
      </c>
      <c r="M14" s="258">
        <f>IF([2]Adj_NPDC_HCA_Input!M14="No",[2]Adj_NPDC_HCA_Input!$S$32,1)</f>
        <v>0.98260000000000003</v>
      </c>
      <c r="N14" s="259">
        <f>IF([2]Adj_NPDC_HCA_Input!K14="Yes",1,0.99)</f>
        <v>1</v>
      </c>
      <c r="O14" s="259" t="str">
        <f>[2]Adj_NPDC_HCA_Input!L14</f>
        <v>No</v>
      </c>
      <c r="P14" s="260">
        <f t="shared" si="26"/>
        <v>56814.526559337079</v>
      </c>
      <c r="Q14" s="260">
        <f t="shared" si="61"/>
        <v>0</v>
      </c>
      <c r="R14" s="260">
        <f t="shared" si="0"/>
        <v>0</v>
      </c>
      <c r="S14" s="260">
        <f t="shared" si="27"/>
        <v>0</v>
      </c>
      <c r="T14" s="260">
        <f t="shared" si="28"/>
        <v>0</v>
      </c>
      <c r="U14" s="260">
        <f t="shared" si="29"/>
        <v>0</v>
      </c>
      <c r="V14" s="260">
        <f t="shared" si="30"/>
        <v>56814.526559337079</v>
      </c>
      <c r="W14" s="260">
        <f t="shared" si="31"/>
        <v>1590.1250445679179</v>
      </c>
      <c r="X14" s="260">
        <f t="shared" si="32"/>
        <v>0</v>
      </c>
      <c r="Y14" s="260">
        <f t="shared" si="32"/>
        <v>1590.1250445679179</v>
      </c>
      <c r="Z14" s="260">
        <f t="shared" ca="1" si="33"/>
        <v>-3570.6362825260194</v>
      </c>
      <c r="AA14" s="260">
        <f t="shared" ca="1" si="34"/>
        <v>0</v>
      </c>
      <c r="AB14" s="260">
        <f t="shared" ca="1" si="1"/>
        <v>-3570.6362825260194</v>
      </c>
      <c r="AC14" s="260">
        <f t="shared" ca="1" si="35"/>
        <v>60385.162841863101</v>
      </c>
      <c r="AD14" s="260">
        <f t="shared" ca="1" si="36"/>
        <v>0</v>
      </c>
      <c r="AE14" s="260">
        <f t="shared" ca="1" si="36"/>
        <v>60385.162841863101</v>
      </c>
      <c r="AF14" s="259"/>
      <c r="AG14" s="261">
        <f t="shared" ca="1" si="2"/>
        <v>1.0339101626937139</v>
      </c>
      <c r="AH14" s="262">
        <f t="shared" si="3"/>
        <v>2.7225999999999972E-2</v>
      </c>
      <c r="AI14" s="263" t="str">
        <f t="shared" si="4"/>
        <v>WEST SPDC</v>
      </c>
      <c r="AJ14" s="264">
        <f t="shared" ca="1" si="62"/>
        <v>60385.162841863101</v>
      </c>
      <c r="AK14" s="264">
        <f t="shared" ca="1" si="5"/>
        <v>0</v>
      </c>
      <c r="AL14" s="265">
        <f t="shared" ca="1" si="6"/>
        <v>-3570.6362825260194</v>
      </c>
      <c r="AM14" s="265">
        <f t="shared" ca="1" si="37"/>
        <v>0</v>
      </c>
      <c r="AN14" s="264">
        <f t="shared" si="7"/>
        <v>1590.1250445679179</v>
      </c>
      <c r="AO14" s="264">
        <f t="shared" si="8"/>
        <v>58404.651603904997</v>
      </c>
      <c r="AP14" s="264">
        <f t="shared" si="38"/>
        <v>56814.526559337079</v>
      </c>
      <c r="AQ14" s="264">
        <f t="shared" si="39"/>
        <v>0</v>
      </c>
      <c r="AR14" s="264">
        <f t="shared" si="9"/>
        <v>0</v>
      </c>
      <c r="AS14" s="264">
        <f t="shared" si="40"/>
        <v>56814.526559337079</v>
      </c>
      <c r="AT14" s="264">
        <f t="shared" si="10"/>
        <v>0</v>
      </c>
      <c r="AU14" s="264">
        <f t="shared" si="10"/>
        <v>0</v>
      </c>
      <c r="AV14" t="s">
        <v>55</v>
      </c>
      <c r="AW14" t="s">
        <v>244</v>
      </c>
      <c r="AX14" s="296">
        <f t="shared" si="41"/>
        <v>58404.651603904997</v>
      </c>
      <c r="AY14" s="297">
        <f t="shared" si="42"/>
        <v>58404.651603904997</v>
      </c>
      <c r="AZ14" s="298">
        <f t="shared" si="43"/>
        <v>0</v>
      </c>
      <c r="BA14" s="296">
        <f t="shared" si="44"/>
        <v>56814.526559337079</v>
      </c>
      <c r="BB14" s="297">
        <f t="shared" si="45"/>
        <v>56814.526559337079</v>
      </c>
      <c r="BC14" s="299">
        <f t="shared" si="46"/>
        <v>0</v>
      </c>
      <c r="BD14" s="300">
        <f t="shared" si="47"/>
        <v>0</v>
      </c>
      <c r="BE14" s="301"/>
      <c r="BF14" s="302">
        <f t="shared" si="11"/>
        <v>0</v>
      </c>
      <c r="BG14" s="303">
        <f t="shared" si="48"/>
        <v>56814.526559337079</v>
      </c>
      <c r="BH14" s="304">
        <f t="shared" ca="1" si="49"/>
        <v>0</v>
      </c>
      <c r="BI14" s="305">
        <f t="shared" ca="1" si="50"/>
        <v>60385.162841863101</v>
      </c>
      <c r="BJ14" t="s">
        <v>274</v>
      </c>
      <c r="BK14" s="320">
        <f t="shared" si="51"/>
        <v>1590.1250445679179</v>
      </c>
      <c r="BO14" s="321">
        <f t="shared" si="52"/>
        <v>0</v>
      </c>
      <c r="BT14" t="s">
        <v>249</v>
      </c>
      <c r="BZ14" s="301" t="s">
        <v>275</v>
      </c>
      <c r="CA14" s="307" t="s">
        <v>276</v>
      </c>
      <c r="CB14" s="311">
        <f t="shared" ca="1" si="12"/>
        <v>0</v>
      </c>
      <c r="CC14" s="311">
        <f t="shared" ca="1" si="13"/>
        <v>0</v>
      </c>
      <c r="CD14" s="311">
        <f t="shared" ca="1" si="14"/>
        <v>0</v>
      </c>
      <c r="CE14" s="311">
        <f t="shared" ca="1" si="15"/>
        <v>0</v>
      </c>
      <c r="CF14" s="311">
        <f t="shared" ca="1" si="16"/>
        <v>0</v>
      </c>
      <c r="CG14" s="312">
        <f t="shared" ca="1" si="17"/>
        <v>0</v>
      </c>
      <c r="CH14" s="312">
        <f t="shared" ca="1" si="18"/>
        <v>0</v>
      </c>
      <c r="CI14" s="312">
        <f t="shared" ca="1" si="19"/>
        <v>0</v>
      </c>
      <c r="CJ14" s="312">
        <f t="shared" ca="1" si="20"/>
        <v>0</v>
      </c>
      <c r="CK14" s="312">
        <f ca="1">SUMIF($AI$5:$AU$43,BZ14,$AS$5:$AS$43)</f>
        <v>0</v>
      </c>
      <c r="CL14" s="312">
        <f t="shared" ca="1" si="22"/>
        <v>0</v>
      </c>
      <c r="CM14" s="313">
        <f t="shared" ca="1" si="23"/>
        <v>0</v>
      </c>
      <c r="CN14" s="283"/>
      <c r="CO14" s="284" t="e">
        <f t="shared" ca="1" si="54"/>
        <v>#DIV/0!</v>
      </c>
      <c r="CP14" s="137"/>
      <c r="CU14" s="285"/>
      <c r="CV14" s="286"/>
      <c r="CW14" s="286"/>
      <c r="CX14" s="286"/>
      <c r="CY14" s="286"/>
      <c r="CZ14" s="286"/>
      <c r="DA14" s="287"/>
      <c r="DB14" s="288"/>
      <c r="DC14" s="289"/>
      <c r="DD14" s="290"/>
      <c r="DE14" s="291"/>
      <c r="DF14" s="292"/>
      <c r="DG14" s="293"/>
      <c r="DH14" s="294"/>
      <c r="DI14" s="295"/>
      <c r="DJ14" s="294"/>
      <c r="DK14" s="295"/>
      <c r="DL14" s="294"/>
      <c r="DM14" s="295"/>
    </row>
    <row r="15" spans="2:117" ht="23.15" customHeight="1" thickBot="1">
      <c r="B15" s="253" t="str">
        <f>[2]Adj_NPDC_HCA_Input!N15</f>
        <v>Online BS&amp;W Meter</v>
      </c>
      <c r="C15" s="24" t="s">
        <v>242</v>
      </c>
      <c r="D15" s="24" t="s">
        <v>243</v>
      </c>
      <c r="E15" s="24" t="s">
        <v>56</v>
      </c>
      <c r="F15" s="254">
        <f>VLOOKUP($E15,[2]Adj_NPDC_HCA_Input!$B$5:$E$42,2,FALSE)</f>
        <v>344274.248514187</v>
      </c>
      <c r="G15" s="255">
        <f>VLOOKUP($E15,[2]Adj_NPDC_HCA_Input!$B$5:$E$42,3,FALSE)</f>
        <v>0.38780363856362698</v>
      </c>
      <c r="H15" s="256">
        <f t="shared" si="24"/>
        <v>133510.80623756006</v>
      </c>
      <c r="I15" s="256">
        <f t="shared" si="25"/>
        <v>210763.44227662694</v>
      </c>
      <c r="J15" s="257" t="str">
        <f>[2]Adj_NPDC_HCA_Input!G15</f>
        <v>Non-LACT</v>
      </c>
      <c r="K15" s="257">
        <f>IF(J15="LACT",[2]Adj_NPDC_HCA_Input!$T$4,[2]Adj_NPDC_HCA_Input!$Y$4)</f>
        <v>0.99</v>
      </c>
      <c r="L15" s="257">
        <f>IF(J15="Non-LACT",VLOOKUP([2]Adj_NPDC_HCA_Input!J15,[2]Adj_NPDC_HCA_Input!$X$4:$Y$7,2,FALSE),VLOOKUP([2]Adj_NPDC_HCA_Input!J15,[2]Adj_NPDC_HCA_Input!$S$4:$T$7,2,FALSE))</f>
        <v>1</v>
      </c>
      <c r="M15" s="258">
        <f>IF([2]Adj_NPDC_HCA_Input!M15="No",[2]Adj_NPDC_HCA_Input!$S$32,1)</f>
        <v>1</v>
      </c>
      <c r="N15" s="259">
        <f>IF([2]Adj_NPDC_HCA_Input!K15="Yes",1,0.99)</f>
        <v>1</v>
      </c>
      <c r="O15" s="259" t="str">
        <f>[2]Adj_NPDC_HCA_Input!L15</f>
        <v>No</v>
      </c>
      <c r="P15" s="260">
        <f t="shared" si="26"/>
        <v>340831.50602904515</v>
      </c>
      <c r="Q15" s="260">
        <f t="shared" si="61"/>
        <v>132175.69817518449</v>
      </c>
      <c r="R15" s="260">
        <f t="shared" si="0"/>
        <v>0</v>
      </c>
      <c r="S15" s="260">
        <f t="shared" si="27"/>
        <v>132175.69817518449</v>
      </c>
      <c r="T15" s="260">
        <f t="shared" si="28"/>
        <v>0</v>
      </c>
      <c r="U15" s="260">
        <f t="shared" si="29"/>
        <v>132175.69817518449</v>
      </c>
      <c r="V15" s="260">
        <f t="shared" si="30"/>
        <v>208655.80785386066</v>
      </c>
      <c r="W15" s="260">
        <f t="shared" si="31"/>
        <v>3442.7424851418473</v>
      </c>
      <c r="X15" s="260">
        <f t="shared" si="32"/>
        <v>1335.1080623755697</v>
      </c>
      <c r="Y15" s="260">
        <f t="shared" si="32"/>
        <v>2107.6344227662776</v>
      </c>
      <c r="Z15" s="260">
        <f t="shared" ca="1" si="33"/>
        <v>4128.6011805751305</v>
      </c>
      <c r="AA15" s="260">
        <f t="shared" ca="1" si="34"/>
        <v>8861.3081874476447</v>
      </c>
      <c r="AB15" s="260">
        <f t="shared" ca="1" si="1"/>
        <v>-4732.7070068725143</v>
      </c>
      <c r="AC15" s="260">
        <f t="shared" ca="1" si="35"/>
        <v>336702.90484847</v>
      </c>
      <c r="AD15" s="260">
        <f t="shared" ca="1" si="36"/>
        <v>123314.38998773684</v>
      </c>
      <c r="AE15" s="260">
        <f ca="1">(V15-AB15)</f>
        <v>213388.51486073318</v>
      </c>
      <c r="AF15" s="259"/>
      <c r="AG15" s="261">
        <f t="shared" ca="1" si="2"/>
        <v>1.0124550660007765</v>
      </c>
      <c r="AH15" s="262">
        <f t="shared" si="3"/>
        <v>1.0000000000000009E-2</v>
      </c>
      <c r="AI15" s="263" t="str">
        <f t="shared" si="4"/>
        <v>WEST SPDC</v>
      </c>
      <c r="AJ15" s="264">
        <f t="shared" ca="1" si="62"/>
        <v>213388.51486073318</v>
      </c>
      <c r="AK15" s="264">
        <f t="shared" ca="1" si="5"/>
        <v>123314.38998773684</v>
      </c>
      <c r="AL15" s="265">
        <f t="shared" ca="1" si="6"/>
        <v>-4732.7070068725143</v>
      </c>
      <c r="AM15" s="265">
        <f t="shared" ca="1" si="37"/>
        <v>8861.3081874476447</v>
      </c>
      <c r="AN15" s="264">
        <f t="shared" si="7"/>
        <v>2107.6344227662776</v>
      </c>
      <c r="AO15" s="264">
        <f t="shared" si="8"/>
        <v>210763.44227662694</v>
      </c>
      <c r="AP15" s="264">
        <f t="shared" si="38"/>
        <v>208655.80785386066</v>
      </c>
      <c r="AQ15" s="264">
        <f t="shared" si="39"/>
        <v>132175.69817518449</v>
      </c>
      <c r="AR15" s="264">
        <f t="shared" si="9"/>
        <v>133510.80623756006</v>
      </c>
      <c r="AS15" s="264">
        <f t="shared" si="40"/>
        <v>208655.80785386066</v>
      </c>
      <c r="AT15" s="264">
        <f t="shared" si="10"/>
        <v>132175.69817518449</v>
      </c>
      <c r="AU15" s="264">
        <f t="shared" si="10"/>
        <v>0</v>
      </c>
      <c r="AV15" t="s">
        <v>56</v>
      </c>
      <c r="AW15" t="s">
        <v>244</v>
      </c>
      <c r="AX15" s="296">
        <f>F15</f>
        <v>344274.248514187</v>
      </c>
      <c r="AY15" s="297">
        <f>I15</f>
        <v>210763.44227662694</v>
      </c>
      <c r="AZ15" s="298">
        <f>H15</f>
        <v>133510.80623756006</v>
      </c>
      <c r="BA15" s="296">
        <f>P15</f>
        <v>340831.50602904515</v>
      </c>
      <c r="BB15" s="297">
        <f>BA15*(1-BC15)</f>
        <v>208655.80785386066</v>
      </c>
      <c r="BC15" s="299">
        <f>G15</f>
        <v>0.38780363856362698</v>
      </c>
      <c r="BD15" s="300">
        <f>BA15*BC15</f>
        <v>132175.69817518449</v>
      </c>
      <c r="BE15" s="301"/>
      <c r="BF15" s="302">
        <f>S15</f>
        <v>132175.69817518449</v>
      </c>
      <c r="BG15" s="303">
        <f>V15</f>
        <v>208655.80785386066</v>
      </c>
      <c r="BH15" s="304">
        <f ca="1">AK15</f>
        <v>123314.38998773684</v>
      </c>
      <c r="BI15" s="305">
        <f ca="1">AJ15</f>
        <v>213388.51486073318</v>
      </c>
      <c r="BJ15" t="s">
        <v>56</v>
      </c>
      <c r="BK15" s="320">
        <f t="shared" si="51"/>
        <v>2107.6344227662776</v>
      </c>
      <c r="BO15" s="321">
        <f t="shared" si="52"/>
        <v>0</v>
      </c>
      <c r="BT15" t="s">
        <v>246</v>
      </c>
      <c r="BZ15" s="329"/>
      <c r="CA15" s="330"/>
      <c r="CB15" s="331"/>
      <c r="CC15" s="331"/>
      <c r="CD15" s="331"/>
      <c r="CE15" s="331"/>
      <c r="CF15" s="331"/>
      <c r="CG15" s="332"/>
      <c r="CH15" s="332"/>
      <c r="CI15" s="332"/>
      <c r="CJ15" s="332"/>
      <c r="CK15" s="332"/>
      <c r="CL15" s="332"/>
      <c r="CM15" s="333"/>
      <c r="CN15" s="334"/>
      <c r="CP15" s="137"/>
      <c r="CU15" s="335"/>
      <c r="CV15" s="336">
        <f t="shared" ref="CV15:DA15" ca="1" si="63">SUM(CV5:CV14)</f>
        <v>7389774.4809772037</v>
      </c>
      <c r="CW15" s="336">
        <f t="shared" ca="1" si="63"/>
        <v>7048547.4038007203</v>
      </c>
      <c r="CX15" s="336">
        <f t="shared" ca="1" si="63"/>
        <v>7278595</v>
      </c>
      <c r="CY15" s="336">
        <f t="shared" ca="1" si="63"/>
        <v>6872620.0000000009</v>
      </c>
      <c r="CZ15" s="336">
        <f t="shared" ca="1" si="63"/>
        <v>79890.409274374266</v>
      </c>
      <c r="DA15" s="337">
        <f t="shared" ca="1" si="63"/>
        <v>0</v>
      </c>
      <c r="DB15" s="338">
        <f t="shared" ref="DB15:DL15" ca="1" si="64">SUM(DB5:DB14)</f>
        <v>31289.07170282862</v>
      </c>
      <c r="DC15" s="337">
        <f t="shared" ca="1" si="64"/>
        <v>73435.439569483511</v>
      </c>
      <c r="DD15" s="339">
        <f t="shared" si="64"/>
        <v>-2.2373569663614035E-10</v>
      </c>
      <c r="DE15" s="340">
        <f t="shared" si="64"/>
        <v>-3.3469405025243759E-10</v>
      </c>
      <c r="DF15" s="341">
        <f t="shared" ca="1" si="64"/>
        <v>7278594.9999999991</v>
      </c>
      <c r="DG15" s="342">
        <f t="shared" ca="1" si="64"/>
        <v>6872620</v>
      </c>
      <c r="DH15" s="343">
        <f t="shared" si="64"/>
        <v>0</v>
      </c>
      <c r="DI15" s="344">
        <f t="shared" si="64"/>
        <v>4.3655745685100555E-11</v>
      </c>
      <c r="DJ15" s="343">
        <f t="shared" si="64"/>
        <v>0</v>
      </c>
      <c r="DK15" s="344">
        <f t="shared" si="64"/>
        <v>0</v>
      </c>
      <c r="DL15" s="343">
        <f t="shared" si="64"/>
        <v>-2.1645973902195692E-10</v>
      </c>
      <c r="DM15" s="344">
        <f>SUM(DM5:DM14)</f>
        <v>-3.637978807091713E-10</v>
      </c>
    </row>
    <row r="16" spans="2:117" ht="23.15" customHeight="1">
      <c r="B16" s="253" t="str">
        <f>[2]Adj_NPDC_HCA_Input!N16</f>
        <v>Online BS&amp;W Meter</v>
      </c>
      <c r="C16" s="24" t="s">
        <v>242</v>
      </c>
      <c r="D16" s="24" t="s">
        <v>243</v>
      </c>
      <c r="E16" s="24" t="s">
        <v>57</v>
      </c>
      <c r="F16" s="254">
        <f>VLOOKUP($E16,[2]Adj_NPDC_HCA_Input!$B$5:$E$42,2,FALSE)</f>
        <v>686795.36996798799</v>
      </c>
      <c r="G16" s="255">
        <f>VLOOKUP($E16,[2]Adj_NPDC_HCA_Input!$B$5:$E$42,3,FALSE)</f>
        <v>0.34910841663526698</v>
      </c>
      <c r="H16" s="256">
        <f t="shared" si="24"/>
        <v>239766.04416195667</v>
      </c>
      <c r="I16" s="256">
        <f t="shared" si="25"/>
        <v>447029.32580603135</v>
      </c>
      <c r="J16" s="257" t="str">
        <f>[2]Adj_NPDC_HCA_Input!G16</f>
        <v>Non-LACT</v>
      </c>
      <c r="K16" s="257">
        <f>IF(J16="LACT",[2]Adj_NPDC_HCA_Input!$T$4,[2]Adj_NPDC_HCA_Input!$Y$4)</f>
        <v>0.99</v>
      </c>
      <c r="L16" s="257">
        <f>IF(J16="Non-LACT",VLOOKUP([2]Adj_NPDC_HCA_Input!J16,[2]Adj_NPDC_HCA_Input!$X$4:$Y$7,2,FALSE),VLOOKUP([2]Adj_NPDC_HCA_Input!J16,[2]Adj_NPDC_HCA_Input!$S$4:$T$7,2,FALSE))</f>
        <v>1</v>
      </c>
      <c r="M16" s="258">
        <f>IF([2]Adj_NPDC_HCA_Input!M16="No",[2]Adj_NPDC_HCA_Input!$S$32,1)</f>
        <v>1</v>
      </c>
      <c r="N16" s="259">
        <f>IF([2]Adj_NPDC_HCA_Input!K16="Yes",1,0.99)</f>
        <v>1</v>
      </c>
      <c r="O16" s="259" t="str">
        <f>[2]Adj_NPDC_HCA_Input!L16</f>
        <v>No</v>
      </c>
      <c r="P16" s="260">
        <f t="shared" si="26"/>
        <v>679927.41626830806</v>
      </c>
      <c r="Q16" s="260">
        <f t="shared" si="61"/>
        <v>237368.38372033709</v>
      </c>
      <c r="R16" s="260">
        <f t="shared" si="0"/>
        <v>0</v>
      </c>
      <c r="S16" s="260">
        <f t="shared" si="27"/>
        <v>237368.38372033709</v>
      </c>
      <c r="T16" s="260">
        <f t="shared" si="28"/>
        <v>0</v>
      </c>
      <c r="U16" s="260">
        <f t="shared" si="29"/>
        <v>237368.38372033709</v>
      </c>
      <c r="V16" s="260">
        <f t="shared" si="30"/>
        <v>442559.032547971</v>
      </c>
      <c r="W16" s="260">
        <f t="shared" si="31"/>
        <v>6867.9536996799288</v>
      </c>
      <c r="X16" s="260">
        <f t="shared" si="32"/>
        <v>2397.6604416195769</v>
      </c>
      <c r="Y16" s="260">
        <f t="shared" si="32"/>
        <v>4470.2932580603519</v>
      </c>
      <c r="Z16" s="260">
        <f t="shared" ca="1" si="33"/>
        <v>5875.5512828677693</v>
      </c>
      <c r="AA16" s="260">
        <f t="shared" ca="1" si="34"/>
        <v>15913.624298124889</v>
      </c>
      <c r="AB16" s="260">
        <f t="shared" ca="1" si="1"/>
        <v>-10038.07301525712</v>
      </c>
      <c r="AC16" s="260">
        <f t="shared" ca="1" si="35"/>
        <v>674051.86498544028</v>
      </c>
      <c r="AD16" s="260">
        <f t="shared" ca="1" si="36"/>
        <v>221454.7594222122</v>
      </c>
      <c r="AE16" s="260">
        <f ca="1">(V16-AB16)</f>
        <v>452597.10556322813</v>
      </c>
      <c r="AF16" s="259"/>
      <c r="AG16" s="261">
        <f t="shared" ca="1" si="2"/>
        <v>1.0124550660007765</v>
      </c>
      <c r="AH16" s="262">
        <f t="shared" si="3"/>
        <v>1.000000000000012E-2</v>
      </c>
      <c r="AI16" s="263" t="str">
        <f t="shared" si="4"/>
        <v>WEST SPDC</v>
      </c>
      <c r="AJ16" s="264">
        <f t="shared" ca="1" si="62"/>
        <v>452597.10556322813</v>
      </c>
      <c r="AK16" s="264">
        <f t="shared" ca="1" si="5"/>
        <v>221454.7594222122</v>
      </c>
      <c r="AL16" s="265">
        <f t="shared" ca="1" si="6"/>
        <v>-10038.07301525712</v>
      </c>
      <c r="AM16" s="265">
        <f t="shared" ca="1" si="37"/>
        <v>15913.624298124889</v>
      </c>
      <c r="AN16" s="264">
        <f t="shared" si="7"/>
        <v>4470.2932580603519</v>
      </c>
      <c r="AO16" s="264">
        <f t="shared" si="8"/>
        <v>447029.32580603135</v>
      </c>
      <c r="AP16" s="264">
        <f t="shared" si="38"/>
        <v>442559.032547971</v>
      </c>
      <c r="AQ16" s="264">
        <f t="shared" si="39"/>
        <v>237368.38372033709</v>
      </c>
      <c r="AR16" s="264">
        <f t="shared" si="9"/>
        <v>239766.04416195667</v>
      </c>
      <c r="AS16" s="264">
        <f t="shared" si="40"/>
        <v>442559.032547971</v>
      </c>
      <c r="AT16" s="264">
        <f t="shared" si="10"/>
        <v>237368.38372033709</v>
      </c>
      <c r="AU16" s="264">
        <f t="shared" si="10"/>
        <v>0</v>
      </c>
      <c r="AV16" t="s">
        <v>57</v>
      </c>
      <c r="AW16" t="s">
        <v>244</v>
      </c>
      <c r="AX16" s="296">
        <f t="shared" si="41"/>
        <v>686795.36996798799</v>
      </c>
      <c r="AY16" s="297">
        <f t="shared" si="42"/>
        <v>447029.32580603135</v>
      </c>
      <c r="AZ16" s="298">
        <f t="shared" si="43"/>
        <v>239766.04416195667</v>
      </c>
      <c r="BA16" s="296">
        <f t="shared" si="44"/>
        <v>679927.41626830806</v>
      </c>
      <c r="BB16" s="297">
        <f t="shared" si="45"/>
        <v>442559.032547971</v>
      </c>
      <c r="BC16" s="299">
        <f t="shared" si="46"/>
        <v>0.34910841663526698</v>
      </c>
      <c r="BD16" s="300">
        <f t="shared" si="47"/>
        <v>237368.38372033709</v>
      </c>
      <c r="BE16" s="301"/>
      <c r="BF16" s="302">
        <f>S16</f>
        <v>237368.38372033709</v>
      </c>
      <c r="BG16" s="303">
        <f t="shared" si="48"/>
        <v>442559.032547971</v>
      </c>
      <c r="BH16" s="304">
        <f t="shared" ca="1" si="49"/>
        <v>221454.7594222122</v>
      </c>
      <c r="BI16" s="305">
        <f t="shared" ca="1" si="50"/>
        <v>452597.10556322813</v>
      </c>
      <c r="BJ16" t="s">
        <v>277</v>
      </c>
      <c r="BK16" s="320">
        <f t="shared" si="51"/>
        <v>4470.2932580603519</v>
      </c>
      <c r="BO16" s="321">
        <f t="shared" si="52"/>
        <v>0</v>
      </c>
      <c r="BT16" t="s">
        <v>246</v>
      </c>
      <c r="BZ16" s="329"/>
      <c r="CA16" s="330"/>
      <c r="CB16" s="345">
        <f ca="1">SUM(CB5:CB14)</f>
        <v>31289.07170282862</v>
      </c>
      <c r="CC16" s="345">
        <f ca="1">SUM(CC5:CC14)</f>
        <v>73435.439569483511</v>
      </c>
      <c r="CD16" s="346">
        <f ca="1">SUM(CD5:CD14)</f>
        <v>7278595</v>
      </c>
      <c r="CE16" s="345">
        <f ca="1">SUM(CE5:CE14)</f>
        <v>6872620.0000000009</v>
      </c>
      <c r="CF16" s="345">
        <f ca="1">SUM(CF5:CF14)</f>
        <v>79890.409274374266</v>
      </c>
      <c r="CG16" s="345">
        <f t="shared" ref="CG16:CL16" ca="1" si="65">SUM(CG5:CG14)</f>
        <v>7389774.4809772037</v>
      </c>
      <c r="CH16" s="347">
        <f t="shared" ca="1" si="65"/>
        <v>7048547.4038007203</v>
      </c>
      <c r="CI16" s="348">
        <f t="shared" ca="1" si="65"/>
        <v>7309884.0717028305</v>
      </c>
      <c r="CJ16" s="349">
        <f t="shared" ca="1" si="65"/>
        <v>6946055.4395694835</v>
      </c>
      <c r="CK16" s="349">
        <f t="shared" ca="1" si="65"/>
        <v>7309884.0717028305</v>
      </c>
      <c r="CL16" s="349">
        <f t="shared" ca="1" si="65"/>
        <v>6946055.4395694835</v>
      </c>
      <c r="CM16" s="349">
        <f ca="1">SUM(CM5:CM14)</f>
        <v>0</v>
      </c>
      <c r="CN16" s="334"/>
      <c r="CP16" s="137"/>
      <c r="CU16" s="350" t="s">
        <v>278</v>
      </c>
      <c r="CV16" s="351">
        <f>'[2]Oil Allocated summary'!K47</f>
        <v>387710.94601469778</v>
      </c>
      <c r="CW16" s="351">
        <f>'[2]Oil Allocated summary'!K48</f>
        <v>465294.91374301515</v>
      </c>
      <c r="CX16" s="351">
        <f>'[2]Oil Allocated summary'!H47</f>
        <v>371391.38466967456</v>
      </c>
      <c r="CY16" s="351">
        <f>'[2]Oil Allocated summary'!H48</f>
        <v>465294.91374301515</v>
      </c>
      <c r="CZ16" s="351">
        <f>'[2]Oil Allocated summary'!I47</f>
        <v>0</v>
      </c>
      <c r="DA16" s="351">
        <f ca="1">$DA$9*CW16/$CW$9</f>
        <v>0</v>
      </c>
      <c r="DB16" s="351">
        <f>'[2]Oil Allocated summary'!J47</f>
        <v>16319.561345023278</v>
      </c>
      <c r="DC16" s="352">
        <f ca="1">$DC$9*CW16/$CW$9</f>
        <v>0</v>
      </c>
      <c r="DD16" s="353">
        <f t="shared" ref="DD16:DE21" si="66">SUM(DH16,DJ16,DL16)</f>
        <v>7579.4160136667197</v>
      </c>
      <c r="DE16" s="354">
        <f t="shared" si="66"/>
        <v>0</v>
      </c>
      <c r="DF16" s="355">
        <f t="shared" ref="DF16:DG21" si="67">SUM(CX16,DD16)</f>
        <v>378970.80068334128</v>
      </c>
      <c r="DG16" s="356">
        <f t="shared" si="67"/>
        <v>465294.91374301515</v>
      </c>
      <c r="DH16" s="357">
        <v>0</v>
      </c>
      <c r="DI16" s="358">
        <v>0</v>
      </c>
      <c r="DJ16" s="357">
        <v>0</v>
      </c>
      <c r="DK16" s="358">
        <v>0</v>
      </c>
      <c r="DL16" s="357">
        <v>7579.4160136667197</v>
      </c>
      <c r="DM16" s="358">
        <v>0</v>
      </c>
    </row>
    <row r="17" spans="2:117" ht="23.15" customHeight="1">
      <c r="B17" s="253"/>
      <c r="C17" s="24" t="s">
        <v>242</v>
      </c>
      <c r="D17" s="24" t="s">
        <v>243</v>
      </c>
      <c r="E17" s="24" t="s">
        <v>279</v>
      </c>
      <c r="F17" s="254">
        <f>VLOOKUP($E17,[2]Adj_NPDC_HCA_Input!$B$5:$E$42,2,FALSE)</f>
        <v>15958.22</v>
      </c>
      <c r="G17" s="255">
        <f>VLOOKUP($E17,[2]Adj_NPDC_HCA_Input!$B$5:$E$42,3,FALSE)</f>
        <v>0</v>
      </c>
      <c r="H17" s="256">
        <f>F17*G17</f>
        <v>0</v>
      </c>
      <c r="I17" s="256">
        <f>F17-H17</f>
        <v>15958.22</v>
      </c>
      <c r="J17" s="257" t="str">
        <f>[2]Adj_NPDC_HCA_Input!G17</f>
        <v>Non-LACT</v>
      </c>
      <c r="K17" s="257">
        <f>IF(J17="LACT",[2]Adj_NPDC_HCA_Input!$T$4,[2]Adj_NPDC_HCA_Input!$Y$4)</f>
        <v>0.99</v>
      </c>
      <c r="L17" s="257">
        <f>IF(J17="Non-LACT",VLOOKUP([2]Adj_NPDC_HCA_Input!J17,[2]Adj_NPDC_HCA_Input!$X$4:$Y$7,2,FALSE),VLOOKUP([2]Adj_NPDC_HCA_Input!J17,[2]Adj_NPDC_HCA_Input!$S$4:$T$7,2,FALSE))</f>
        <v>1</v>
      </c>
      <c r="M17" s="258">
        <f>IF([2]Adj_NPDC_HCA_Input!M17="No",[2]Adj_NPDC_HCA_Input!$S$32,1)</f>
        <v>1</v>
      </c>
      <c r="N17" s="259">
        <f>IF([2]Adj_NPDC_HCA_Input!K17="Yes",1,0.99)</f>
        <v>1</v>
      </c>
      <c r="O17" s="259" t="str">
        <f>[2]Adj_NPDC_HCA_Input!L17</f>
        <v>No</v>
      </c>
      <c r="P17" s="260">
        <f>F17*K17*L17*M17*N17</f>
        <v>15798.637799999999</v>
      </c>
      <c r="Q17" s="260">
        <f>((P17*G17))</f>
        <v>0</v>
      </c>
      <c r="R17" s="260">
        <f t="shared" si="0"/>
        <v>0</v>
      </c>
      <c r="S17" s="260">
        <f>Q17+R17</f>
        <v>0</v>
      </c>
      <c r="T17" s="260">
        <f t="shared" si="28"/>
        <v>0</v>
      </c>
      <c r="U17" s="260">
        <f t="shared" si="29"/>
        <v>0</v>
      </c>
      <c r="V17" s="260">
        <f t="shared" si="30"/>
        <v>15798.637799999999</v>
      </c>
      <c r="W17" s="260">
        <f>F17-P17</f>
        <v>159.58220000000074</v>
      </c>
      <c r="X17" s="260">
        <f t="shared" si="32"/>
        <v>0</v>
      </c>
      <c r="Y17" s="260">
        <f>(I17-V17)</f>
        <v>159.58220000000074</v>
      </c>
      <c r="Z17" s="260">
        <f ca="1">SUM(AA17:AB17)</f>
        <v>-358.34288335491243</v>
      </c>
      <c r="AA17" s="260">
        <f t="shared" ca="1" si="34"/>
        <v>0</v>
      </c>
      <c r="AB17" s="260">
        <f t="shared" ca="1" si="1"/>
        <v>-358.34288335491243</v>
      </c>
      <c r="AC17" s="260">
        <f ca="1">P17-Z17</f>
        <v>16156.980683354912</v>
      </c>
      <c r="AD17" s="260">
        <f t="shared" ca="1" si="36"/>
        <v>0</v>
      </c>
      <c r="AE17" s="260">
        <f ca="1">(V17-AB17)</f>
        <v>16156.980683354912</v>
      </c>
      <c r="AF17" s="259"/>
      <c r="AG17" s="261">
        <f ca="1">IF(ISERROR(AE17/I17),0,(AE17/I17))</f>
        <v>1.0124550660007765</v>
      </c>
      <c r="AH17" s="262">
        <f>IF(ISERROR(1-(V17/I17)),"No Production",(1-(V17/I17)))</f>
        <v>1.0000000000000009E-2</v>
      </c>
      <c r="AI17" s="263" t="str">
        <f>C17</f>
        <v>WEST SPDC</v>
      </c>
      <c r="AJ17" s="264">
        <f t="shared" ca="1" si="62"/>
        <v>16156.980683354912</v>
      </c>
      <c r="AK17" s="264">
        <f ca="1">AD17</f>
        <v>0</v>
      </c>
      <c r="AL17" s="265">
        <f ca="1">AB17</f>
        <v>-358.34288335491243</v>
      </c>
      <c r="AM17" s="265">
        <f ca="1">AA17</f>
        <v>0</v>
      </c>
      <c r="AN17" s="264">
        <f>Y17</f>
        <v>159.58220000000074</v>
      </c>
      <c r="AO17" s="264">
        <f>I17</f>
        <v>15958.22</v>
      </c>
      <c r="AP17" s="264">
        <f>V17</f>
        <v>15798.637799999999</v>
      </c>
      <c r="AQ17" s="264">
        <f>S17</f>
        <v>0</v>
      </c>
      <c r="AR17" s="264">
        <f>H17</f>
        <v>0</v>
      </c>
      <c r="AS17" s="264">
        <f>P17-Q17</f>
        <v>15798.637799999999</v>
      </c>
      <c r="AT17" s="264">
        <f>Q17</f>
        <v>0</v>
      </c>
      <c r="AU17" s="264">
        <f>R17</f>
        <v>0</v>
      </c>
      <c r="AV17" t="s">
        <v>279</v>
      </c>
      <c r="AX17" s="296">
        <f>F17</f>
        <v>15958.22</v>
      </c>
      <c r="AY17" s="297">
        <f>I17</f>
        <v>15958.22</v>
      </c>
      <c r="AZ17" s="298">
        <f>H17</f>
        <v>0</v>
      </c>
      <c r="BA17" s="296">
        <f>P17</f>
        <v>15798.637799999999</v>
      </c>
      <c r="BB17" s="297">
        <f>BA17*(1-BC17)</f>
        <v>15798.637799999999</v>
      </c>
      <c r="BC17" s="299">
        <f>G17</f>
        <v>0</v>
      </c>
      <c r="BD17" s="300">
        <f>BA17*BC17</f>
        <v>0</v>
      </c>
      <c r="BE17" s="301"/>
      <c r="BF17" s="302">
        <f>S17</f>
        <v>0</v>
      </c>
      <c r="BG17" s="303">
        <f>V17</f>
        <v>15798.637799999999</v>
      </c>
      <c r="BH17" s="304">
        <f ca="1">AK17</f>
        <v>0</v>
      </c>
      <c r="BI17" s="305">
        <f ca="1">AJ17</f>
        <v>16156.980683354912</v>
      </c>
      <c r="BJ17" t="str">
        <f>AV17</f>
        <v>NTBK CPF</v>
      </c>
      <c r="BK17" s="320">
        <f t="shared" si="51"/>
        <v>159.58220000000074</v>
      </c>
      <c r="BO17" s="321">
        <f t="shared" si="52"/>
        <v>0</v>
      </c>
      <c r="BZ17" s="359"/>
      <c r="CA17" s="360"/>
      <c r="CB17" s="361"/>
      <c r="CC17" s="361"/>
      <c r="CD17" s="362"/>
      <c r="CE17" s="361"/>
      <c r="CF17" s="361"/>
      <c r="CG17" s="361"/>
      <c r="CH17" s="363"/>
      <c r="CI17" s="364"/>
      <c r="CJ17" s="364"/>
      <c r="CK17" s="364"/>
      <c r="CL17" s="364"/>
      <c r="CM17" s="365"/>
      <c r="CN17" s="334"/>
      <c r="CP17" s="137"/>
      <c r="CU17" s="366" t="s">
        <v>280</v>
      </c>
      <c r="CV17" s="367">
        <f>'[2]Oil Allocated summary'!K41</f>
        <v>215115.74747838511</v>
      </c>
      <c r="CW17" s="367">
        <f>'[2]Oil Allocated summary'!K42</f>
        <v>189504.85314984713</v>
      </c>
      <c r="CX17" s="367">
        <f>'[2]Oil Allocated summary'!H41</f>
        <v>206061.07756684502</v>
      </c>
      <c r="CY17" s="367">
        <f>'[2]Oil Allocated summary'!H42</f>
        <v>189504.85314984713</v>
      </c>
      <c r="CZ17" s="367">
        <f>'[2]Oil Allocated summary'!I41</f>
        <v>0</v>
      </c>
      <c r="DA17" s="367">
        <f ca="1">$DA$9*CW17/$CW$9</f>
        <v>0</v>
      </c>
      <c r="DB17" s="367">
        <f>'[2]Oil Allocated summary'!J41</f>
        <v>9054.6699115401279</v>
      </c>
      <c r="DC17" s="368">
        <f ca="1">$DC$9*CW17/$CW$9</f>
        <v>0</v>
      </c>
      <c r="DD17" s="369">
        <f t="shared" si="66"/>
        <v>4205.3281136090227</v>
      </c>
      <c r="DE17" s="370">
        <f t="shared" si="66"/>
        <v>0</v>
      </c>
      <c r="DF17" s="371">
        <f t="shared" si="67"/>
        <v>210266.40568045405</v>
      </c>
      <c r="DG17" s="372">
        <f t="shared" si="67"/>
        <v>189504.85314984713</v>
      </c>
      <c r="DH17" s="373">
        <v>0</v>
      </c>
      <c r="DI17" s="374">
        <v>0</v>
      </c>
      <c r="DJ17" s="373">
        <v>0</v>
      </c>
      <c r="DK17" s="374">
        <v>0</v>
      </c>
      <c r="DL17" s="373">
        <v>4205.3281136090227</v>
      </c>
      <c r="DM17" s="374">
        <v>0</v>
      </c>
    </row>
    <row r="18" spans="2:117" ht="23.15" customHeight="1" thickBot="1">
      <c r="B18" s="253" t="str">
        <f>[2]Adj_NPDC_HCA_Input!N18</f>
        <v>Online BS&amp;W Meter</v>
      </c>
      <c r="C18" s="24" t="s">
        <v>242</v>
      </c>
      <c r="D18" s="24" t="s">
        <v>243</v>
      </c>
      <c r="E18" s="24" t="s">
        <v>60</v>
      </c>
      <c r="F18" s="254">
        <f>VLOOKUP($E18,[2]Adj_NPDC_HCA_Input!$B$5:$E$42,2,FALSE)</f>
        <v>240683.62000000002</v>
      </c>
      <c r="G18" s="255">
        <f>VLOOKUP($E18,[2]Adj_NPDC_HCA_Input!$B$5:$E$42,3,FALSE)</f>
        <v>1</v>
      </c>
      <c r="H18" s="256">
        <f>F18*G18</f>
        <v>240683.62000000002</v>
      </c>
      <c r="I18" s="256">
        <f>F18-H18</f>
        <v>0</v>
      </c>
      <c r="J18" s="257" t="str">
        <f>[2]Adj_NPDC_HCA_Input!G18</f>
        <v>Non-LACT</v>
      </c>
      <c r="K18" s="257">
        <f>IF(J18="LACT",[2]Adj_NPDC_HCA_Input!$T$4,[2]Adj_NPDC_HCA_Input!$Y$4)</f>
        <v>0.99</v>
      </c>
      <c r="L18" s="257">
        <f>IF(J18="Non-LACT",VLOOKUP([2]Adj_NPDC_HCA_Input!J18,[2]Adj_NPDC_HCA_Input!$X$4:$Y$7,2,FALSE),VLOOKUP([2]Adj_NPDC_HCA_Input!J18,[2]Adj_NPDC_HCA_Input!$S$4:$T$7,2,FALSE))</f>
        <v>1</v>
      </c>
      <c r="M18" s="258">
        <f>IF([2]Adj_NPDC_HCA_Input!M18="No",[2]Adj_NPDC_HCA_Input!$S$32,1)</f>
        <v>0.98260000000000003</v>
      </c>
      <c r="N18" s="259">
        <f>IF([2]Adj_NPDC_HCA_Input!K18="Yes",1,0.99)</f>
        <v>1</v>
      </c>
      <c r="O18" s="259" t="str">
        <f>[2]Adj_NPDC_HCA_Input!L18</f>
        <v>No</v>
      </c>
      <c r="P18" s="260">
        <f>F18*K18*L18*M18*N18</f>
        <v>234130.76776188004</v>
      </c>
      <c r="Q18" s="260">
        <f>((P18*G18))</f>
        <v>234130.76776188004</v>
      </c>
      <c r="R18" s="260">
        <f t="shared" si="0"/>
        <v>0</v>
      </c>
      <c r="S18" s="260">
        <f>Q18+R18</f>
        <v>234130.76776188004</v>
      </c>
      <c r="T18" s="260">
        <f t="shared" si="28"/>
        <v>0</v>
      </c>
      <c r="U18" s="260">
        <f t="shared" si="29"/>
        <v>234130.76776188004</v>
      </c>
      <c r="V18" s="260">
        <f t="shared" si="30"/>
        <v>0</v>
      </c>
      <c r="W18" s="260">
        <f>F18-P18</f>
        <v>6552.8522381199873</v>
      </c>
      <c r="X18" s="260">
        <f t="shared" si="32"/>
        <v>6552.8522381199873</v>
      </c>
      <c r="Y18" s="260">
        <f>(I18-V18)</f>
        <v>0</v>
      </c>
      <c r="Z18" s="260">
        <f ca="1">SUM(AA18:AB18)</f>
        <v>15696.568415715537</v>
      </c>
      <c r="AA18" s="260">
        <f t="shared" ca="1" si="34"/>
        <v>15696.568415715537</v>
      </c>
      <c r="AB18" s="260">
        <f t="shared" ca="1" si="1"/>
        <v>0</v>
      </c>
      <c r="AC18" s="260">
        <f ca="1">P18-Z18</f>
        <v>218434.1993461645</v>
      </c>
      <c r="AD18" s="260">
        <f t="shared" ca="1" si="36"/>
        <v>218434.1993461645</v>
      </c>
      <c r="AE18" s="260">
        <f ca="1">V18-AB18</f>
        <v>0</v>
      </c>
      <c r="AF18" s="259"/>
      <c r="AG18" s="261">
        <f ca="1">IF(ISERROR(AE18/I18),0,(AE18/I18))</f>
        <v>0</v>
      </c>
      <c r="AH18" s="262" t="str">
        <f>IF(ISERROR(1-(V18/I18)),"No Production",(1-(V18/I18)))</f>
        <v>No Production</v>
      </c>
      <c r="AI18" s="263" t="str">
        <f>C18</f>
        <v>WEST SPDC</v>
      </c>
      <c r="AJ18" s="264">
        <f t="shared" ca="1" si="62"/>
        <v>0</v>
      </c>
      <c r="AK18" s="264">
        <f ca="1">AD18</f>
        <v>218434.1993461645</v>
      </c>
      <c r="AL18" s="265">
        <f ca="1">AB18</f>
        <v>0</v>
      </c>
      <c r="AM18" s="265">
        <f ca="1">AA18</f>
        <v>15696.568415715537</v>
      </c>
      <c r="AN18" s="264">
        <f>Y18</f>
        <v>0</v>
      </c>
      <c r="AO18" s="264">
        <f>I18</f>
        <v>0</v>
      </c>
      <c r="AP18" s="264">
        <f>V18</f>
        <v>0</v>
      </c>
      <c r="AQ18" s="264">
        <f>S18</f>
        <v>234130.76776188004</v>
      </c>
      <c r="AR18" s="264">
        <f>H18</f>
        <v>240683.62000000002</v>
      </c>
      <c r="AS18" s="264">
        <f>P18-Q18</f>
        <v>0</v>
      </c>
      <c r="AT18" s="264">
        <f>Q18</f>
        <v>234130.76776188004</v>
      </c>
      <c r="AU18" s="264">
        <f>R18</f>
        <v>0</v>
      </c>
      <c r="AV18" t="s">
        <v>281</v>
      </c>
      <c r="AX18" s="296">
        <f>F18</f>
        <v>240683.62000000002</v>
      </c>
      <c r="AY18" s="297">
        <f>I18</f>
        <v>0</v>
      </c>
      <c r="AZ18" s="298">
        <f>H18</f>
        <v>240683.62000000002</v>
      </c>
      <c r="BA18" s="296">
        <f>P18</f>
        <v>234130.76776188004</v>
      </c>
      <c r="BB18" s="297">
        <f>BA18*(1-BC18)</f>
        <v>0</v>
      </c>
      <c r="BC18" s="299">
        <f>G18</f>
        <v>1</v>
      </c>
      <c r="BD18" s="300">
        <f>BA18*BC18</f>
        <v>234130.76776188004</v>
      </c>
      <c r="BE18" s="301"/>
      <c r="BF18" s="302">
        <f>S18</f>
        <v>234130.76776188004</v>
      </c>
      <c r="BG18" s="303">
        <f>V18</f>
        <v>0</v>
      </c>
      <c r="BH18" s="304">
        <f ca="1">AK18</f>
        <v>218434.1993461645</v>
      </c>
      <c r="BI18" s="305">
        <f ca="1">AJ18</f>
        <v>0</v>
      </c>
      <c r="BJ18" t="str">
        <f>AV18</f>
        <v>PIPELINE FLUSH WATER</v>
      </c>
      <c r="BK18" s="320">
        <f t="shared" si="51"/>
        <v>0</v>
      </c>
      <c r="BO18" s="321">
        <f t="shared" si="52"/>
        <v>0</v>
      </c>
      <c r="BZ18" s="359"/>
      <c r="CA18" s="360"/>
      <c r="CB18" s="361"/>
      <c r="CC18" s="361"/>
      <c r="CD18" s="362"/>
      <c r="CE18" s="361"/>
      <c r="CF18" s="361"/>
      <c r="CG18" s="361"/>
      <c r="CH18" s="363"/>
      <c r="CI18" s="364"/>
      <c r="CJ18" s="364"/>
      <c r="CK18" s="364"/>
      <c r="CL18" s="364"/>
      <c r="CM18" s="365"/>
      <c r="CN18" s="334"/>
      <c r="CU18" s="366" t="s">
        <v>282</v>
      </c>
      <c r="CV18" s="367">
        <f>'[2]Oil Allocated summary'!K41</f>
        <v>215115.74747838511</v>
      </c>
      <c r="CW18" s="367">
        <f>'[2]Oil Allocated summary'!K42</f>
        <v>189504.85314984713</v>
      </c>
      <c r="CX18" s="367">
        <f>'[2]Oil Allocated summary'!H41</f>
        <v>206061.07756684502</v>
      </c>
      <c r="CY18" s="367">
        <f>'[2]Oil Allocated summary'!H42</f>
        <v>189504.85314984713</v>
      </c>
      <c r="CZ18" s="367">
        <f>'[2]Oil Allocated summary'!I41</f>
        <v>0</v>
      </c>
      <c r="DA18" s="367">
        <f ca="1">$DA$9*CW18/$CW$9</f>
        <v>0</v>
      </c>
      <c r="DB18" s="367">
        <f>'[2]Oil Allocated summary'!J41</f>
        <v>9054.6699115401279</v>
      </c>
      <c r="DC18" s="368">
        <f ca="1">$DC$9*CW18/$CW$9</f>
        <v>0</v>
      </c>
      <c r="DD18" s="369">
        <f t="shared" si="66"/>
        <v>2184.5383282810217</v>
      </c>
      <c r="DE18" s="370">
        <f t="shared" si="66"/>
        <v>0</v>
      </c>
      <c r="DF18" s="371">
        <f t="shared" si="67"/>
        <v>208245.61589512604</v>
      </c>
      <c r="DG18" s="372">
        <f t="shared" si="67"/>
        <v>189504.85314984713</v>
      </c>
      <c r="DH18" s="373">
        <v>0</v>
      </c>
      <c r="DI18" s="374">
        <v>0</v>
      </c>
      <c r="DJ18" s="373">
        <v>0</v>
      </c>
      <c r="DK18" s="374">
        <v>0</v>
      </c>
      <c r="DL18" s="373">
        <v>2184.5383282810217</v>
      </c>
      <c r="DM18" s="374">
        <v>0</v>
      </c>
    </row>
    <row r="19" spans="2:117" ht="23.15" customHeight="1" thickBot="1">
      <c r="B19" s="253" t="str">
        <f>[2]Adj_NPDC_HCA_Input!N19</f>
        <v>Manual Sampling</v>
      </c>
      <c r="C19" s="24" t="s">
        <v>272</v>
      </c>
      <c r="D19" s="24" t="s">
        <v>61</v>
      </c>
      <c r="E19" s="24" t="s">
        <v>61</v>
      </c>
      <c r="F19" s="254">
        <f>VLOOKUP($E19,[2]Adj_NPDC_HCA_Input!$B$5:$E$42,2,FALSE)</f>
        <v>62069.696359999856</v>
      </c>
      <c r="G19" s="255">
        <f>VLOOKUP($E19,[2]Adj_NPDC_HCA_Input!$B$5:$E$42,3,FALSE)</f>
        <v>1.6907311063567656E-2</v>
      </c>
      <c r="H19" s="256">
        <f t="shared" si="24"/>
        <v>1049.4316639797107</v>
      </c>
      <c r="I19" s="256">
        <f t="shared" si="25"/>
        <v>61020.264696020145</v>
      </c>
      <c r="J19" s="257" t="str">
        <f>[2]Adj_NPDC_HCA_Input!G19</f>
        <v>Non-LACT</v>
      </c>
      <c r="K19" s="257">
        <f>IF(J19="LACT",[2]Adj_NPDC_HCA_Input!$T$4,[2]Adj_NPDC_HCA_Input!$Y$4)</f>
        <v>0.99</v>
      </c>
      <c r="L19" s="257">
        <f>IF(J19="Non-LACT",VLOOKUP([2]Adj_NPDC_HCA_Input!J19,[2]Adj_NPDC_HCA_Input!$X$4:$Y$7,2,FALSE),VLOOKUP([2]Adj_NPDC_HCA_Input!J19,[2]Adj_NPDC_HCA_Input!$S$4:$T$7,2,FALSE))</f>
        <v>0.98</v>
      </c>
      <c r="M19" s="258">
        <f>IF([2]Adj_NPDC_HCA_Input!M19="No",[2]Adj_NPDC_HCA_Input!$S$32,1)</f>
        <v>1</v>
      </c>
      <c r="N19" s="259">
        <f>IF([2]Adj_NPDC_HCA_Input!K19="Yes",1,0.99)</f>
        <v>1</v>
      </c>
      <c r="O19" s="259" t="str">
        <f>[2]Adj_NPDC_HCA_Input!L19</f>
        <v>No</v>
      </c>
      <c r="P19" s="260">
        <f t="shared" si="26"/>
        <v>60220.019408471861</v>
      </c>
      <c r="Q19" s="260">
        <f t="shared" si="61"/>
        <v>1018.1586003931153</v>
      </c>
      <c r="R19" s="260">
        <f t="shared" si="0"/>
        <v>0</v>
      </c>
      <c r="S19" s="260">
        <f t="shared" si="27"/>
        <v>1018.1586003931153</v>
      </c>
      <c r="T19" s="260">
        <f t="shared" si="28"/>
        <v>0</v>
      </c>
      <c r="U19" s="260">
        <f t="shared" si="29"/>
        <v>1018.1586003931153</v>
      </c>
      <c r="V19" s="260">
        <f t="shared" si="30"/>
        <v>59201.860808078745</v>
      </c>
      <c r="W19" s="260">
        <f t="shared" si="31"/>
        <v>1849.6769515279957</v>
      </c>
      <c r="X19" s="260">
        <f t="shared" si="32"/>
        <v>31.273063586595413</v>
      </c>
      <c r="Y19" s="260">
        <f t="shared" si="32"/>
        <v>1818.4038879414002</v>
      </c>
      <c r="Z19" s="260">
        <f t="shared" ca="1" si="33"/>
        <v>-4014.978658403681</v>
      </c>
      <c r="AA19" s="260">
        <f t="shared" ca="1" si="34"/>
        <v>68.259273575584075</v>
      </c>
      <c r="AB19" s="260">
        <f t="shared" ca="1" si="1"/>
        <v>-4083.2379319792649</v>
      </c>
      <c r="AC19" s="260">
        <f t="shared" ca="1" si="35"/>
        <v>64234.998066875545</v>
      </c>
      <c r="AD19" s="260">
        <f t="shared" ca="1" si="36"/>
        <v>949.89932681753123</v>
      </c>
      <c r="AE19" s="260">
        <f t="shared" ca="1" si="36"/>
        <v>63285.098740058012</v>
      </c>
      <c r="AF19" s="259"/>
      <c r="AG19" s="261">
        <f t="shared" ca="1" si="2"/>
        <v>1.0371160966823139</v>
      </c>
      <c r="AH19" s="262">
        <f t="shared" si="3"/>
        <v>2.9800000000000049E-2</v>
      </c>
      <c r="AI19" s="263" t="str">
        <f t="shared" si="4"/>
        <v>WEST EXCEL</v>
      </c>
      <c r="AJ19" s="264">
        <f t="shared" ca="1" si="62"/>
        <v>63285.098740058012</v>
      </c>
      <c r="AK19" s="264">
        <f t="shared" ca="1" si="5"/>
        <v>949.89932681753123</v>
      </c>
      <c r="AL19" s="265">
        <f t="shared" ca="1" si="6"/>
        <v>-4083.2379319792649</v>
      </c>
      <c r="AM19" s="265">
        <f t="shared" ca="1" si="37"/>
        <v>68.259273575584075</v>
      </c>
      <c r="AN19" s="264">
        <f t="shared" si="7"/>
        <v>1818.4038879414002</v>
      </c>
      <c r="AO19" s="264">
        <f t="shared" si="8"/>
        <v>61020.264696020145</v>
      </c>
      <c r="AP19" s="264">
        <f t="shared" si="38"/>
        <v>59201.860808078745</v>
      </c>
      <c r="AQ19" s="264">
        <f t="shared" si="39"/>
        <v>1018.1586003931153</v>
      </c>
      <c r="AR19" s="264">
        <f t="shared" si="9"/>
        <v>1049.4316639797107</v>
      </c>
      <c r="AS19" s="264">
        <f t="shared" si="40"/>
        <v>59201.860808078745</v>
      </c>
      <c r="AT19" s="264">
        <f t="shared" ref="AT19:AU42" si="68">Q19</f>
        <v>1018.1586003931153</v>
      </c>
      <c r="AU19" s="264">
        <f t="shared" si="68"/>
        <v>0</v>
      </c>
      <c r="AV19" t="s">
        <v>61</v>
      </c>
      <c r="AW19" t="s">
        <v>61</v>
      </c>
      <c r="AX19" s="296">
        <f t="shared" si="41"/>
        <v>62069.696359999856</v>
      </c>
      <c r="AY19" s="297">
        <f t="shared" si="42"/>
        <v>61020.264696020145</v>
      </c>
      <c r="AZ19" s="298">
        <f t="shared" si="43"/>
        <v>1049.4316639797107</v>
      </c>
      <c r="BA19" s="296">
        <f t="shared" si="44"/>
        <v>60220.019408471861</v>
      </c>
      <c r="BB19" s="297">
        <f t="shared" si="45"/>
        <v>59201.860808078745</v>
      </c>
      <c r="BC19" s="299">
        <f t="shared" si="46"/>
        <v>1.6907311063567656E-2</v>
      </c>
      <c r="BD19" s="300">
        <f t="shared" si="47"/>
        <v>1018.1586003931153</v>
      </c>
      <c r="BE19" s="301"/>
      <c r="BF19" s="302">
        <f>S19</f>
        <v>1018.1586003931153</v>
      </c>
      <c r="BG19" s="303">
        <f t="shared" si="48"/>
        <v>59201.860808078745</v>
      </c>
      <c r="BH19" s="304">
        <f t="shared" ca="1" si="49"/>
        <v>949.89932681753123</v>
      </c>
      <c r="BI19" s="305">
        <f t="shared" ca="1" si="50"/>
        <v>63285.098740058012</v>
      </c>
      <c r="BJ19" t="s">
        <v>283</v>
      </c>
      <c r="BK19" s="320">
        <f t="shared" si="51"/>
        <v>1818.4038879414002</v>
      </c>
      <c r="BM19">
        <f>BK10/4.74</f>
        <v>17.744452578738805</v>
      </c>
      <c r="BN19">
        <v>1</v>
      </c>
      <c r="BO19" s="321">
        <f t="shared" si="52"/>
        <v>0</v>
      </c>
      <c r="BZ19" s="375" t="s">
        <v>284</v>
      </c>
      <c r="CA19" s="240"/>
      <c r="CB19" s="376">
        <f ca="1">CB16-CB5-CB13-CB14</f>
        <v>101510.64327224184</v>
      </c>
      <c r="CC19" s="376">
        <f t="shared" ref="CC19:CM19" ca="1" si="69">CC16-CC5-CC13-CC14</f>
        <v>-93140.962998000468</v>
      </c>
      <c r="CD19" s="376">
        <f t="shared" ca="1" si="69"/>
        <v>4330864.3038544245</v>
      </c>
      <c r="CE19" s="376">
        <f t="shared" ca="1" si="69"/>
        <v>4553215.0048384061</v>
      </c>
      <c r="CF19" s="376">
        <f t="shared" ca="1" si="69"/>
        <v>48534.260857940622</v>
      </c>
      <c r="CG19" s="376">
        <f t="shared" ca="1" si="69"/>
        <v>4480909.2079846077</v>
      </c>
      <c r="CH19" s="376">
        <f t="shared" ca="1" si="69"/>
        <v>4533222.5922924904</v>
      </c>
      <c r="CI19" s="376">
        <f t="shared" ca="1" si="69"/>
        <v>4432374.947126667</v>
      </c>
      <c r="CJ19" s="376">
        <f t="shared" ca="1" si="69"/>
        <v>4460074.0418404052</v>
      </c>
      <c r="CK19" s="376">
        <f t="shared" ca="1" si="69"/>
        <v>4432374.947126667</v>
      </c>
      <c r="CL19" s="376">
        <f t="shared" ca="1" si="69"/>
        <v>4460074.0418404052</v>
      </c>
      <c r="CM19" s="377">
        <f t="shared" ca="1" si="69"/>
        <v>0</v>
      </c>
      <c r="CU19" s="366" t="s">
        <v>285</v>
      </c>
      <c r="CV19" s="367">
        <f>'[2]Oil Allocated summary'!K35</f>
        <v>499180.32992495084</v>
      </c>
      <c r="CW19" s="367">
        <f>'[2]Oil Allocated summary'!K36</f>
        <v>242678.2939947492</v>
      </c>
      <c r="CX19" s="367">
        <f>'[2]Oil Allocated summary'!H35</f>
        <v>478169.74792104296</v>
      </c>
      <c r="CY19" s="367">
        <f>'[2]Oil Allocated summary'!H36</f>
        <v>242677.29399474926</v>
      </c>
      <c r="CZ19" s="367">
        <f>'[2]Oil Allocated summary'!I35</f>
        <v>0</v>
      </c>
      <c r="DA19" s="367">
        <f>'[2]Oil Allocated summary'!I36</f>
        <v>0</v>
      </c>
      <c r="DB19" s="367">
        <f>'[2]Oil Allocated summary'!J35</f>
        <v>21011.582003907919</v>
      </c>
      <c r="DC19" s="368">
        <f ca="1">$DC$11*CW19/$CW$11</f>
        <v>0</v>
      </c>
      <c r="DD19" s="369">
        <f t="shared" si="66"/>
        <v>9758.566284102737</v>
      </c>
      <c r="DE19" s="370">
        <f t="shared" si="66"/>
        <v>0</v>
      </c>
      <c r="DF19" s="371">
        <f t="shared" si="67"/>
        <v>487928.3142051457</v>
      </c>
      <c r="DG19" s="372">
        <f t="shared" si="67"/>
        <v>242677.29399474926</v>
      </c>
      <c r="DH19" s="373">
        <v>0</v>
      </c>
      <c r="DI19" s="374">
        <v>0</v>
      </c>
      <c r="DJ19" s="373">
        <v>0</v>
      </c>
      <c r="DK19" s="374">
        <v>0</v>
      </c>
      <c r="DL19" s="373">
        <v>9758.566284102737</v>
      </c>
      <c r="DM19" s="374">
        <v>0</v>
      </c>
    </row>
    <row r="20" spans="2:117" ht="23.15" customHeight="1" thickBot="1">
      <c r="B20" s="253" t="str">
        <f>[2]Adj_NPDC_HCA_Input!N19</f>
        <v>Manual Sampling</v>
      </c>
      <c r="C20" s="42" t="s">
        <v>275</v>
      </c>
      <c r="D20" s="42" t="s">
        <v>106</v>
      </c>
      <c r="E20" s="24" t="s">
        <v>106</v>
      </c>
      <c r="F20" s="254">
        <f>VLOOKUP($E20,[2]Adj_NPDC_HCA_Input!$B$5:$E$42,2,FALSE)</f>
        <v>0</v>
      </c>
      <c r="G20" s="255">
        <f>VLOOKUP($E20,[2]Adj_NPDC_HCA_Input!$B$5:$E$42,3,FALSE)</f>
        <v>0</v>
      </c>
      <c r="H20" s="256">
        <f t="shared" si="24"/>
        <v>0</v>
      </c>
      <c r="I20" s="256">
        <f t="shared" si="25"/>
        <v>0</v>
      </c>
      <c r="J20" s="257" t="str">
        <f>[2]Adj_NPDC_HCA_Input!G19</f>
        <v>Non-LACT</v>
      </c>
      <c r="K20" s="257">
        <f>IF(J20="LACT",[2]Adj_NPDC_HCA_Input!$T$4,[2]Adj_NPDC_HCA_Input!$Y$4)</f>
        <v>0.99</v>
      </c>
      <c r="L20" s="257">
        <f>IF(J20="Non-LACT",VLOOKUP([2]Adj_NPDC_HCA_Input!J19,[2]Adj_NPDC_HCA_Input!$X$4:$Y$7,2,FALSE),VLOOKUP([2]Adj_NPDC_HCA_Input!J19,[2]Adj_NPDC_HCA_Input!$S$4:$T$7,2,FALSE))</f>
        <v>0.98</v>
      </c>
      <c r="M20" s="258">
        <f>IF([2]Adj_NPDC_HCA_Input!M19="No",[2]Adj_NPDC_HCA_Input!$S$32,1)</f>
        <v>1</v>
      </c>
      <c r="N20" s="259">
        <f>IF([2]Adj_NPDC_HCA_Input!K19="Yes",1,0.99)</f>
        <v>1</v>
      </c>
      <c r="O20" s="259" t="str">
        <f>[2]Adj_NPDC_HCA_Input!L19</f>
        <v>No</v>
      </c>
      <c r="P20" s="260">
        <f t="shared" si="26"/>
        <v>0</v>
      </c>
      <c r="Q20" s="260">
        <f t="shared" si="61"/>
        <v>0</v>
      </c>
      <c r="R20" s="260">
        <f ca="1">IF(B20="Auto Sampler",0,IF($W$77=0,0,IF($W$75&gt;$Q$47,($W$76*(Q20/$W$77)),0)))</f>
        <v>0</v>
      </c>
      <c r="S20" s="260">
        <f t="shared" ca="1" si="27"/>
        <v>0</v>
      </c>
      <c r="T20" s="260">
        <f t="shared" ca="1" si="28"/>
        <v>0</v>
      </c>
      <c r="U20" s="260">
        <f t="shared" ca="1" si="29"/>
        <v>0</v>
      </c>
      <c r="V20" s="260">
        <f t="shared" ca="1" si="30"/>
        <v>0</v>
      </c>
      <c r="W20" s="260">
        <f>F20-P20</f>
        <v>0</v>
      </c>
      <c r="X20" s="260">
        <f t="shared" ca="1" si="32"/>
        <v>0</v>
      </c>
      <c r="Y20" s="260">
        <f t="shared" ca="1" si="32"/>
        <v>0</v>
      </c>
      <c r="Z20" s="260">
        <f t="shared" ca="1" si="33"/>
        <v>0</v>
      </c>
      <c r="AA20" s="260">
        <f t="shared" ca="1" si="34"/>
        <v>0</v>
      </c>
      <c r="AB20" s="260">
        <f t="shared" ca="1" si="1"/>
        <v>0</v>
      </c>
      <c r="AC20" s="260">
        <f t="shared" ca="1" si="35"/>
        <v>0</v>
      </c>
      <c r="AD20" s="260">
        <f t="shared" ca="1" si="36"/>
        <v>0</v>
      </c>
      <c r="AE20" s="260">
        <f t="shared" ca="1" si="36"/>
        <v>0</v>
      </c>
      <c r="AF20" s="259"/>
      <c r="AG20" s="261">
        <f t="shared" ca="1" si="2"/>
        <v>0</v>
      </c>
      <c r="AH20" s="262" t="str">
        <f t="shared" ca="1" si="3"/>
        <v>No Production</v>
      </c>
      <c r="AI20" s="263" t="str">
        <f t="shared" si="4"/>
        <v>West-AGIP</v>
      </c>
      <c r="AJ20" s="264">
        <f t="shared" ca="1" si="62"/>
        <v>0</v>
      </c>
      <c r="AK20" s="264">
        <f t="shared" ca="1" si="5"/>
        <v>0</v>
      </c>
      <c r="AL20" s="265">
        <f t="shared" ca="1" si="6"/>
        <v>0</v>
      </c>
      <c r="AM20" s="265">
        <f t="shared" ca="1" si="37"/>
        <v>0</v>
      </c>
      <c r="AN20" s="264">
        <f t="shared" ca="1" si="7"/>
        <v>0</v>
      </c>
      <c r="AO20" s="264">
        <f t="shared" si="8"/>
        <v>0</v>
      </c>
      <c r="AP20" s="264">
        <f t="shared" ca="1" si="38"/>
        <v>0</v>
      </c>
      <c r="AQ20" s="264">
        <f t="shared" ca="1" si="39"/>
        <v>0</v>
      </c>
      <c r="AR20" s="264">
        <f t="shared" si="9"/>
        <v>0</v>
      </c>
      <c r="AS20" s="264">
        <f t="shared" si="40"/>
        <v>0</v>
      </c>
      <c r="AT20" s="264">
        <f t="shared" si="68"/>
        <v>0</v>
      </c>
      <c r="AU20" s="264">
        <f t="shared" ca="1" si="68"/>
        <v>0</v>
      </c>
      <c r="AV20" s="378" t="s">
        <v>106</v>
      </c>
      <c r="AW20" s="378" t="s">
        <v>106</v>
      </c>
      <c r="AX20" s="379">
        <f t="shared" si="41"/>
        <v>0</v>
      </c>
      <c r="AY20" s="380">
        <f t="shared" si="42"/>
        <v>0</v>
      </c>
      <c r="AZ20" s="381">
        <f t="shared" si="43"/>
        <v>0</v>
      </c>
      <c r="BA20" s="379">
        <f t="shared" si="44"/>
        <v>0</v>
      </c>
      <c r="BB20" s="380">
        <f t="shared" si="45"/>
        <v>0</v>
      </c>
      <c r="BC20" s="382">
        <f t="shared" si="46"/>
        <v>0</v>
      </c>
      <c r="BD20" s="383">
        <f t="shared" si="47"/>
        <v>0</v>
      </c>
      <c r="BE20" s="384"/>
      <c r="BF20" s="385"/>
      <c r="BG20" s="386">
        <f t="shared" ca="1" si="48"/>
        <v>0</v>
      </c>
      <c r="BH20" s="387">
        <f t="shared" ca="1" si="49"/>
        <v>0</v>
      </c>
      <c r="BI20" s="388">
        <f t="shared" ca="1" si="50"/>
        <v>0</v>
      </c>
      <c r="BJ20" s="378" t="s">
        <v>286</v>
      </c>
      <c r="BK20" s="389">
        <f t="shared" si="51"/>
        <v>0</v>
      </c>
      <c r="BL20" s="378"/>
      <c r="BM20" s="378"/>
      <c r="BN20" s="378"/>
      <c r="BO20" s="390">
        <f t="shared" ca="1" si="52"/>
        <v>0</v>
      </c>
      <c r="BP20" s="378"/>
      <c r="BQ20" s="378"/>
      <c r="BR20" s="378"/>
      <c r="BS20" s="378"/>
      <c r="BT20" s="378"/>
      <c r="BU20" s="378"/>
      <c r="BV20" s="378"/>
      <c r="BW20" s="378"/>
      <c r="BX20" s="378"/>
      <c r="BY20" s="378"/>
      <c r="BZ20" s="127"/>
      <c r="CA20" s="378"/>
      <c r="CC20" s="378"/>
      <c r="CD20" s="391"/>
      <c r="CE20" s="392"/>
      <c r="CF20" s="393"/>
      <c r="CG20" s="378"/>
      <c r="CH20" s="378"/>
      <c r="CI20" s="378"/>
      <c r="CU20" s="366" t="s">
        <v>407</v>
      </c>
      <c r="CV20" s="367">
        <f>'[2]Oil Allocated summary'!K31</f>
        <v>68950</v>
      </c>
      <c r="CW20" s="367">
        <f>'[2]Oil Allocated summary'!K32</f>
        <v>3001</v>
      </c>
      <c r="CX20" s="367">
        <f>'[2]Oil Allocated summary'!H31</f>
        <v>66047.750872639284</v>
      </c>
      <c r="CY20" s="367">
        <f>'[2]Oil Allocated summary'!H32</f>
        <v>3001</v>
      </c>
      <c r="CZ20" s="367">
        <f>'[2]Oil Allocated summary'!I31</f>
        <v>0</v>
      </c>
      <c r="DA20" s="367">
        <f>'[2]Oil Allocated summary'!I32</f>
        <v>0</v>
      </c>
      <c r="DB20" s="367">
        <f>'[2]Oil Allocated summary'!J31</f>
        <v>2902.2491273607175</v>
      </c>
      <c r="DC20" s="368">
        <f ca="1">$DC$11*CW20/$CW$11</f>
        <v>0</v>
      </c>
      <c r="DD20" s="369">
        <f t="shared" si="66"/>
        <v>1347.9132831150782</v>
      </c>
      <c r="DE20" s="370">
        <f t="shared" si="66"/>
        <v>0</v>
      </c>
      <c r="DF20" s="371">
        <f t="shared" si="67"/>
        <v>67395.664155754363</v>
      </c>
      <c r="DG20" s="372">
        <f t="shared" si="67"/>
        <v>3001</v>
      </c>
      <c r="DH20" s="373">
        <v>0</v>
      </c>
      <c r="DI20" s="374">
        <v>0</v>
      </c>
      <c r="DJ20" s="373">
        <v>0</v>
      </c>
      <c r="DK20" s="374">
        <v>0</v>
      </c>
      <c r="DL20" s="373">
        <v>1347.9132831150782</v>
      </c>
      <c r="DM20" s="374">
        <v>0</v>
      </c>
    </row>
    <row r="21" spans="2:117" ht="23.15" customHeight="1" thickBot="1">
      <c r="B21" s="394" t="str">
        <f>[2]Adj_NPDC_HCA_Input!N20</f>
        <v>Auto Sampler</v>
      </c>
      <c r="C21" s="42" t="s">
        <v>253</v>
      </c>
      <c r="D21" s="42" t="s">
        <v>62</v>
      </c>
      <c r="E21" s="324" t="s">
        <v>63</v>
      </c>
      <c r="F21" s="254">
        <f>VLOOKUP($E21,[2]Adj_NPDC_HCA_Input!$B$5:$E$42,2,FALSE)</f>
        <v>326516.22010949999</v>
      </c>
      <c r="G21" s="255">
        <f>VLOOKUP($E21,[2]Adj_NPDC_HCA_Input!$B$5:$E$42,3,FALSE)</f>
        <v>0.58906312374453995</v>
      </c>
      <c r="H21" s="256">
        <f t="shared" si="24"/>
        <v>192338.66457096185</v>
      </c>
      <c r="I21" s="256">
        <f t="shared" si="25"/>
        <v>134177.55553853814</v>
      </c>
      <c r="J21" s="257" t="str">
        <f>[2]Adj_NPDC_HCA_Input!G20</f>
        <v>LACT</v>
      </c>
      <c r="K21" s="257">
        <f>IF(J21="LACT",[2]Adj_NPDC_HCA_Input!$T$4,[2]Adj_NPDC_HCA_Input!$Y$4)</f>
        <v>1</v>
      </c>
      <c r="L21" s="257">
        <f>IF(J21="Non-LACT",VLOOKUP([2]Adj_NPDC_HCA_Input!J20,[2]Adj_NPDC_HCA_Input!$X$4:$Y$7,2,FALSE),VLOOKUP([2]Adj_NPDC_HCA_Input!J20,[2]Adj_NPDC_HCA_Input!$S$4:$T$7,2,FALSE))</f>
        <v>0.98</v>
      </c>
      <c r="M21" s="258">
        <f>IF([2]Adj_NPDC_HCA_Input!M20="No",[2]Adj_NPDC_HCA_Input!$S$32,1)</f>
        <v>1</v>
      </c>
      <c r="N21" s="259">
        <f>IF([2]Adj_NPDC_HCA_Input!K20="Yes",1,0.99)</f>
        <v>1</v>
      </c>
      <c r="O21" s="259" t="str">
        <f>[2]Adj_NPDC_HCA_Input!L20</f>
        <v>No</v>
      </c>
      <c r="P21" s="260">
        <f t="shared" si="26"/>
        <v>319985.89570731</v>
      </c>
      <c r="Q21" s="260">
        <f t="shared" si="61"/>
        <v>188491.89127954261</v>
      </c>
      <c r="R21" s="260">
        <f>IF(B21="Auto Sampler",0,IF($W$77=0,0,IF($W$75&gt;$Q$47,($W$76*(Q21/$W$77)),0)))</f>
        <v>0</v>
      </c>
      <c r="S21" s="260">
        <f t="shared" si="27"/>
        <v>188491.89127954261</v>
      </c>
      <c r="T21" s="260">
        <f t="shared" si="28"/>
        <v>0</v>
      </c>
      <c r="U21" s="260">
        <f t="shared" si="29"/>
        <v>188491.89127954261</v>
      </c>
      <c r="V21" s="260">
        <f t="shared" si="30"/>
        <v>131494.00442776739</v>
      </c>
      <c r="W21" s="260">
        <f t="shared" si="31"/>
        <v>6530.3244021899882</v>
      </c>
      <c r="X21" s="260">
        <f t="shared" si="32"/>
        <v>3846.7732914192311</v>
      </c>
      <c r="Y21" s="260">
        <f t="shared" si="32"/>
        <v>2683.5511107707571</v>
      </c>
      <c r="Z21" s="260">
        <f t="shared" ca="1" si="33"/>
        <v>-694.82111395383163</v>
      </c>
      <c r="AA21" s="260">
        <f ca="1">IFERROR(IF(O21="Yes",0,IF(W$81&lt;=0,($W$81*X21/($X$47-$W$92)),($W$81*U21/($U$47-$W$93)))),0)</f>
        <v>-6229.6776709321384</v>
      </c>
      <c r="AB21" s="260">
        <f ca="1">IF(AND(J21="LACT",$W$80&lt;=0),0,IF(O21="Yes",0,IF($W$80&lt;=0,($W$80*Y21/($Y$47-$W$89-$W$97)),($W$80*V21/($V$47-$W$98)))))</f>
        <v>5534.8565569783068</v>
      </c>
      <c r="AC21" s="260">
        <f t="shared" ca="1" si="35"/>
        <v>320680.71682126384</v>
      </c>
      <c r="AD21" s="260">
        <f t="shared" ca="1" si="36"/>
        <v>194721.56895047476</v>
      </c>
      <c r="AE21" s="260">
        <f t="shared" ca="1" si="36"/>
        <v>125959.14787078908</v>
      </c>
      <c r="AF21" s="259"/>
      <c r="AG21" s="261">
        <f t="shared" ca="1" si="2"/>
        <v>0.93874975859588827</v>
      </c>
      <c r="AH21" s="262">
        <f t="shared" si="3"/>
        <v>1.9999999999999907E-2</v>
      </c>
      <c r="AI21" s="263" t="str">
        <f t="shared" si="4"/>
        <v>WEST-NPDC/FHN</v>
      </c>
      <c r="AJ21" s="264">
        <f t="shared" ca="1" si="62"/>
        <v>125959.14787078908</v>
      </c>
      <c r="AK21" s="264">
        <f t="shared" ca="1" si="5"/>
        <v>194721.56895047476</v>
      </c>
      <c r="AL21" s="265">
        <f t="shared" ca="1" si="6"/>
        <v>5534.8565569783068</v>
      </c>
      <c r="AM21" s="265">
        <f t="shared" ca="1" si="37"/>
        <v>-6229.6776709321384</v>
      </c>
      <c r="AN21" s="264">
        <f t="shared" si="7"/>
        <v>2683.5511107707571</v>
      </c>
      <c r="AO21" s="264">
        <f t="shared" si="8"/>
        <v>134177.55553853814</v>
      </c>
      <c r="AP21" s="264">
        <f t="shared" si="38"/>
        <v>131494.00442776739</v>
      </c>
      <c r="AQ21" s="264">
        <f t="shared" si="39"/>
        <v>188491.89127954261</v>
      </c>
      <c r="AR21" s="264">
        <f t="shared" si="9"/>
        <v>192338.66457096185</v>
      </c>
      <c r="AS21" s="264">
        <f t="shared" si="40"/>
        <v>131494.00442776739</v>
      </c>
      <c r="AT21" s="264">
        <f t="shared" si="68"/>
        <v>188491.89127954261</v>
      </c>
      <c r="AU21" s="264">
        <f t="shared" si="68"/>
        <v>0</v>
      </c>
      <c r="AV21" t="s">
        <v>63</v>
      </c>
      <c r="AW21" t="s">
        <v>63</v>
      </c>
      <c r="AX21" s="296">
        <f t="shared" si="41"/>
        <v>326516.22010949999</v>
      </c>
      <c r="AY21" s="297">
        <f t="shared" si="42"/>
        <v>134177.55553853814</v>
      </c>
      <c r="AZ21" s="298">
        <f t="shared" si="43"/>
        <v>192338.66457096185</v>
      </c>
      <c r="BA21" s="296">
        <f t="shared" si="44"/>
        <v>319985.89570731</v>
      </c>
      <c r="BB21" s="297">
        <f t="shared" si="45"/>
        <v>131494.00442776739</v>
      </c>
      <c r="BC21" s="299">
        <f t="shared" si="46"/>
        <v>0.58906312374453995</v>
      </c>
      <c r="BD21" s="300">
        <f t="shared" si="47"/>
        <v>188491.89127954261</v>
      </c>
      <c r="BE21" s="301"/>
      <c r="BF21" s="302">
        <f t="shared" ref="BF21:BF42" si="70">S21</f>
        <v>188491.89127954261</v>
      </c>
      <c r="BG21" s="303">
        <f t="shared" si="48"/>
        <v>131494.00442776739</v>
      </c>
      <c r="BH21" s="304">
        <f t="shared" ca="1" si="49"/>
        <v>194721.56895047476</v>
      </c>
      <c r="BI21" s="305">
        <f t="shared" ca="1" si="50"/>
        <v>125959.14787078908</v>
      </c>
      <c r="BJ21" t="s">
        <v>287</v>
      </c>
      <c r="BK21" s="320">
        <f t="shared" si="51"/>
        <v>2683.5511107707571</v>
      </c>
      <c r="BM21">
        <f>BM19*BN21</f>
        <v>35.48890515747761</v>
      </c>
      <c r="BN21">
        <v>2</v>
      </c>
      <c r="BO21" s="321">
        <f t="shared" si="52"/>
        <v>0</v>
      </c>
      <c r="BY21" s="395"/>
      <c r="CA21" s="378"/>
      <c r="CB21" s="396"/>
      <c r="CC21" s="396"/>
      <c r="CD21" s="396"/>
      <c r="CE21" s="396"/>
      <c r="CF21" s="396"/>
      <c r="CG21" s="396"/>
      <c r="CH21" s="396"/>
      <c r="CI21" s="396"/>
      <c r="CJ21" s="396"/>
      <c r="CK21" s="396"/>
      <c r="CL21" s="396"/>
      <c r="CM21" s="396"/>
      <c r="CU21" s="397" t="s">
        <v>288</v>
      </c>
      <c r="CV21" s="398">
        <f>'[2]Oil Allocated summary'!K33</f>
        <v>446417</v>
      </c>
      <c r="CW21" s="398">
        <f>'[2]Oil Allocated summary'!K34</f>
        <v>29365</v>
      </c>
      <c r="CX21" s="398">
        <f>'[2]Oil Allocated summary'!H33</f>
        <v>427626.37855418434</v>
      </c>
      <c r="CY21" s="398">
        <f>'[2]Oil Allocated summary'!H34</f>
        <v>29365</v>
      </c>
      <c r="CZ21" s="398">
        <f>'[2]Oil Allocated summary'!I33</f>
        <v>0</v>
      </c>
      <c r="DA21" s="398">
        <f>'[2]Oil Allocated summary'!I34</f>
        <v>0</v>
      </c>
      <c r="DB21" s="398">
        <f>'[2]Oil Allocated summary'!J33</f>
        <v>18790.621445815654</v>
      </c>
      <c r="DC21" s="399">
        <f ca="1">$DC$11*CW21/$CW$11</f>
        <v>0</v>
      </c>
      <c r="DD21" s="400">
        <f t="shared" si="66"/>
        <v>8727.0689500852604</v>
      </c>
      <c r="DE21" s="401">
        <f t="shared" si="66"/>
        <v>0</v>
      </c>
      <c r="DF21" s="402">
        <f t="shared" si="67"/>
        <v>436353.4475042696</v>
      </c>
      <c r="DG21" s="403">
        <f t="shared" si="67"/>
        <v>29365</v>
      </c>
      <c r="DH21" s="404">
        <v>0</v>
      </c>
      <c r="DI21" s="405">
        <v>0</v>
      </c>
      <c r="DJ21" s="404">
        <v>0</v>
      </c>
      <c r="DK21" s="405">
        <v>0</v>
      </c>
      <c r="DL21" s="404">
        <v>8727.0689500852604</v>
      </c>
      <c r="DM21" s="405">
        <v>0</v>
      </c>
    </row>
    <row r="22" spans="2:117" ht="26.25" customHeight="1">
      <c r="B22" s="394" t="str">
        <f>[2]Adj_NPDC_HCA_Input!N21</f>
        <v>Auto Sampler</v>
      </c>
      <c r="C22" s="323" t="s">
        <v>256</v>
      </c>
      <c r="D22" s="42" t="s">
        <v>66</v>
      </c>
      <c r="E22" s="324" t="str">
        <f>[2]Adj_NPDC_HCA_Input!B21</f>
        <v>Afiesere</v>
      </c>
      <c r="F22" s="254">
        <f>VLOOKUP($E22,[2]Adj_NPDC_HCA_Input!$B$5:$E$42,2,FALSE)</f>
        <v>789098.51870000002</v>
      </c>
      <c r="G22" s="255">
        <f>VLOOKUP($E22,[2]Adj_NPDC_HCA_Input!$B$5:$E$42,3,FALSE)</f>
        <v>0.75127577286123726</v>
      </c>
      <c r="H22" s="256">
        <f t="shared" si="24"/>
        <v>592830.59950000001</v>
      </c>
      <c r="I22" s="256">
        <f t="shared" si="25"/>
        <v>196267.9192</v>
      </c>
      <c r="J22" s="257" t="str">
        <f>[2]Adj_NPDC_HCA_Input!G21</f>
        <v>Non-LACT</v>
      </c>
      <c r="K22" s="257">
        <f>IF(J22="LACT",[2]Adj_NPDC_HCA_Input!$T$4,[2]Adj_NPDC_HCA_Input!$Y$4)</f>
        <v>0.99</v>
      </c>
      <c r="L22" s="257">
        <f>IF(J22="Non-LACT",VLOOKUP([2]Adj_NPDC_HCA_Input!J21,[2]Adj_NPDC_HCA_Input!$X$4:$Y$7,2,FALSE),VLOOKUP([2]Adj_NPDC_HCA_Input!J21,[2]Adj_NPDC_HCA_Input!$S$4:$T$7,2,FALSE))</f>
        <v>0.99</v>
      </c>
      <c r="M22" s="258">
        <f>IF([2]Adj_NPDC_HCA_Input!M21="No",[2]Adj_NPDC_HCA_Input!$S$32,1)</f>
        <v>1</v>
      </c>
      <c r="N22" s="259">
        <f>IF([2]Adj_NPDC_HCA_Input!K21="Yes",1,0.99)</f>
        <v>1</v>
      </c>
      <c r="O22" s="259" t="str">
        <f>[2]Adj_NPDC_HCA_Input!L21</f>
        <v>No</v>
      </c>
      <c r="P22" s="260">
        <f t="shared" si="26"/>
        <v>773395.45817787002</v>
      </c>
      <c r="Q22" s="260">
        <f t="shared" si="61"/>
        <v>581033.27056994999</v>
      </c>
      <c r="R22" s="260">
        <f t="shared" ref="R22:R42" si="71">IF(B22="Auto Sampler",0,IF($W$77=0,0,IF($W$75&gt;$Q$47,($W$76*(Q22/$W$77)),0)))</f>
        <v>0</v>
      </c>
      <c r="S22" s="260">
        <f t="shared" si="27"/>
        <v>581033.27056994999</v>
      </c>
      <c r="T22" s="260">
        <f t="shared" si="28"/>
        <v>0</v>
      </c>
      <c r="U22" s="260">
        <f t="shared" si="29"/>
        <v>581033.27056994999</v>
      </c>
      <c r="V22" s="260">
        <f t="shared" si="30"/>
        <v>192362.18760792003</v>
      </c>
      <c r="W22" s="260">
        <f>F22-P22</f>
        <v>15703.060522129992</v>
      </c>
      <c r="X22" s="260">
        <f t="shared" si="32"/>
        <v>11797.328930050018</v>
      </c>
      <c r="Y22" s="260">
        <f t="shared" si="32"/>
        <v>3905.7315920799738</v>
      </c>
      <c r="Z22" s="260">
        <f t="shared" ca="1" si="33"/>
        <v>-11008.322529365152</v>
      </c>
      <c r="AA22" s="260">
        <f t="shared" ref="AA22:AA42" ca="1" si="72">IFERROR(IF(O22="Yes",0,IF(W$81&lt;=0,($W$81*X22/($X$47-$W$92)),($W$81*U22/($U$47-$W$93)))),0)</f>
        <v>-19105.24770880365</v>
      </c>
      <c r="AB22" s="260">
        <f ca="1">IF(AND(J22="LACT",$W$80&lt;=0),0,IF(O22="Yes",0,IF($W$80&lt;=0,($W$80*Y22/($Y$47-$W$89-$W$97)),($W$80*V22/($V$47-$W$98)))))</f>
        <v>8096.9251794384991</v>
      </c>
      <c r="AC22" s="260">
        <f t="shared" ca="1" si="35"/>
        <v>784403.78070723522</v>
      </c>
      <c r="AD22" s="260">
        <f t="shared" ca="1" si="36"/>
        <v>600138.51827875362</v>
      </c>
      <c r="AE22" s="260">
        <f t="shared" ca="1" si="36"/>
        <v>184265.26242848154</v>
      </c>
      <c r="AF22" s="259"/>
      <c r="AG22" s="261">
        <f t="shared" ca="1" si="2"/>
        <v>0.93884554938758191</v>
      </c>
      <c r="AH22" s="262">
        <f t="shared" si="3"/>
        <v>1.9899999999999918E-2</v>
      </c>
      <c r="AI22" s="263" t="str">
        <f t="shared" si="4"/>
        <v>WEST-NPDC/Heritage</v>
      </c>
      <c r="AJ22" s="264">
        <f ca="1">AE22</f>
        <v>184265.26242848154</v>
      </c>
      <c r="AK22" s="264">
        <f t="shared" ca="1" si="5"/>
        <v>600138.51827875362</v>
      </c>
      <c r="AL22" s="265">
        <f t="shared" ca="1" si="6"/>
        <v>8096.9251794384991</v>
      </c>
      <c r="AM22" s="265">
        <f t="shared" ca="1" si="37"/>
        <v>-19105.24770880365</v>
      </c>
      <c r="AN22" s="264">
        <f t="shared" si="7"/>
        <v>3905.7315920799738</v>
      </c>
      <c r="AO22" s="264">
        <f>I22</f>
        <v>196267.9192</v>
      </c>
      <c r="AP22" s="264">
        <f t="shared" si="38"/>
        <v>192362.18760792003</v>
      </c>
      <c r="AQ22" s="264">
        <f t="shared" si="39"/>
        <v>581033.27056994999</v>
      </c>
      <c r="AR22" s="264">
        <f t="shared" si="9"/>
        <v>592830.59950000001</v>
      </c>
      <c r="AS22" s="264">
        <f t="shared" si="40"/>
        <v>192362.18760792003</v>
      </c>
      <c r="AT22" s="264">
        <f t="shared" si="68"/>
        <v>581033.27056994999</v>
      </c>
      <c r="AU22" s="264">
        <f t="shared" si="68"/>
        <v>0</v>
      </c>
      <c r="AV22" s="378" t="str">
        <f>E22</f>
        <v>Afiesere</v>
      </c>
      <c r="AW22" s="378" t="s">
        <v>67</v>
      </c>
      <c r="AX22" s="296">
        <f t="shared" si="41"/>
        <v>789098.51870000002</v>
      </c>
      <c r="AY22" s="297">
        <f t="shared" si="42"/>
        <v>196267.9192</v>
      </c>
      <c r="AZ22" s="298">
        <f t="shared" si="43"/>
        <v>592830.59950000001</v>
      </c>
      <c r="BA22" s="296">
        <f t="shared" si="44"/>
        <v>773395.45817787002</v>
      </c>
      <c r="BB22" s="297">
        <f t="shared" si="45"/>
        <v>192362.18760792003</v>
      </c>
      <c r="BC22" s="299">
        <f t="shared" si="46"/>
        <v>0.75127577286123726</v>
      </c>
      <c r="BD22" s="300">
        <f t="shared" si="47"/>
        <v>581033.27056994999</v>
      </c>
      <c r="BE22" s="406"/>
      <c r="BF22" s="302">
        <f t="shared" si="70"/>
        <v>581033.27056994999</v>
      </c>
      <c r="BG22" s="303">
        <f t="shared" si="48"/>
        <v>192362.18760792003</v>
      </c>
      <c r="BH22" s="304">
        <f t="shared" ca="1" si="49"/>
        <v>600138.51827875362</v>
      </c>
      <c r="BI22" s="305">
        <f t="shared" ca="1" si="50"/>
        <v>184265.26242848154</v>
      </c>
      <c r="BJ22" s="378" t="s">
        <v>289</v>
      </c>
      <c r="BK22" s="320">
        <f t="shared" si="51"/>
        <v>3905.7315920799738</v>
      </c>
      <c r="BL22" s="378"/>
      <c r="BM22" s="378">
        <f>BM19*BN22</f>
        <v>30.87534748700552</v>
      </c>
      <c r="BN22" s="378">
        <v>1.74</v>
      </c>
      <c r="BO22" s="321">
        <f t="shared" si="52"/>
        <v>0</v>
      </c>
      <c r="BP22" s="378"/>
      <c r="BQ22" s="378"/>
      <c r="BR22" s="378"/>
      <c r="BS22" s="378"/>
      <c r="BT22" s="378"/>
      <c r="BU22" s="378"/>
      <c r="BV22" s="378"/>
      <c r="BW22" s="378"/>
      <c r="BX22" s="378"/>
      <c r="BY22" s="378"/>
      <c r="BZ22" s="407" t="s">
        <v>290</v>
      </c>
      <c r="CA22" s="378"/>
      <c r="CB22" s="396"/>
      <c r="CC22" s="396"/>
      <c r="CD22" s="408"/>
      <c r="CE22" s="408"/>
      <c r="CF22" s="378"/>
      <c r="CG22" s="378"/>
      <c r="CH22" s="378"/>
      <c r="CI22" s="378"/>
      <c r="CU22" s="409" t="s">
        <v>291</v>
      </c>
      <c r="CV22" s="410"/>
      <c r="CW22" s="411"/>
      <c r="CX22" s="411"/>
      <c r="CY22" s="411"/>
      <c r="CZ22" s="411"/>
      <c r="DA22" s="411"/>
      <c r="DB22" s="411"/>
      <c r="DC22" s="411"/>
      <c r="DD22" s="411"/>
      <c r="DE22" s="411"/>
      <c r="DF22" s="147"/>
      <c r="DG22" s="412"/>
      <c r="DH22" s="413"/>
      <c r="DI22" s="413"/>
      <c r="DJ22" s="413"/>
      <c r="DK22" s="413"/>
      <c r="DL22" s="413"/>
      <c r="DM22" s="413"/>
    </row>
    <row r="23" spans="2:117" ht="25.5" customHeight="1">
      <c r="B23" s="394" t="str">
        <f>[2]Adj_NPDC_HCA_Input!N22</f>
        <v>Auto Sampler</v>
      </c>
      <c r="C23" s="323" t="s">
        <v>256</v>
      </c>
      <c r="D23" s="42" t="s">
        <v>66</v>
      </c>
      <c r="E23" s="414" t="str">
        <f>[2]Adj_NPDC_HCA_Input!B22</f>
        <v>Eriemu LACT (Eriemu, Olomoro, Oweh &amp; Uzere)</v>
      </c>
      <c r="F23" s="254">
        <f>VLOOKUP($E23,[2]Adj_NPDC_HCA_Input!$B$5:$E$42,2,FALSE)</f>
        <v>2704176.8040999998</v>
      </c>
      <c r="G23" s="255">
        <f>VLOOKUP($E23,[2]Adj_NPDC_HCA_Input!$B$5:$E$42,3,FALSE)</f>
        <v>0.73705216544202512</v>
      </c>
      <c r="H23" s="256">
        <f t="shared" si="24"/>
        <v>1993119.3691999998</v>
      </c>
      <c r="I23" s="256">
        <f t="shared" si="25"/>
        <v>711057.43489999999</v>
      </c>
      <c r="J23" s="257" t="str">
        <f>[2]Adj_NPDC_HCA_Input!G22</f>
        <v>LACT</v>
      </c>
      <c r="K23" s="257">
        <f>IF(J23="LACT",[2]Adj_NPDC_HCA_Input!$T$4,[2]Adj_NPDC_HCA_Input!$Y$4)</f>
        <v>1</v>
      </c>
      <c r="L23" s="257">
        <f>IF(J23="Non-LACT",VLOOKUP([2]Adj_NPDC_HCA_Input!J22,[2]Adj_NPDC_HCA_Input!$X$4:$Y$7,2,FALSE),VLOOKUP([2]Adj_NPDC_HCA_Input!J22,[2]Adj_NPDC_HCA_Input!$S$4:$T$7,2,FALSE))</f>
        <v>0.98</v>
      </c>
      <c r="M23" s="258">
        <f>IF([2]Adj_NPDC_HCA_Input!M22="No",[2]Adj_NPDC_HCA_Input!$S$32,1)</f>
        <v>1</v>
      </c>
      <c r="N23" s="259">
        <f>IF([2]Adj_NPDC_HCA_Input!K22="Yes",1,0.99)</f>
        <v>1</v>
      </c>
      <c r="O23" s="259" t="str">
        <f>[2]Adj_NPDC_HCA_Input!L22</f>
        <v>No</v>
      </c>
      <c r="P23" s="260">
        <f t="shared" si="26"/>
        <v>2650093.2680179998</v>
      </c>
      <c r="Q23" s="260">
        <f t="shared" si="61"/>
        <v>1953256.9818159998</v>
      </c>
      <c r="R23" s="260">
        <f t="shared" si="71"/>
        <v>0</v>
      </c>
      <c r="S23" s="260">
        <f t="shared" si="27"/>
        <v>1953256.9818159998</v>
      </c>
      <c r="T23" s="260">
        <f t="shared" si="28"/>
        <v>0</v>
      </c>
      <c r="U23" s="260">
        <f>T23+Q23</f>
        <v>1953256.9818159998</v>
      </c>
      <c r="V23" s="260">
        <f t="shared" si="30"/>
        <v>696836.28620199999</v>
      </c>
      <c r="W23" s="260">
        <f>F23-P23</f>
        <v>54083.536082000006</v>
      </c>
      <c r="X23" s="260">
        <f t="shared" si="32"/>
        <v>39862.387384000001</v>
      </c>
      <c r="Y23" s="260">
        <f t="shared" si="32"/>
        <v>14221.148698000005</v>
      </c>
      <c r="Z23" s="260">
        <f t="shared" ca="1" si="33"/>
        <v>-35224.066540459738</v>
      </c>
      <c r="AA23" s="260">
        <f t="shared" ca="1" si="72"/>
        <v>-64555.357382273192</v>
      </c>
      <c r="AB23" s="260">
        <f ca="1">IF(AND(J23="LACT",$W$80&lt;=0),0,IF(O23="Yes",0,IF($W$80&lt;=0,($W$80*Y23/($Y$47-$W$89-$W$97)),($W$80*V23/($V$47-$W$98)))))</f>
        <v>29331.290841813454</v>
      </c>
      <c r="AC23" s="260">
        <f t="shared" ca="1" si="35"/>
        <v>2685317.3345584595</v>
      </c>
      <c r="AD23" s="260">
        <f t="shared" ca="1" si="36"/>
        <v>2017812.3391982731</v>
      </c>
      <c r="AE23" s="260">
        <f t="shared" ca="1" si="36"/>
        <v>667504.99536018656</v>
      </c>
      <c r="AF23" s="259"/>
      <c r="AG23" s="261">
        <f t="shared" ca="1" si="2"/>
        <v>0.93874975859588827</v>
      </c>
      <c r="AH23" s="262">
        <f t="shared" si="3"/>
        <v>2.0000000000000018E-2</v>
      </c>
      <c r="AI23" s="263" t="str">
        <f t="shared" si="4"/>
        <v>WEST-NPDC/Heritage</v>
      </c>
      <c r="AJ23" s="264">
        <f t="shared" ca="1" si="62"/>
        <v>667504.99536018656</v>
      </c>
      <c r="AK23" s="264">
        <f t="shared" ca="1" si="5"/>
        <v>2017812.3391982731</v>
      </c>
      <c r="AL23" s="265">
        <f t="shared" ca="1" si="6"/>
        <v>29331.290841813454</v>
      </c>
      <c r="AM23" s="265">
        <f t="shared" ca="1" si="37"/>
        <v>-64555.357382273192</v>
      </c>
      <c r="AN23" s="264">
        <f t="shared" si="7"/>
        <v>14221.148698000005</v>
      </c>
      <c r="AO23" s="264">
        <f t="shared" si="8"/>
        <v>711057.43489999999</v>
      </c>
      <c r="AP23" s="264">
        <f t="shared" si="38"/>
        <v>696836.28620199999</v>
      </c>
      <c r="AQ23" s="264">
        <f t="shared" si="39"/>
        <v>1953256.9818159998</v>
      </c>
      <c r="AR23" s="264">
        <f t="shared" si="9"/>
        <v>1993119.3691999998</v>
      </c>
      <c r="AS23" s="264">
        <f t="shared" si="40"/>
        <v>696836.28620199999</v>
      </c>
      <c r="AT23" s="264">
        <f t="shared" si="68"/>
        <v>1953256.9818159998</v>
      </c>
      <c r="AU23" s="264">
        <f t="shared" si="68"/>
        <v>0</v>
      </c>
      <c r="AV23" s="415" t="str">
        <f t="shared" ref="AV23:AV29" si="73">E23</f>
        <v>Eriemu LACT (Eriemu, Olomoro, Oweh &amp; Uzere)</v>
      </c>
      <c r="AW23" s="378" t="s">
        <v>292</v>
      </c>
      <c r="AX23" s="296">
        <f t="shared" si="41"/>
        <v>2704176.8040999998</v>
      </c>
      <c r="AY23" s="297">
        <f t="shared" si="42"/>
        <v>711057.43489999999</v>
      </c>
      <c r="AZ23" s="298">
        <f t="shared" si="43"/>
        <v>1993119.3691999998</v>
      </c>
      <c r="BA23" s="296">
        <f t="shared" si="44"/>
        <v>2650093.2680179998</v>
      </c>
      <c r="BB23" s="297">
        <f t="shared" si="45"/>
        <v>696836.28620199999</v>
      </c>
      <c r="BC23" s="299">
        <f t="shared" si="46"/>
        <v>0.73705216544202512</v>
      </c>
      <c r="BD23" s="300">
        <f t="shared" si="47"/>
        <v>1953256.9818159998</v>
      </c>
      <c r="BE23" s="406"/>
      <c r="BF23" s="302">
        <f t="shared" si="70"/>
        <v>1953256.9818159998</v>
      </c>
      <c r="BG23" s="303">
        <f t="shared" si="48"/>
        <v>696836.28620199999</v>
      </c>
      <c r="BH23" s="304">
        <f t="shared" ca="1" si="49"/>
        <v>2017812.3391982731</v>
      </c>
      <c r="BI23" s="305">
        <f t="shared" ca="1" si="50"/>
        <v>667504.99536018656</v>
      </c>
      <c r="BJ23" s="378" t="s">
        <v>293</v>
      </c>
      <c r="BK23" s="320">
        <f t="shared" si="51"/>
        <v>14221.148698000005</v>
      </c>
      <c r="BL23" s="378"/>
      <c r="BM23" s="378"/>
      <c r="BN23" s="378"/>
      <c r="BO23" s="321">
        <f t="shared" si="52"/>
        <v>0</v>
      </c>
      <c r="BP23" s="378"/>
      <c r="BQ23" s="378"/>
      <c r="BR23" s="378"/>
      <c r="BS23" s="378"/>
      <c r="BT23" s="378"/>
      <c r="BU23" s="378"/>
      <c r="BV23" s="378"/>
      <c r="BW23" s="378"/>
      <c r="BX23" s="378"/>
      <c r="BY23" s="378"/>
      <c r="BZ23" s="378"/>
      <c r="CA23" s="378"/>
      <c r="CB23" s="396"/>
      <c r="CC23" s="396"/>
      <c r="CD23" s="408"/>
      <c r="CE23" s="408"/>
      <c r="CF23" s="378"/>
      <c r="CG23" s="416"/>
      <c r="CH23" s="378"/>
      <c r="CI23" s="378"/>
      <c r="CU23" s="417" t="s">
        <v>294</v>
      </c>
      <c r="CV23" s="418"/>
      <c r="CW23" s="419"/>
      <c r="CX23" s="419"/>
      <c r="CY23" s="419"/>
      <c r="CZ23" s="419"/>
      <c r="DA23" s="419"/>
      <c r="DB23" s="419"/>
      <c r="DC23" s="419"/>
      <c r="DD23" s="419"/>
      <c r="DE23" s="419"/>
      <c r="DF23" s="419"/>
      <c r="DG23" s="420"/>
      <c r="DH23" s="421"/>
      <c r="DI23" s="421"/>
      <c r="DJ23" s="421"/>
      <c r="DK23" s="421"/>
      <c r="DL23" s="421"/>
      <c r="DM23" s="421"/>
    </row>
    <row r="24" spans="2:117" ht="29.25" customHeight="1" thickBot="1">
      <c r="B24" s="394" t="str">
        <f>[2]Adj_NPDC_HCA_Input!N23</f>
        <v>Auto Sampler</v>
      </c>
      <c r="C24" s="323" t="s">
        <v>256</v>
      </c>
      <c r="D24" s="42" t="s">
        <v>66</v>
      </c>
      <c r="E24" s="324" t="str">
        <f>[2]Adj_NPDC_HCA_Input!B23</f>
        <v>Osioka  LACT (Evwreni &amp; Oroni)</v>
      </c>
      <c r="F24" s="254">
        <f>VLOOKUP($E24,[2]Adj_NPDC_HCA_Input!$B$5:$E$42,2,FALSE)</f>
        <v>105758.99210000002</v>
      </c>
      <c r="G24" s="255">
        <f>VLOOKUP($E24,[2]Adj_NPDC_HCA_Input!$B$5:$E$42,3,FALSE)</f>
        <v>0.35923439648589484</v>
      </c>
      <c r="H24" s="256">
        <f t="shared" si="24"/>
        <v>37992.267700000026</v>
      </c>
      <c r="I24" s="256">
        <f t="shared" si="25"/>
        <v>67766.724399999992</v>
      </c>
      <c r="J24" s="257" t="str">
        <f>[2]Adj_NPDC_HCA_Input!G23</f>
        <v>LACT</v>
      </c>
      <c r="K24" s="257">
        <f>IF(J24="LACT",[2]Adj_NPDC_HCA_Input!$T$4,[2]Adj_NPDC_HCA_Input!$Y$4)</f>
        <v>1</v>
      </c>
      <c r="L24" s="257">
        <f>IF(J24="Non-LACT",VLOOKUP([2]Adj_NPDC_HCA_Input!J23,[2]Adj_NPDC_HCA_Input!$X$4:$Y$7,2,FALSE),VLOOKUP([2]Adj_NPDC_HCA_Input!J23,[2]Adj_NPDC_HCA_Input!$S$4:$T$7,2,FALSE))</f>
        <v>1</v>
      </c>
      <c r="M24" s="258">
        <f>IF([2]Adj_NPDC_HCA_Input!M23="No",[2]Adj_NPDC_HCA_Input!$S$32,1)</f>
        <v>1</v>
      </c>
      <c r="N24" s="259">
        <f>IF([2]Adj_NPDC_HCA_Input!K23="Yes",1,0.99)</f>
        <v>1</v>
      </c>
      <c r="O24" s="259" t="str">
        <f>[2]Adj_NPDC_HCA_Input!L23</f>
        <v>No</v>
      </c>
      <c r="P24" s="260">
        <f t="shared" si="26"/>
        <v>105758.99210000002</v>
      </c>
      <c r="Q24" s="260">
        <f t="shared" si="61"/>
        <v>37992.267700000026</v>
      </c>
      <c r="R24" s="260">
        <f t="shared" si="71"/>
        <v>0</v>
      </c>
      <c r="S24" s="260">
        <f t="shared" si="27"/>
        <v>37992.267700000026</v>
      </c>
      <c r="T24" s="260">
        <f t="shared" si="28"/>
        <v>0</v>
      </c>
      <c r="U24" s="260">
        <f t="shared" si="29"/>
        <v>37992.267700000026</v>
      </c>
      <c r="V24" s="260">
        <f t="shared" si="30"/>
        <v>67766.724399999992</v>
      </c>
      <c r="W24" s="260">
        <f t="shared" si="31"/>
        <v>0</v>
      </c>
      <c r="X24" s="260">
        <f t="shared" si="32"/>
        <v>0</v>
      </c>
      <c r="Y24" s="260">
        <f t="shared" si="32"/>
        <v>0</v>
      </c>
      <c r="Z24" s="260">
        <f t="shared" ca="1" si="33"/>
        <v>2852.4425925162323</v>
      </c>
      <c r="AA24" s="260">
        <f t="shared" ca="1" si="72"/>
        <v>0</v>
      </c>
      <c r="AB24" s="260">
        <f t="shared" ref="AB24:AB42" ca="1" si="74">IF(AND(J24="LACT",$W$80&lt;=0),0,IF(O24="Yes",0,IF($W$80&lt;=0,($W$80*Y24/($Y$47-$W$89-$W$97)),($W$80*V24/($V$47-$W$98)))))</f>
        <v>2852.4425925162323</v>
      </c>
      <c r="AC24" s="260">
        <f t="shared" ca="1" si="35"/>
        <v>102906.54950748378</v>
      </c>
      <c r="AD24" s="260">
        <f t="shared" ca="1" si="36"/>
        <v>37992.267700000026</v>
      </c>
      <c r="AE24" s="260">
        <f t="shared" ca="1" si="36"/>
        <v>64914.281807483756</v>
      </c>
      <c r="AF24" s="259"/>
      <c r="AG24" s="261">
        <f t="shared" ca="1" si="2"/>
        <v>0.95790791693457977</v>
      </c>
      <c r="AH24" s="262">
        <f t="shared" si="3"/>
        <v>0</v>
      </c>
      <c r="AI24" s="263" t="str">
        <f t="shared" si="4"/>
        <v>WEST-NPDC/Heritage</v>
      </c>
      <c r="AJ24" s="264">
        <f t="shared" ca="1" si="62"/>
        <v>64914.281807483756</v>
      </c>
      <c r="AK24" s="264">
        <f t="shared" ca="1" si="5"/>
        <v>37992.267700000026</v>
      </c>
      <c r="AL24" s="265">
        <f t="shared" ca="1" si="6"/>
        <v>2852.4425925162323</v>
      </c>
      <c r="AM24" s="265">
        <f t="shared" ca="1" si="37"/>
        <v>0</v>
      </c>
      <c r="AN24" s="264">
        <f t="shared" si="7"/>
        <v>0</v>
      </c>
      <c r="AO24" s="264">
        <f t="shared" si="8"/>
        <v>67766.724399999992</v>
      </c>
      <c r="AP24" s="264">
        <f t="shared" si="38"/>
        <v>67766.724399999992</v>
      </c>
      <c r="AQ24" s="264">
        <f t="shared" si="39"/>
        <v>37992.267700000026</v>
      </c>
      <c r="AR24" s="264">
        <f t="shared" si="9"/>
        <v>37992.267700000026</v>
      </c>
      <c r="AS24" s="264">
        <f t="shared" si="40"/>
        <v>67766.724399999992</v>
      </c>
      <c r="AT24" s="264">
        <f t="shared" si="68"/>
        <v>37992.267700000026</v>
      </c>
      <c r="AU24" s="264">
        <f t="shared" si="68"/>
        <v>0</v>
      </c>
      <c r="AV24" s="378" t="str">
        <f t="shared" si="73"/>
        <v>Osioka  LACT (Evwreni &amp; Oroni)</v>
      </c>
      <c r="AW24" s="378" t="s">
        <v>295</v>
      </c>
      <c r="AX24" s="296">
        <f t="shared" si="41"/>
        <v>105758.99210000002</v>
      </c>
      <c r="AY24" s="297">
        <f t="shared" si="42"/>
        <v>67766.724399999992</v>
      </c>
      <c r="AZ24" s="298">
        <f t="shared" si="43"/>
        <v>37992.267700000026</v>
      </c>
      <c r="BA24" s="296">
        <f t="shared" si="44"/>
        <v>105758.99210000002</v>
      </c>
      <c r="BB24" s="297">
        <f t="shared" si="45"/>
        <v>67766.724399999992</v>
      </c>
      <c r="BC24" s="299">
        <f t="shared" si="46"/>
        <v>0.35923439648589484</v>
      </c>
      <c r="BD24" s="300">
        <f t="shared" si="47"/>
        <v>37992.267700000026</v>
      </c>
      <c r="BE24" s="406"/>
      <c r="BF24" s="302">
        <f t="shared" si="70"/>
        <v>37992.267700000026</v>
      </c>
      <c r="BG24" s="303">
        <f t="shared" si="48"/>
        <v>67766.724399999992</v>
      </c>
      <c r="BH24" s="304">
        <f t="shared" ca="1" si="49"/>
        <v>37992.267700000026</v>
      </c>
      <c r="BI24" s="305">
        <f t="shared" ca="1" si="50"/>
        <v>64914.281807483756</v>
      </c>
      <c r="BJ24" s="378" t="s">
        <v>296</v>
      </c>
      <c r="BK24" s="320">
        <f t="shared" si="51"/>
        <v>0</v>
      </c>
      <c r="BL24" s="378"/>
      <c r="BM24" s="378"/>
      <c r="BN24" s="378"/>
      <c r="BO24" s="321">
        <f t="shared" si="52"/>
        <v>0</v>
      </c>
      <c r="BP24" s="378"/>
      <c r="BQ24" s="378"/>
      <c r="BR24" s="378"/>
      <c r="BS24" s="378"/>
      <c r="BT24" s="378"/>
      <c r="BU24" s="378"/>
      <c r="BV24" s="378"/>
      <c r="BW24" s="378"/>
      <c r="BX24" s="378"/>
      <c r="BY24" s="378"/>
      <c r="BZ24" s="422"/>
      <c r="CA24" s="422"/>
      <c r="CB24" s="396"/>
      <c r="CC24" s="396"/>
      <c r="CD24" s="423"/>
      <c r="CE24" s="408"/>
      <c r="CF24" s="378"/>
      <c r="CG24" s="378"/>
      <c r="CH24" s="378"/>
      <c r="CI24" s="378"/>
      <c r="CU24" s="417" t="s">
        <v>297</v>
      </c>
      <c r="CV24" s="424"/>
      <c r="CW24" s="425"/>
      <c r="CX24" s="425"/>
      <c r="CY24" s="425"/>
      <c r="CZ24" s="425"/>
      <c r="DA24" s="425"/>
      <c r="DB24" s="425"/>
      <c r="DC24" s="425"/>
      <c r="DD24" s="425"/>
      <c r="DE24" s="425"/>
      <c r="DF24" s="425"/>
      <c r="DG24" s="426"/>
      <c r="DH24" s="421"/>
      <c r="DI24" s="421"/>
      <c r="DJ24" s="421"/>
      <c r="DK24" s="421"/>
      <c r="DL24" s="421"/>
      <c r="DM24" s="421"/>
    </row>
    <row r="25" spans="2:117" ht="23.15" customHeight="1" thickBot="1">
      <c r="B25" s="394" t="str">
        <f>[2]Adj_NPDC_HCA_Input!N24</f>
        <v>Auto Sampler</v>
      </c>
      <c r="C25" s="323" t="s">
        <v>256</v>
      </c>
      <c r="D25" s="42" t="s">
        <v>66</v>
      </c>
      <c r="E25" s="324" t="str">
        <f>[2]Adj_NPDC_HCA_Input!B24</f>
        <v>Kokori</v>
      </c>
      <c r="F25" s="254">
        <f>VLOOKUP($E25,[2]Adj_NPDC_HCA_Input!$B$5:$E$42,2,FALSE)</f>
        <v>674893.18800000008</v>
      </c>
      <c r="G25" s="255">
        <f>VLOOKUP($E25,[2]Adj_NPDC_HCA_Input!$B$5:$E$42,3,FALSE)</f>
        <v>0.76159225835896271</v>
      </c>
      <c r="H25" s="256">
        <f t="shared" si="24"/>
        <v>513993.42720000003</v>
      </c>
      <c r="I25" s="256">
        <f t="shared" si="25"/>
        <v>160899.76080000005</v>
      </c>
      <c r="J25" s="257" t="str">
        <f>[2]Adj_NPDC_HCA_Input!G24</f>
        <v>Non-LACT</v>
      </c>
      <c r="K25" s="257">
        <f>IF(J25="LACT",[2]Adj_NPDC_HCA_Input!$T$4,[2]Adj_NPDC_HCA_Input!$Y$4)</f>
        <v>0.99</v>
      </c>
      <c r="L25" s="257">
        <f>IF(J25="Non-LACT",VLOOKUP([2]Adj_NPDC_HCA_Input!J24,[2]Adj_NPDC_HCA_Input!$X$4:$Y$7,2,FALSE),VLOOKUP([2]Adj_NPDC_HCA_Input!J24,[2]Adj_NPDC_HCA_Input!$S$4:$T$7,2,FALSE))</f>
        <v>0.99</v>
      </c>
      <c r="M25" s="258">
        <f>IF([2]Adj_NPDC_HCA_Input!M24="No",[2]Adj_NPDC_HCA_Input!$S$32,1)</f>
        <v>1</v>
      </c>
      <c r="N25" s="259">
        <f>IF([2]Adj_NPDC_HCA_Input!K24="Yes",1,0.99)</f>
        <v>1</v>
      </c>
      <c r="O25" s="259" t="str">
        <f>[2]Adj_NPDC_HCA_Input!L24</f>
        <v>No</v>
      </c>
      <c r="P25" s="260">
        <f t="shared" si="26"/>
        <v>661462.81355880003</v>
      </c>
      <c r="Q25" s="260">
        <f t="shared" si="61"/>
        <v>503764.95799872</v>
      </c>
      <c r="R25" s="260">
        <f t="shared" si="71"/>
        <v>0</v>
      </c>
      <c r="S25" s="260">
        <f t="shared" si="27"/>
        <v>503764.95799872</v>
      </c>
      <c r="T25" s="260">
        <f t="shared" si="28"/>
        <v>0</v>
      </c>
      <c r="U25" s="260">
        <f t="shared" si="29"/>
        <v>503764.95799872</v>
      </c>
      <c r="V25" s="260">
        <f t="shared" si="30"/>
        <v>157697.85556008003</v>
      </c>
      <c r="W25" s="260">
        <f t="shared" si="31"/>
        <v>13430.374441200052</v>
      </c>
      <c r="X25" s="260">
        <f t="shared" si="32"/>
        <v>10228.469201280037</v>
      </c>
      <c r="Y25" s="260">
        <f t="shared" si="32"/>
        <v>3201.9052399200154</v>
      </c>
      <c r="Z25" s="260">
        <f t="shared" ca="1" si="33"/>
        <v>-9926.7181579539356</v>
      </c>
      <c r="AA25" s="260">
        <f t="shared" ca="1" si="72"/>
        <v>-16564.549393427449</v>
      </c>
      <c r="AB25" s="260">
        <f t="shared" ca="1" si="74"/>
        <v>6637.8312354735135</v>
      </c>
      <c r="AC25" s="260">
        <f t="shared" ca="1" si="35"/>
        <v>671389.53171675396</v>
      </c>
      <c r="AD25" s="260">
        <f t="shared" ca="1" si="36"/>
        <v>520329.50739214744</v>
      </c>
      <c r="AE25" s="260">
        <f t="shared" ca="1" si="36"/>
        <v>151060.02432460652</v>
      </c>
      <c r="AF25" s="259"/>
      <c r="AG25" s="261">
        <f t="shared" ca="1" si="2"/>
        <v>0.93884554938758169</v>
      </c>
      <c r="AH25" s="262">
        <f t="shared" si="3"/>
        <v>1.990000000000014E-2</v>
      </c>
      <c r="AI25" s="263" t="str">
        <f t="shared" si="4"/>
        <v>WEST-NPDC/Heritage</v>
      </c>
      <c r="AJ25" s="264">
        <f ca="1">AE25</f>
        <v>151060.02432460652</v>
      </c>
      <c r="AK25" s="264">
        <f t="shared" ca="1" si="5"/>
        <v>520329.50739214744</v>
      </c>
      <c r="AL25" s="265">
        <f t="shared" ca="1" si="6"/>
        <v>6637.8312354735135</v>
      </c>
      <c r="AM25" s="265">
        <f t="shared" ca="1" si="37"/>
        <v>-16564.549393427449</v>
      </c>
      <c r="AN25" s="264">
        <f t="shared" si="7"/>
        <v>3201.9052399200154</v>
      </c>
      <c r="AO25" s="264">
        <f>I25</f>
        <v>160899.76080000005</v>
      </c>
      <c r="AP25" s="264">
        <f t="shared" si="38"/>
        <v>157697.85556008003</v>
      </c>
      <c r="AQ25" s="264">
        <f t="shared" si="39"/>
        <v>503764.95799872</v>
      </c>
      <c r="AR25" s="264">
        <f t="shared" si="9"/>
        <v>513993.42720000003</v>
      </c>
      <c r="AS25" s="264">
        <f t="shared" si="40"/>
        <v>157697.85556008003</v>
      </c>
      <c r="AT25" s="264">
        <f t="shared" si="68"/>
        <v>503764.95799872</v>
      </c>
      <c r="AU25" s="264">
        <f t="shared" si="68"/>
        <v>0</v>
      </c>
      <c r="AV25" s="378" t="str">
        <f t="shared" si="73"/>
        <v>Kokori</v>
      </c>
      <c r="AW25" s="378" t="s">
        <v>74</v>
      </c>
      <c r="AX25" s="296">
        <f t="shared" si="41"/>
        <v>674893.18800000008</v>
      </c>
      <c r="AY25" s="297">
        <f t="shared" si="42"/>
        <v>160899.76080000005</v>
      </c>
      <c r="AZ25" s="298">
        <f t="shared" si="43"/>
        <v>513993.42720000003</v>
      </c>
      <c r="BA25" s="296">
        <f t="shared" si="44"/>
        <v>661462.81355880003</v>
      </c>
      <c r="BB25" s="297">
        <f t="shared" si="45"/>
        <v>157697.85556008</v>
      </c>
      <c r="BC25" s="299">
        <f t="shared" si="46"/>
        <v>0.76159225835896271</v>
      </c>
      <c r="BD25" s="300">
        <f t="shared" si="47"/>
        <v>503764.95799872</v>
      </c>
      <c r="BE25" s="406"/>
      <c r="BF25" s="302">
        <f t="shared" si="70"/>
        <v>503764.95799872</v>
      </c>
      <c r="BG25" s="303">
        <f t="shared" si="48"/>
        <v>157697.85556008003</v>
      </c>
      <c r="BH25" s="304">
        <f t="shared" ca="1" si="49"/>
        <v>520329.50739214744</v>
      </c>
      <c r="BI25" s="305">
        <f t="shared" ca="1" si="50"/>
        <v>151060.02432460652</v>
      </c>
      <c r="BJ25" s="378" t="s">
        <v>298</v>
      </c>
      <c r="BK25" s="320">
        <f t="shared" si="51"/>
        <v>3201.9052399200446</v>
      </c>
      <c r="BL25" s="378"/>
      <c r="BM25" s="378"/>
      <c r="BN25" s="378"/>
      <c r="BO25" s="321">
        <f t="shared" si="52"/>
        <v>0</v>
      </c>
      <c r="BP25" s="378"/>
      <c r="BQ25" s="378"/>
      <c r="BR25" s="378"/>
      <c r="BS25" s="378"/>
      <c r="BT25" s="378"/>
      <c r="BU25" s="378"/>
      <c r="BV25" s="378"/>
      <c r="BW25" s="378"/>
      <c r="BX25" s="378"/>
      <c r="BY25" s="378"/>
      <c r="BZ25" s="427" t="s">
        <v>253</v>
      </c>
      <c r="CA25" s="422"/>
      <c r="CB25" s="428"/>
      <c r="CC25" s="396"/>
      <c r="CD25" s="408"/>
      <c r="CE25" s="408"/>
      <c r="CF25" s="378"/>
      <c r="CG25" s="378"/>
      <c r="CH25" s="378"/>
      <c r="CI25" s="378"/>
      <c r="CU25" s="429"/>
      <c r="CV25" s="430"/>
      <c r="CW25" s="430"/>
      <c r="CX25" s="430"/>
      <c r="CY25" s="430"/>
      <c r="CZ25" s="430"/>
      <c r="DA25" s="430"/>
      <c r="DB25" s="430"/>
      <c r="DC25" s="430"/>
      <c r="DD25" s="430"/>
      <c r="DE25" s="430"/>
      <c r="DF25" s="430"/>
      <c r="DG25" s="431"/>
      <c r="DH25" s="421"/>
      <c r="DI25" s="421"/>
      <c r="DJ25" s="421"/>
      <c r="DK25" s="421"/>
      <c r="DL25" s="421"/>
      <c r="DM25" s="421"/>
    </row>
    <row r="26" spans="2:117" ht="23.15" customHeight="1" thickBot="1">
      <c r="B26" s="394" t="str">
        <f>[2]Adj_NPDC_HCA_Input!N25</f>
        <v>Auto Sampler</v>
      </c>
      <c r="C26" s="323" t="s">
        <v>256</v>
      </c>
      <c r="D26" s="42" t="s">
        <v>66</v>
      </c>
      <c r="E26" s="324" t="str">
        <f>[2]Adj_NPDC_HCA_Input!B25</f>
        <v>Olomoro</v>
      </c>
      <c r="F26" s="254">
        <f>VLOOKUP($E26,[2]Adj_NPDC_HCA_Input!$B$5:$E$42,2,FALSE)</f>
        <v>0</v>
      </c>
      <c r="G26" s="255">
        <f>VLOOKUP($E26,[2]Adj_NPDC_HCA_Input!$B$5:$E$42,3,FALSE)</f>
        <v>0</v>
      </c>
      <c r="H26" s="256">
        <f t="shared" si="24"/>
        <v>0</v>
      </c>
      <c r="I26" s="256">
        <f t="shared" si="25"/>
        <v>0</v>
      </c>
      <c r="J26" s="257" t="str">
        <f>[2]Adj_NPDC_HCA_Input!G25</f>
        <v>Non-LACT</v>
      </c>
      <c r="K26" s="257">
        <f>IF(J26="LACT",[2]Adj_NPDC_HCA_Input!$T$4,[2]Adj_NPDC_HCA_Input!$Y$4)</f>
        <v>0.99</v>
      </c>
      <c r="L26" s="257">
        <f>IF(J26="Non-LACT",VLOOKUP([2]Adj_NPDC_HCA_Input!J25,[2]Adj_NPDC_HCA_Input!$X$4:$Y$7,2,FALSE),VLOOKUP([2]Adj_NPDC_HCA_Input!J25,[2]Adj_NPDC_HCA_Input!$S$4:$T$7,2,FALSE))</f>
        <v>0.98</v>
      </c>
      <c r="M26" s="258">
        <f>IF([2]Adj_NPDC_HCA_Input!M25="No",[2]Adj_NPDC_HCA_Input!$S$32,1)</f>
        <v>1</v>
      </c>
      <c r="N26" s="259">
        <f>IF([2]Adj_NPDC_HCA_Input!K25="Yes",1,0.99)</f>
        <v>1</v>
      </c>
      <c r="O26" s="259" t="str">
        <f>[2]Adj_NPDC_HCA_Input!L25</f>
        <v>No</v>
      </c>
      <c r="P26" s="260">
        <f t="shared" si="26"/>
        <v>0</v>
      </c>
      <c r="Q26" s="260">
        <f t="shared" si="61"/>
        <v>0</v>
      </c>
      <c r="R26" s="260">
        <f t="shared" si="71"/>
        <v>0</v>
      </c>
      <c r="S26" s="260">
        <f t="shared" si="27"/>
        <v>0</v>
      </c>
      <c r="T26" s="260">
        <f t="shared" si="28"/>
        <v>0</v>
      </c>
      <c r="U26" s="260">
        <f t="shared" si="29"/>
        <v>0</v>
      </c>
      <c r="V26" s="260">
        <f t="shared" si="30"/>
        <v>0</v>
      </c>
      <c r="W26" s="260">
        <f t="shared" si="31"/>
        <v>0</v>
      </c>
      <c r="X26" s="260">
        <f t="shared" si="32"/>
        <v>0</v>
      </c>
      <c r="Y26" s="260">
        <f t="shared" si="32"/>
        <v>0</v>
      </c>
      <c r="Z26" s="260">
        <f t="shared" ca="1" si="33"/>
        <v>0</v>
      </c>
      <c r="AA26" s="260">
        <f t="shared" ca="1" si="72"/>
        <v>0</v>
      </c>
      <c r="AB26" s="260">
        <f t="shared" ca="1" si="74"/>
        <v>0</v>
      </c>
      <c r="AC26" s="260">
        <f t="shared" ca="1" si="35"/>
        <v>0</v>
      </c>
      <c r="AD26" s="260">
        <f t="shared" ca="1" si="36"/>
        <v>0</v>
      </c>
      <c r="AE26" s="260">
        <f t="shared" ca="1" si="36"/>
        <v>0</v>
      </c>
      <c r="AF26" s="259"/>
      <c r="AG26" s="261">
        <f t="shared" ca="1" si="2"/>
        <v>0</v>
      </c>
      <c r="AH26" s="262" t="str">
        <f t="shared" si="3"/>
        <v>No Production</v>
      </c>
      <c r="AI26" s="263" t="str">
        <f t="shared" si="4"/>
        <v>WEST-NPDC/Heritage</v>
      </c>
      <c r="AJ26" s="264">
        <f ca="1">AE26</f>
        <v>0</v>
      </c>
      <c r="AK26" s="264">
        <f t="shared" ca="1" si="5"/>
        <v>0</v>
      </c>
      <c r="AL26" s="265">
        <f t="shared" ca="1" si="6"/>
        <v>0</v>
      </c>
      <c r="AM26" s="265">
        <f t="shared" ca="1" si="37"/>
        <v>0</v>
      </c>
      <c r="AN26" s="264">
        <f t="shared" si="7"/>
        <v>0</v>
      </c>
      <c r="AO26" s="264">
        <f>I26</f>
        <v>0</v>
      </c>
      <c r="AP26" s="264">
        <f t="shared" si="38"/>
        <v>0</v>
      </c>
      <c r="AQ26" s="264">
        <f t="shared" si="39"/>
        <v>0</v>
      </c>
      <c r="AR26" s="264">
        <f t="shared" si="9"/>
        <v>0</v>
      </c>
      <c r="AS26" s="264">
        <f t="shared" si="40"/>
        <v>0</v>
      </c>
      <c r="AT26" s="264">
        <f t="shared" si="68"/>
        <v>0</v>
      </c>
      <c r="AU26" s="264">
        <f t="shared" si="68"/>
        <v>0</v>
      </c>
      <c r="AV26" s="378" t="str">
        <f t="shared" si="73"/>
        <v>Olomoro</v>
      </c>
      <c r="AW26" s="378" t="s">
        <v>75</v>
      </c>
      <c r="AX26" s="296">
        <f t="shared" si="41"/>
        <v>0</v>
      </c>
      <c r="AY26" s="297">
        <f t="shared" si="42"/>
        <v>0</v>
      </c>
      <c r="AZ26" s="298">
        <f t="shared" si="43"/>
        <v>0</v>
      </c>
      <c r="BA26" s="296">
        <f t="shared" si="44"/>
        <v>0</v>
      </c>
      <c r="BB26" s="297">
        <f t="shared" si="45"/>
        <v>0</v>
      </c>
      <c r="BC26" s="299">
        <f t="shared" si="46"/>
        <v>0</v>
      </c>
      <c r="BD26" s="300">
        <f t="shared" si="47"/>
        <v>0</v>
      </c>
      <c r="BE26" s="406"/>
      <c r="BF26" s="302">
        <f t="shared" si="70"/>
        <v>0</v>
      </c>
      <c r="BG26" s="303">
        <f t="shared" si="48"/>
        <v>0</v>
      </c>
      <c r="BH26" s="304">
        <f t="shared" ca="1" si="49"/>
        <v>0</v>
      </c>
      <c r="BI26" s="305">
        <f t="shared" ca="1" si="50"/>
        <v>0</v>
      </c>
      <c r="BJ26" s="378" t="s">
        <v>299</v>
      </c>
      <c r="BK26" s="320">
        <f t="shared" si="51"/>
        <v>0</v>
      </c>
      <c r="BL26" s="378"/>
      <c r="BM26" s="378"/>
      <c r="BN26" s="378"/>
      <c r="BO26" s="321">
        <f t="shared" si="52"/>
        <v>0</v>
      </c>
      <c r="BP26" s="378"/>
      <c r="BQ26" s="378"/>
      <c r="BR26" s="378"/>
      <c r="BS26" s="378"/>
      <c r="BT26" s="378"/>
      <c r="BU26" s="378"/>
      <c r="BV26" s="378"/>
      <c r="BW26" s="378"/>
      <c r="BX26" s="378"/>
      <c r="BY26" s="378"/>
      <c r="BZ26" s="427" t="s">
        <v>256</v>
      </c>
      <c r="CA26" s="422"/>
      <c r="CB26" s="428"/>
      <c r="CC26" s="396"/>
      <c r="CD26" s="408"/>
      <c r="CE26" s="408"/>
      <c r="CF26" s="378"/>
      <c r="CG26" s="416"/>
      <c r="CH26" s="378"/>
      <c r="CI26" s="378"/>
      <c r="CU26" s="432" t="s">
        <v>300</v>
      </c>
      <c r="CV26" s="433"/>
      <c r="CW26" s="433"/>
      <c r="CX26" s="433"/>
      <c r="CY26" s="433"/>
      <c r="CZ26" s="433"/>
      <c r="DA26" s="434"/>
      <c r="DB26" s="433"/>
      <c r="DC26" s="434"/>
      <c r="DD26" s="434"/>
      <c r="DE26" s="434"/>
      <c r="DF26" s="434"/>
      <c r="DG26" s="435"/>
      <c r="DH26" s="421"/>
      <c r="DI26" s="421"/>
      <c r="DJ26" s="421"/>
      <c r="DK26" s="421"/>
      <c r="DL26" s="421"/>
      <c r="DM26" s="421"/>
    </row>
    <row r="27" spans="2:117" ht="23.15" customHeight="1">
      <c r="B27" s="394" t="str">
        <f>[2]Adj_NPDC_HCA_Input!N26</f>
        <v>Auto Sampler</v>
      </c>
      <c r="C27" s="323" t="s">
        <v>256</v>
      </c>
      <c r="D27" s="42" t="s">
        <v>66</v>
      </c>
      <c r="E27" s="324" t="str">
        <f>[2]Adj_NPDC_HCA_Input!B26</f>
        <v>Oroni</v>
      </c>
      <c r="F27" s="254">
        <f>VLOOKUP($E27,[2]Adj_NPDC_HCA_Input!$B$5:$E$42,2,FALSE)</f>
        <v>0</v>
      </c>
      <c r="G27" s="255">
        <f>VLOOKUP($E27,[2]Adj_NPDC_HCA_Input!$B$5:$E$42,3,FALSE)</f>
        <v>0</v>
      </c>
      <c r="H27" s="256">
        <f t="shared" si="24"/>
        <v>0</v>
      </c>
      <c r="I27" s="256">
        <f t="shared" si="25"/>
        <v>0</v>
      </c>
      <c r="J27" s="257" t="str">
        <f>[2]Adj_NPDC_HCA_Input!G26</f>
        <v>Non-LACT</v>
      </c>
      <c r="K27" s="257">
        <f>IF(J27="LACT",[2]Adj_NPDC_HCA_Input!$T$4,[2]Adj_NPDC_HCA_Input!$Y$4)</f>
        <v>0.99</v>
      </c>
      <c r="L27" s="257">
        <f>IF(J27="Non-LACT",VLOOKUP([2]Adj_NPDC_HCA_Input!J26,[2]Adj_NPDC_HCA_Input!$X$4:$Y$7,2,FALSE),VLOOKUP([2]Adj_NPDC_HCA_Input!J26,[2]Adj_NPDC_HCA_Input!$S$4:$T$7,2,FALSE))</f>
        <v>0.98</v>
      </c>
      <c r="M27" s="258">
        <f>IF([2]Adj_NPDC_HCA_Input!M26="No",[2]Adj_NPDC_HCA_Input!$S$32,1)</f>
        <v>1</v>
      </c>
      <c r="N27" s="259">
        <f>IF([2]Adj_NPDC_HCA_Input!K26="Yes",1,0.99)</f>
        <v>1</v>
      </c>
      <c r="O27" s="259" t="str">
        <f>[2]Adj_NPDC_HCA_Input!L26</f>
        <v>No</v>
      </c>
      <c r="P27" s="260">
        <f t="shared" si="26"/>
        <v>0</v>
      </c>
      <c r="Q27" s="260">
        <f t="shared" si="61"/>
        <v>0</v>
      </c>
      <c r="R27" s="260">
        <f t="shared" si="71"/>
        <v>0</v>
      </c>
      <c r="S27" s="260">
        <f t="shared" si="27"/>
        <v>0</v>
      </c>
      <c r="T27" s="260">
        <f t="shared" si="28"/>
        <v>0</v>
      </c>
      <c r="U27" s="260">
        <f t="shared" si="29"/>
        <v>0</v>
      </c>
      <c r="V27" s="260">
        <f t="shared" si="30"/>
        <v>0</v>
      </c>
      <c r="W27" s="260">
        <f t="shared" si="31"/>
        <v>0</v>
      </c>
      <c r="X27" s="260">
        <f t="shared" si="32"/>
        <v>0</v>
      </c>
      <c r="Y27" s="260">
        <f t="shared" si="32"/>
        <v>0</v>
      </c>
      <c r="Z27" s="260">
        <f t="shared" ca="1" si="33"/>
        <v>0</v>
      </c>
      <c r="AA27" s="260">
        <f t="shared" ca="1" si="72"/>
        <v>0</v>
      </c>
      <c r="AB27" s="260">
        <f t="shared" ca="1" si="74"/>
        <v>0</v>
      </c>
      <c r="AC27" s="260">
        <f t="shared" ca="1" si="35"/>
        <v>0</v>
      </c>
      <c r="AD27" s="260">
        <f t="shared" ca="1" si="36"/>
        <v>0</v>
      </c>
      <c r="AE27" s="260">
        <f t="shared" ca="1" si="36"/>
        <v>0</v>
      </c>
      <c r="AF27" s="259"/>
      <c r="AG27" s="261">
        <f t="shared" ca="1" si="2"/>
        <v>0</v>
      </c>
      <c r="AH27" s="262" t="str">
        <f t="shared" si="3"/>
        <v>No Production</v>
      </c>
      <c r="AI27" s="263" t="str">
        <f t="shared" si="4"/>
        <v>WEST-NPDC/Heritage</v>
      </c>
      <c r="AJ27" s="264">
        <f t="shared" ca="1" si="62"/>
        <v>0</v>
      </c>
      <c r="AK27" s="264">
        <f ca="1">AD27</f>
        <v>0</v>
      </c>
      <c r="AL27" s="265">
        <f t="shared" ca="1" si="6"/>
        <v>0</v>
      </c>
      <c r="AM27" s="265">
        <f t="shared" ca="1" si="37"/>
        <v>0</v>
      </c>
      <c r="AN27" s="264">
        <f t="shared" si="7"/>
        <v>0</v>
      </c>
      <c r="AO27" s="264">
        <f t="shared" si="8"/>
        <v>0</v>
      </c>
      <c r="AP27" s="264">
        <f t="shared" si="38"/>
        <v>0</v>
      </c>
      <c r="AQ27" s="264">
        <f t="shared" si="39"/>
        <v>0</v>
      </c>
      <c r="AR27" s="264">
        <f t="shared" si="9"/>
        <v>0</v>
      </c>
      <c r="AS27" s="264">
        <f t="shared" si="40"/>
        <v>0</v>
      </c>
      <c r="AT27" s="264">
        <f t="shared" si="68"/>
        <v>0</v>
      </c>
      <c r="AU27" s="264">
        <f t="shared" si="68"/>
        <v>0</v>
      </c>
      <c r="AV27" s="378" t="str">
        <f t="shared" si="73"/>
        <v>Oroni</v>
      </c>
      <c r="AW27" s="378" t="s">
        <v>77</v>
      </c>
      <c r="AX27" s="296">
        <f t="shared" si="41"/>
        <v>0</v>
      </c>
      <c r="AY27" s="297">
        <f t="shared" si="42"/>
        <v>0</v>
      </c>
      <c r="AZ27" s="298">
        <f t="shared" si="43"/>
        <v>0</v>
      </c>
      <c r="BA27" s="296">
        <f t="shared" si="44"/>
        <v>0</v>
      </c>
      <c r="BB27" s="297">
        <f t="shared" si="45"/>
        <v>0</v>
      </c>
      <c r="BC27" s="299">
        <f t="shared" si="46"/>
        <v>0</v>
      </c>
      <c r="BD27" s="300">
        <f t="shared" si="47"/>
        <v>0</v>
      </c>
      <c r="BE27" s="406"/>
      <c r="BF27" s="302">
        <f t="shared" si="70"/>
        <v>0</v>
      </c>
      <c r="BG27" s="303">
        <f t="shared" si="48"/>
        <v>0</v>
      </c>
      <c r="BH27" s="304">
        <f t="shared" ca="1" si="49"/>
        <v>0</v>
      </c>
      <c r="BI27" s="305">
        <f t="shared" ca="1" si="50"/>
        <v>0</v>
      </c>
      <c r="BJ27" s="378" t="s">
        <v>301</v>
      </c>
      <c r="BK27" s="320">
        <f t="shared" si="51"/>
        <v>0</v>
      </c>
      <c r="BL27" s="378"/>
      <c r="BM27" s="378"/>
      <c r="BN27" s="378"/>
      <c r="BO27" s="321">
        <f t="shared" si="52"/>
        <v>0</v>
      </c>
      <c r="BP27" s="378"/>
      <c r="BQ27" s="378"/>
      <c r="BR27" s="378"/>
      <c r="BS27" s="378"/>
      <c r="BT27" s="378"/>
      <c r="BU27" s="378"/>
      <c r="BV27" s="378"/>
      <c r="BW27" s="378"/>
      <c r="BX27" s="378"/>
      <c r="BY27" s="378"/>
      <c r="BZ27" s="427" t="s">
        <v>259</v>
      </c>
      <c r="CA27" s="422"/>
      <c r="CB27" s="428"/>
      <c r="CC27" s="396"/>
      <c r="CD27" s="408"/>
      <c r="CE27" s="408"/>
      <c r="CF27" s="378"/>
      <c r="CG27" s="378"/>
      <c r="CH27" s="378"/>
      <c r="CI27" s="378"/>
      <c r="CU27" s="436" t="s">
        <v>302</v>
      </c>
      <c r="CV27" s="437"/>
      <c r="CW27" s="438"/>
      <c r="CX27" s="439"/>
      <c r="CY27" s="599" t="s">
        <v>264</v>
      </c>
      <c r="CZ27" s="600"/>
      <c r="DA27" s="440"/>
      <c r="DB27" s="439"/>
      <c r="DC27" s="599" t="s">
        <v>303</v>
      </c>
      <c r="DD27" s="600"/>
      <c r="DE27" s="430"/>
      <c r="DF27" s="431"/>
      <c r="DG27" s="435"/>
      <c r="DH27" s="421"/>
      <c r="DI27" s="421"/>
      <c r="DJ27" s="421"/>
      <c r="DK27" s="421"/>
      <c r="DL27" s="421"/>
      <c r="DM27" s="421"/>
    </row>
    <row r="28" spans="2:117" ht="23.15" customHeight="1">
      <c r="B28" s="394" t="str">
        <f>[2]Adj_NPDC_HCA_Input!N27</f>
        <v>Auto Sampler</v>
      </c>
      <c r="C28" s="323" t="s">
        <v>256</v>
      </c>
      <c r="D28" s="42" t="s">
        <v>66</v>
      </c>
      <c r="E28" s="324" t="str">
        <f>[2]Adj_NPDC_HCA_Input!B27</f>
        <v>Oweh</v>
      </c>
      <c r="F28" s="254">
        <f>VLOOKUP($E28,[2]Adj_NPDC_HCA_Input!$B$5:$E$42,2,FALSE)</f>
        <v>0</v>
      </c>
      <c r="G28" s="255">
        <f>VLOOKUP($E28,[2]Adj_NPDC_HCA_Input!$B$5:$E$42,3,FALSE)</f>
        <v>0</v>
      </c>
      <c r="H28" s="256">
        <f t="shared" si="24"/>
        <v>0</v>
      </c>
      <c r="I28" s="256">
        <f t="shared" si="25"/>
        <v>0</v>
      </c>
      <c r="J28" s="257" t="str">
        <f>[2]Adj_NPDC_HCA_Input!G27</f>
        <v>Non-LACT</v>
      </c>
      <c r="K28" s="257">
        <f>IF(J28="LACT",[2]Adj_NPDC_HCA_Input!$T$4,[2]Adj_NPDC_HCA_Input!$Y$4)</f>
        <v>0.99</v>
      </c>
      <c r="L28" s="257">
        <f>IF(J28="Non-LACT",VLOOKUP([2]Adj_NPDC_HCA_Input!J27,[2]Adj_NPDC_HCA_Input!$X$4:$Y$7,2,FALSE),VLOOKUP([2]Adj_NPDC_HCA_Input!J27,[2]Adj_NPDC_HCA_Input!$S$4:$T$7,2,FALSE))</f>
        <v>0.98</v>
      </c>
      <c r="M28" s="258">
        <f>IF([2]Adj_NPDC_HCA_Input!M27="No",[2]Adj_NPDC_HCA_Input!$S$32,1)</f>
        <v>1</v>
      </c>
      <c r="N28" s="259">
        <f>IF([2]Adj_NPDC_HCA_Input!K27="Yes",1,0.99)</f>
        <v>1</v>
      </c>
      <c r="O28" s="259" t="str">
        <f>[2]Adj_NPDC_HCA_Input!L27</f>
        <v>No</v>
      </c>
      <c r="P28" s="260">
        <f t="shared" si="26"/>
        <v>0</v>
      </c>
      <c r="Q28" s="260">
        <f t="shared" si="61"/>
        <v>0</v>
      </c>
      <c r="R28" s="260">
        <f t="shared" si="71"/>
        <v>0</v>
      </c>
      <c r="S28" s="260">
        <f t="shared" si="27"/>
        <v>0</v>
      </c>
      <c r="T28" s="260">
        <f t="shared" si="28"/>
        <v>0</v>
      </c>
      <c r="U28" s="260">
        <f t="shared" si="29"/>
        <v>0</v>
      </c>
      <c r="V28" s="260">
        <f t="shared" si="30"/>
        <v>0</v>
      </c>
      <c r="W28" s="260">
        <f t="shared" si="31"/>
        <v>0</v>
      </c>
      <c r="X28" s="260">
        <f t="shared" si="32"/>
        <v>0</v>
      </c>
      <c r="Y28" s="260">
        <f t="shared" si="32"/>
        <v>0</v>
      </c>
      <c r="Z28" s="260">
        <f t="shared" ca="1" si="33"/>
        <v>0</v>
      </c>
      <c r="AA28" s="260">
        <f t="shared" ca="1" si="72"/>
        <v>0</v>
      </c>
      <c r="AB28" s="260">
        <f t="shared" ca="1" si="74"/>
        <v>0</v>
      </c>
      <c r="AC28" s="260">
        <f t="shared" ca="1" si="35"/>
        <v>0</v>
      </c>
      <c r="AD28" s="260">
        <f t="shared" ca="1" si="36"/>
        <v>0</v>
      </c>
      <c r="AE28" s="260">
        <f t="shared" ca="1" si="36"/>
        <v>0</v>
      </c>
      <c r="AF28" s="259"/>
      <c r="AG28" s="261">
        <f t="shared" ca="1" si="2"/>
        <v>0</v>
      </c>
      <c r="AH28" s="262" t="str">
        <f t="shared" si="3"/>
        <v>No Production</v>
      </c>
      <c r="AI28" s="263" t="str">
        <f t="shared" si="4"/>
        <v>WEST-NPDC/Heritage</v>
      </c>
      <c r="AJ28" s="264">
        <f t="shared" ca="1" si="62"/>
        <v>0</v>
      </c>
      <c r="AK28" s="264">
        <f t="shared" ca="1" si="5"/>
        <v>0</v>
      </c>
      <c r="AL28" s="265">
        <f t="shared" ca="1" si="6"/>
        <v>0</v>
      </c>
      <c r="AM28" s="265">
        <f t="shared" ca="1" si="37"/>
        <v>0</v>
      </c>
      <c r="AN28" s="264">
        <f t="shared" si="7"/>
        <v>0</v>
      </c>
      <c r="AO28" s="264">
        <f t="shared" si="8"/>
        <v>0</v>
      </c>
      <c r="AP28" s="264">
        <f t="shared" si="38"/>
        <v>0</v>
      </c>
      <c r="AQ28" s="264">
        <f t="shared" si="39"/>
        <v>0</v>
      </c>
      <c r="AR28" s="264">
        <f t="shared" si="9"/>
        <v>0</v>
      </c>
      <c r="AS28" s="264">
        <f t="shared" si="40"/>
        <v>0</v>
      </c>
      <c r="AT28" s="264">
        <f t="shared" si="68"/>
        <v>0</v>
      </c>
      <c r="AU28" s="264">
        <f t="shared" si="68"/>
        <v>0</v>
      </c>
      <c r="AV28" s="378" t="str">
        <f t="shared" si="73"/>
        <v>Oweh</v>
      </c>
      <c r="AW28" s="378" t="s">
        <v>79</v>
      </c>
      <c r="AX28" s="296">
        <f t="shared" si="41"/>
        <v>0</v>
      </c>
      <c r="AY28" s="297">
        <f t="shared" si="42"/>
        <v>0</v>
      </c>
      <c r="AZ28" s="298">
        <f t="shared" si="43"/>
        <v>0</v>
      </c>
      <c r="BA28" s="296">
        <f t="shared" si="44"/>
        <v>0</v>
      </c>
      <c r="BB28" s="297">
        <f t="shared" si="45"/>
        <v>0</v>
      </c>
      <c r="BC28" s="299">
        <f t="shared" si="46"/>
        <v>0</v>
      </c>
      <c r="BD28" s="300">
        <f t="shared" si="47"/>
        <v>0</v>
      </c>
      <c r="BE28" s="406"/>
      <c r="BF28" s="302">
        <f t="shared" si="70"/>
        <v>0</v>
      </c>
      <c r="BG28" s="303">
        <f t="shared" si="48"/>
        <v>0</v>
      </c>
      <c r="BH28" s="304">
        <f t="shared" ca="1" si="49"/>
        <v>0</v>
      </c>
      <c r="BI28" s="305">
        <f t="shared" ca="1" si="50"/>
        <v>0</v>
      </c>
      <c r="BJ28" s="378" t="s">
        <v>304</v>
      </c>
      <c r="BK28" s="320">
        <f t="shared" si="51"/>
        <v>0</v>
      </c>
      <c r="BL28" s="378"/>
      <c r="BM28" s="378"/>
      <c r="BN28" s="378"/>
      <c r="BO28" s="321">
        <f t="shared" si="52"/>
        <v>0</v>
      </c>
      <c r="BP28" s="378"/>
      <c r="BQ28" s="378"/>
      <c r="BR28" s="378"/>
      <c r="BS28" s="378"/>
      <c r="BT28" s="378"/>
      <c r="BU28" s="378"/>
      <c r="BV28" s="378"/>
      <c r="BW28" s="378"/>
      <c r="BX28" s="378"/>
      <c r="BY28" s="378"/>
      <c r="BZ28" s="427" t="s">
        <v>263</v>
      </c>
      <c r="CA28" s="422"/>
      <c r="CB28" s="428"/>
      <c r="CC28" s="396"/>
      <c r="CD28" s="408"/>
      <c r="CE28" s="408"/>
      <c r="CF28" s="378"/>
      <c r="CG28" s="378"/>
      <c r="CH28" s="378"/>
      <c r="CI28" s="378"/>
      <c r="CU28" s="441"/>
      <c r="CV28" s="442"/>
      <c r="CW28" s="443"/>
      <c r="CX28" s="439"/>
      <c r="CY28" s="441"/>
      <c r="CZ28" s="442"/>
      <c r="DA28" s="443"/>
      <c r="DB28" s="439"/>
      <c r="DC28" s="444"/>
      <c r="DD28" s="434"/>
      <c r="DE28" s="445"/>
      <c r="DF28" s="435"/>
      <c r="DG28" s="435"/>
      <c r="DH28" s="421"/>
      <c r="DI28" s="421"/>
      <c r="DJ28" s="421"/>
      <c r="DK28" s="421"/>
      <c r="DL28" s="421"/>
      <c r="DM28" s="421"/>
    </row>
    <row r="29" spans="2:117" ht="23.15" customHeight="1" thickBot="1">
      <c r="B29" s="394" t="str">
        <f>[2]Adj_NPDC_HCA_Input!N28</f>
        <v>Auto Sampler</v>
      </c>
      <c r="C29" s="323" t="s">
        <v>256</v>
      </c>
      <c r="D29" s="42" t="s">
        <v>66</v>
      </c>
      <c r="E29" s="324" t="str">
        <f>[2]Adj_NPDC_HCA_Input!B28</f>
        <v>Uzere</v>
      </c>
      <c r="F29" s="254">
        <f>VLOOKUP($E29,[2]Adj_NPDC_HCA_Input!$B$5:$E$42,2,FALSE)</f>
        <v>0</v>
      </c>
      <c r="G29" s="255">
        <f>VLOOKUP($E29,[2]Adj_NPDC_HCA_Input!$B$5:$E$42,3,FALSE)</f>
        <v>0</v>
      </c>
      <c r="H29" s="256">
        <f t="shared" si="24"/>
        <v>0</v>
      </c>
      <c r="I29" s="256">
        <f t="shared" si="25"/>
        <v>0</v>
      </c>
      <c r="J29" s="257" t="str">
        <f>[2]Adj_NPDC_HCA_Input!G28</f>
        <v>Non-LACT</v>
      </c>
      <c r="K29" s="257">
        <f>IF(J29="LACT",[2]Adj_NPDC_HCA_Input!$T$4,[2]Adj_NPDC_HCA_Input!$Y$4)</f>
        <v>0.99</v>
      </c>
      <c r="L29" s="257">
        <f>IF(J29="Non-LACT",VLOOKUP([2]Adj_NPDC_HCA_Input!J28,[2]Adj_NPDC_HCA_Input!$X$4:$Y$7,2,FALSE),VLOOKUP([2]Adj_NPDC_HCA_Input!J28,[2]Adj_NPDC_HCA_Input!$S$4:$T$7,2,FALSE))</f>
        <v>0.98</v>
      </c>
      <c r="M29" s="258">
        <f>IF([2]Adj_NPDC_HCA_Input!M28="No",[2]Adj_NPDC_HCA_Input!$S$32,1)</f>
        <v>1</v>
      </c>
      <c r="N29" s="259">
        <f>IF([2]Adj_NPDC_HCA_Input!K28="Yes",1,0.99)</f>
        <v>1</v>
      </c>
      <c r="O29" s="259" t="str">
        <f>[2]Adj_NPDC_HCA_Input!L28</f>
        <v>No</v>
      </c>
      <c r="P29" s="260">
        <f t="shared" si="26"/>
        <v>0</v>
      </c>
      <c r="Q29" s="260">
        <f t="shared" si="61"/>
        <v>0</v>
      </c>
      <c r="R29" s="260">
        <f t="shared" si="71"/>
        <v>0</v>
      </c>
      <c r="S29" s="260">
        <f t="shared" si="27"/>
        <v>0</v>
      </c>
      <c r="T29" s="260">
        <f t="shared" si="28"/>
        <v>0</v>
      </c>
      <c r="U29" s="260">
        <f t="shared" si="29"/>
        <v>0</v>
      </c>
      <c r="V29" s="260">
        <f t="shared" si="30"/>
        <v>0</v>
      </c>
      <c r="W29" s="260">
        <f t="shared" si="31"/>
        <v>0</v>
      </c>
      <c r="X29" s="260">
        <f t="shared" si="32"/>
        <v>0</v>
      </c>
      <c r="Y29" s="260">
        <f t="shared" si="32"/>
        <v>0</v>
      </c>
      <c r="Z29" s="260">
        <f t="shared" ca="1" si="33"/>
        <v>0</v>
      </c>
      <c r="AA29" s="260">
        <f t="shared" ca="1" si="72"/>
        <v>0</v>
      </c>
      <c r="AB29" s="260">
        <f t="shared" ca="1" si="74"/>
        <v>0</v>
      </c>
      <c r="AC29" s="260">
        <f t="shared" ca="1" si="35"/>
        <v>0</v>
      </c>
      <c r="AD29" s="260">
        <f t="shared" ca="1" si="36"/>
        <v>0</v>
      </c>
      <c r="AE29" s="260">
        <f t="shared" ca="1" si="36"/>
        <v>0</v>
      </c>
      <c r="AF29" s="259"/>
      <c r="AG29" s="261">
        <f t="shared" ca="1" si="2"/>
        <v>0</v>
      </c>
      <c r="AH29" s="262" t="str">
        <f t="shared" si="3"/>
        <v>No Production</v>
      </c>
      <c r="AI29" s="263" t="str">
        <f t="shared" si="4"/>
        <v>WEST-NPDC/Heritage</v>
      </c>
      <c r="AJ29" s="264">
        <f t="shared" ca="1" si="62"/>
        <v>0</v>
      </c>
      <c r="AK29" s="264">
        <f t="shared" ca="1" si="5"/>
        <v>0</v>
      </c>
      <c r="AL29" s="265">
        <f t="shared" ca="1" si="6"/>
        <v>0</v>
      </c>
      <c r="AM29" s="265">
        <f t="shared" ca="1" si="37"/>
        <v>0</v>
      </c>
      <c r="AN29" s="264">
        <f t="shared" si="7"/>
        <v>0</v>
      </c>
      <c r="AO29" s="264">
        <f t="shared" si="8"/>
        <v>0</v>
      </c>
      <c r="AP29" s="264">
        <f t="shared" si="38"/>
        <v>0</v>
      </c>
      <c r="AQ29" s="264">
        <f t="shared" si="39"/>
        <v>0</v>
      </c>
      <c r="AR29" s="264">
        <f t="shared" si="9"/>
        <v>0</v>
      </c>
      <c r="AS29" s="264">
        <f t="shared" si="40"/>
        <v>0</v>
      </c>
      <c r="AT29" s="264">
        <f t="shared" si="68"/>
        <v>0</v>
      </c>
      <c r="AU29" s="264">
        <f t="shared" si="68"/>
        <v>0</v>
      </c>
      <c r="AV29" s="378" t="str">
        <f t="shared" si="73"/>
        <v>Uzere</v>
      </c>
      <c r="AW29" s="378" t="s">
        <v>82</v>
      </c>
      <c r="AX29" s="296">
        <f t="shared" si="41"/>
        <v>0</v>
      </c>
      <c r="AY29" s="297">
        <f t="shared" si="42"/>
        <v>0</v>
      </c>
      <c r="AZ29" s="298">
        <f t="shared" si="43"/>
        <v>0</v>
      </c>
      <c r="BA29" s="296">
        <f t="shared" si="44"/>
        <v>0</v>
      </c>
      <c r="BB29" s="297">
        <f t="shared" si="45"/>
        <v>0</v>
      </c>
      <c r="BC29" s="299">
        <f t="shared" si="46"/>
        <v>0</v>
      </c>
      <c r="BD29" s="300">
        <f t="shared" si="47"/>
        <v>0</v>
      </c>
      <c r="BE29" s="406"/>
      <c r="BF29" s="302">
        <f t="shared" si="70"/>
        <v>0</v>
      </c>
      <c r="BG29" s="303">
        <f t="shared" si="48"/>
        <v>0</v>
      </c>
      <c r="BH29" s="304">
        <f t="shared" ca="1" si="49"/>
        <v>0</v>
      </c>
      <c r="BI29" s="305">
        <f t="shared" ca="1" si="50"/>
        <v>0</v>
      </c>
      <c r="BJ29" s="378" t="s">
        <v>305</v>
      </c>
      <c r="BK29" s="320">
        <f t="shared" si="51"/>
        <v>0</v>
      </c>
      <c r="BL29" s="378"/>
      <c r="BM29" s="378"/>
      <c r="BN29" s="378"/>
      <c r="BO29" s="321">
        <f t="shared" si="52"/>
        <v>0</v>
      </c>
      <c r="BP29" s="378"/>
      <c r="BQ29" s="378"/>
      <c r="BR29" s="378"/>
      <c r="BS29" s="378"/>
      <c r="BT29" s="378"/>
      <c r="BU29" s="378"/>
      <c r="BV29" s="378"/>
      <c r="BW29" s="378"/>
      <c r="BX29" s="378"/>
      <c r="BY29" s="378"/>
      <c r="BZ29" s="127" t="s">
        <v>266</v>
      </c>
      <c r="CA29" s="378"/>
      <c r="CB29" s="428"/>
      <c r="CC29" s="428"/>
      <c r="CD29" s="408"/>
      <c r="CE29" s="408"/>
      <c r="CF29" s="378"/>
      <c r="CG29" s="378"/>
      <c r="CH29" s="378"/>
      <c r="CI29" s="378"/>
      <c r="CU29" s="446"/>
      <c r="CV29" s="447"/>
      <c r="CW29" s="448"/>
      <c r="CX29" s="439"/>
      <c r="CY29" s="449"/>
      <c r="CZ29" s="450"/>
      <c r="DA29" s="448"/>
      <c r="DB29" s="439"/>
      <c r="DC29" s="451"/>
      <c r="DD29" s="425"/>
      <c r="DE29" s="425"/>
      <c r="DF29" s="426"/>
      <c r="DG29" s="435"/>
      <c r="DH29" s="421"/>
      <c r="DI29" s="421"/>
      <c r="DJ29" s="421"/>
      <c r="DK29" s="421"/>
      <c r="DL29" s="421"/>
      <c r="DM29" s="421"/>
    </row>
    <row r="30" spans="2:117" ht="23.15" customHeight="1" thickBot="1">
      <c r="B30" s="394" t="str">
        <f>[2]Adj_NPDC_HCA_Input!N29</f>
        <v>Auto Sampler</v>
      </c>
      <c r="C30" s="323" t="s">
        <v>259</v>
      </c>
      <c r="D30" s="42" t="s">
        <v>83</v>
      </c>
      <c r="E30" s="324" t="s">
        <v>84</v>
      </c>
      <c r="F30" s="254">
        <f>VLOOKUP($E30,[2]Adj_NPDC_HCA_Input!$B$5:$E$42,2,FALSE)</f>
        <v>440470.25247407425</v>
      </c>
      <c r="G30" s="255">
        <f>VLOOKUP($E30,[2]Adj_NPDC_HCA_Input!$B$5:$E$42,3,FALSE)</f>
        <v>0.49558503586557923</v>
      </c>
      <c r="H30" s="256">
        <f t="shared" si="24"/>
        <v>218290.46587008482</v>
      </c>
      <c r="I30" s="256">
        <f t="shared" si="25"/>
        <v>222179.78660398943</v>
      </c>
      <c r="J30" s="257" t="str">
        <f>[2]Adj_NPDC_HCA_Input!G29</f>
        <v>LACT</v>
      </c>
      <c r="K30" s="257">
        <f>IF(J30="LACT",[2]Adj_NPDC_HCA_Input!$T$4,[2]Adj_NPDC_HCA_Input!$Y$4)</f>
        <v>1</v>
      </c>
      <c r="L30" s="257">
        <f>IF(J30="Non-LACT",VLOOKUP([2]Adj_NPDC_HCA_Input!J29,[2]Adj_NPDC_HCA_Input!$X$4:$Y$7,2,FALSE),VLOOKUP([2]Adj_NPDC_HCA_Input!J29,[2]Adj_NPDC_HCA_Input!$S$4:$T$7,2,FALSE))</f>
        <v>1</v>
      </c>
      <c r="M30" s="258">
        <f>IF([2]Adj_NPDC_HCA_Input!M29="No",[2]Adj_NPDC_HCA_Input!$S$32,1)</f>
        <v>1</v>
      </c>
      <c r="N30" s="259">
        <f>IF([2]Adj_NPDC_HCA_Input!K29="Yes",1,0.99)</f>
        <v>1</v>
      </c>
      <c r="O30" s="259" t="str">
        <f>[2]Adj_NPDC_HCA_Input!L29</f>
        <v>No</v>
      </c>
      <c r="P30" s="260">
        <f t="shared" si="26"/>
        <v>440470.25247407425</v>
      </c>
      <c r="Q30" s="260">
        <f t="shared" si="61"/>
        <v>218290.46587008482</v>
      </c>
      <c r="R30" s="260">
        <f t="shared" si="71"/>
        <v>0</v>
      </c>
      <c r="S30" s="260">
        <f t="shared" si="27"/>
        <v>218290.46587008482</v>
      </c>
      <c r="T30" s="260">
        <f t="shared" si="28"/>
        <v>0</v>
      </c>
      <c r="U30" s="260">
        <f t="shared" si="29"/>
        <v>218290.46587008482</v>
      </c>
      <c r="V30" s="260">
        <f t="shared" si="30"/>
        <v>222179.78660398943</v>
      </c>
      <c r="W30" s="260">
        <f t="shared" si="31"/>
        <v>0</v>
      </c>
      <c r="X30" s="260">
        <f t="shared" si="32"/>
        <v>0</v>
      </c>
      <c r="Y30" s="260">
        <f t="shared" si="32"/>
        <v>0</v>
      </c>
      <c r="Z30" s="260">
        <f t="shared" ca="1" si="33"/>
        <v>9352.0100331924405</v>
      </c>
      <c r="AA30" s="260">
        <f t="shared" ca="1" si="72"/>
        <v>0</v>
      </c>
      <c r="AB30" s="260">
        <f t="shared" ca="1" si="74"/>
        <v>9352.0100331924405</v>
      </c>
      <c r="AC30" s="260">
        <f t="shared" ca="1" si="35"/>
        <v>431118.24244088179</v>
      </c>
      <c r="AD30" s="260">
        <f t="shared" ca="1" si="36"/>
        <v>218290.46587008482</v>
      </c>
      <c r="AE30" s="260">
        <f t="shared" ca="1" si="36"/>
        <v>212827.776570797</v>
      </c>
      <c r="AF30" s="259"/>
      <c r="AG30" s="261">
        <f t="shared" ca="1" si="2"/>
        <v>0.95790791693457988</v>
      </c>
      <c r="AH30" s="262">
        <f t="shared" si="3"/>
        <v>0</v>
      </c>
      <c r="AI30" s="263" t="str">
        <f t="shared" si="4"/>
        <v>WEST-NDW</v>
      </c>
      <c r="AJ30" s="264">
        <f t="shared" ca="1" si="62"/>
        <v>212827.776570797</v>
      </c>
      <c r="AK30" s="264">
        <f t="shared" ca="1" si="5"/>
        <v>218290.46587008482</v>
      </c>
      <c r="AL30" s="265">
        <f ca="1">AB30</f>
        <v>9352.0100331924405</v>
      </c>
      <c r="AM30" s="265">
        <f t="shared" ca="1" si="37"/>
        <v>0</v>
      </c>
      <c r="AN30" s="264">
        <f t="shared" si="7"/>
        <v>0</v>
      </c>
      <c r="AO30" s="264">
        <f t="shared" si="8"/>
        <v>222179.78660398943</v>
      </c>
      <c r="AP30" s="264">
        <f t="shared" si="38"/>
        <v>222179.78660398943</v>
      </c>
      <c r="AQ30" s="264">
        <f t="shared" si="39"/>
        <v>218290.46587008482</v>
      </c>
      <c r="AR30" s="264">
        <f t="shared" si="9"/>
        <v>218290.46587008482</v>
      </c>
      <c r="AS30" s="264">
        <f t="shared" si="40"/>
        <v>222179.78660398943</v>
      </c>
      <c r="AT30" s="264">
        <f t="shared" si="68"/>
        <v>218290.46587008482</v>
      </c>
      <c r="AU30" s="264">
        <f t="shared" si="68"/>
        <v>0</v>
      </c>
      <c r="AV30" s="378" t="s">
        <v>306</v>
      </c>
      <c r="AW30" s="378" t="s">
        <v>306</v>
      </c>
      <c r="AX30" s="296">
        <f t="shared" si="41"/>
        <v>440470.25247407425</v>
      </c>
      <c r="AY30" s="297">
        <f t="shared" si="42"/>
        <v>222179.78660398943</v>
      </c>
      <c r="AZ30" s="298">
        <f t="shared" si="43"/>
        <v>218290.46587008482</v>
      </c>
      <c r="BA30" s="296">
        <f t="shared" si="44"/>
        <v>440470.25247407425</v>
      </c>
      <c r="BB30" s="297">
        <f t="shared" si="45"/>
        <v>222179.78660398943</v>
      </c>
      <c r="BC30" s="299">
        <f t="shared" si="46"/>
        <v>0.49558503586557923</v>
      </c>
      <c r="BD30" s="300">
        <f t="shared" si="47"/>
        <v>218290.46587008482</v>
      </c>
      <c r="BE30" s="406"/>
      <c r="BF30" s="302">
        <f t="shared" si="70"/>
        <v>218290.46587008482</v>
      </c>
      <c r="BG30" s="303">
        <f t="shared" si="48"/>
        <v>222179.78660398943</v>
      </c>
      <c r="BH30" s="304">
        <f t="shared" ca="1" si="49"/>
        <v>218290.46587008482</v>
      </c>
      <c r="BI30" s="305">
        <f t="shared" ca="1" si="50"/>
        <v>212827.776570797</v>
      </c>
      <c r="BJ30" s="378" t="s">
        <v>307</v>
      </c>
      <c r="BK30" s="320">
        <f t="shared" si="51"/>
        <v>0</v>
      </c>
      <c r="BL30" s="378"/>
      <c r="BM30" s="378"/>
      <c r="BN30" s="378"/>
      <c r="BO30" s="321">
        <f t="shared" si="52"/>
        <v>0</v>
      </c>
      <c r="BP30" s="378"/>
      <c r="BQ30" s="378"/>
      <c r="BR30" s="378"/>
      <c r="BS30" s="378"/>
      <c r="BT30" s="378"/>
      <c r="BU30" s="378"/>
      <c r="BV30" s="378"/>
      <c r="BW30" s="378"/>
      <c r="BX30" s="378"/>
      <c r="BY30" s="378"/>
      <c r="BZ30" s="127" t="s">
        <v>269</v>
      </c>
      <c r="CA30" s="378"/>
      <c r="CB30" s="428"/>
      <c r="CC30" s="428"/>
      <c r="CD30" s="393"/>
      <c r="CE30" s="428"/>
      <c r="CF30" s="378"/>
      <c r="CG30" s="378"/>
      <c r="CH30" s="378"/>
      <c r="CI30" s="378"/>
      <c r="CU30" s="452"/>
      <c r="CV30" s="453"/>
      <c r="CW30" s="454"/>
      <c r="CX30" s="439"/>
      <c r="CY30" s="453"/>
      <c r="CZ30" s="454"/>
      <c r="DA30" s="454"/>
      <c r="DB30" s="439"/>
      <c r="DC30" s="454"/>
      <c r="DD30" s="434"/>
      <c r="DE30" s="434"/>
      <c r="DF30" s="434"/>
      <c r="DG30" s="435"/>
      <c r="DH30" s="421"/>
      <c r="DI30" s="421"/>
      <c r="DJ30" s="421"/>
      <c r="DK30" s="421"/>
      <c r="DL30" s="421"/>
      <c r="DM30" s="421"/>
    </row>
    <row r="31" spans="2:117" ht="23.15" customHeight="1">
      <c r="B31" s="394" t="str">
        <f>[2]Adj_NPDC_HCA_Input!N30</f>
        <v>Manual Sampling</v>
      </c>
      <c r="C31" s="323" t="s">
        <v>259</v>
      </c>
      <c r="D31" s="42" t="s">
        <v>83</v>
      </c>
      <c r="E31" s="324" t="s">
        <v>86</v>
      </c>
      <c r="F31" s="254">
        <f>VLOOKUP($E31,[2]Adj_NPDC_HCA_Input!$B$5:$E$42,2,FALSE)</f>
        <v>0</v>
      </c>
      <c r="G31" s="255">
        <f>VLOOKUP($E31,[2]Adj_NPDC_HCA_Input!$B$5:$E$42,3,FALSE)</f>
        <v>0</v>
      </c>
      <c r="H31" s="256">
        <f t="shared" si="24"/>
        <v>0</v>
      </c>
      <c r="I31" s="256">
        <f t="shared" si="25"/>
        <v>0</v>
      </c>
      <c r="J31" s="257" t="str">
        <f>[2]Adj_NPDC_HCA_Input!G30</f>
        <v>Non-LACT</v>
      </c>
      <c r="K31" s="257">
        <f>IF(J31="LACT",[2]Adj_NPDC_HCA_Input!$T$4,[2]Adj_NPDC_HCA_Input!$Y$4)</f>
        <v>0.99</v>
      </c>
      <c r="L31" s="257">
        <f>IF(J31="Non-LACT",VLOOKUP([2]Adj_NPDC_HCA_Input!J30,[2]Adj_NPDC_HCA_Input!$X$4:$Y$7,2,FALSE),VLOOKUP([2]Adj_NPDC_HCA_Input!J30,[2]Adj_NPDC_HCA_Input!$S$4:$T$7,2,FALSE))</f>
        <v>0.98</v>
      </c>
      <c r="M31" s="258">
        <f>IF([2]Adj_NPDC_HCA_Input!M30="No",[2]Adj_NPDC_HCA_Input!$S$32,1)</f>
        <v>0.98260000000000003</v>
      </c>
      <c r="N31" s="259">
        <f>IF([2]Adj_NPDC_HCA_Input!K30="Yes",1,0.99)</f>
        <v>1</v>
      </c>
      <c r="O31" s="259" t="str">
        <f>[2]Adj_NPDC_HCA_Input!L30</f>
        <v>No</v>
      </c>
      <c r="P31" s="260">
        <f t="shared" si="26"/>
        <v>0</v>
      </c>
      <c r="Q31" s="260">
        <f t="shared" si="61"/>
        <v>0</v>
      </c>
      <c r="R31" s="260">
        <f t="shared" ca="1" si="71"/>
        <v>0</v>
      </c>
      <c r="S31" s="260">
        <f t="shared" ca="1" si="27"/>
        <v>0</v>
      </c>
      <c r="T31" s="260">
        <f t="shared" ca="1" si="28"/>
        <v>0</v>
      </c>
      <c r="U31" s="260">
        <f t="shared" ca="1" si="29"/>
        <v>0</v>
      </c>
      <c r="V31" s="260">
        <f t="shared" ca="1" si="30"/>
        <v>0</v>
      </c>
      <c r="W31" s="260">
        <f t="shared" si="31"/>
        <v>0</v>
      </c>
      <c r="X31" s="260">
        <f t="shared" ca="1" si="32"/>
        <v>0</v>
      </c>
      <c r="Y31" s="260">
        <f t="shared" ca="1" si="32"/>
        <v>0</v>
      </c>
      <c r="Z31" s="260">
        <f t="shared" ca="1" si="33"/>
        <v>0</v>
      </c>
      <c r="AA31" s="260">
        <f t="shared" ca="1" si="72"/>
        <v>0</v>
      </c>
      <c r="AB31" s="260">
        <f t="shared" ca="1" si="74"/>
        <v>0</v>
      </c>
      <c r="AC31" s="260">
        <f t="shared" ca="1" si="35"/>
        <v>0</v>
      </c>
      <c r="AD31" s="260">
        <f t="shared" ca="1" si="36"/>
        <v>0</v>
      </c>
      <c r="AE31" s="260">
        <f t="shared" ca="1" si="36"/>
        <v>0</v>
      </c>
      <c r="AF31" s="259"/>
      <c r="AG31" s="261">
        <f t="shared" ca="1" si="2"/>
        <v>0</v>
      </c>
      <c r="AH31" s="262" t="str">
        <f t="shared" ca="1" si="3"/>
        <v>No Production</v>
      </c>
      <c r="AI31" s="263" t="str">
        <f t="shared" si="4"/>
        <v>WEST-NDW</v>
      </c>
      <c r="AJ31" s="264">
        <f t="shared" ca="1" si="62"/>
        <v>0</v>
      </c>
      <c r="AK31" s="264">
        <f t="shared" ca="1" si="5"/>
        <v>0</v>
      </c>
      <c r="AL31" s="265">
        <f t="shared" ca="1" si="6"/>
        <v>0</v>
      </c>
      <c r="AM31" s="265">
        <f t="shared" ca="1" si="37"/>
        <v>0</v>
      </c>
      <c r="AN31" s="264">
        <f t="shared" ca="1" si="7"/>
        <v>0</v>
      </c>
      <c r="AO31" s="264">
        <f t="shared" si="8"/>
        <v>0</v>
      </c>
      <c r="AP31" s="264">
        <f t="shared" ca="1" si="38"/>
        <v>0</v>
      </c>
      <c r="AQ31" s="264">
        <f t="shared" ca="1" si="39"/>
        <v>0</v>
      </c>
      <c r="AR31" s="264">
        <f t="shared" si="9"/>
        <v>0</v>
      </c>
      <c r="AS31" s="264">
        <f t="shared" si="40"/>
        <v>0</v>
      </c>
      <c r="AT31" s="264">
        <f t="shared" si="68"/>
        <v>0</v>
      </c>
      <c r="AU31" s="264">
        <f t="shared" ca="1" si="68"/>
        <v>0</v>
      </c>
      <c r="AV31" s="378" t="s">
        <v>86</v>
      </c>
      <c r="AW31" s="378" t="s">
        <v>86</v>
      </c>
      <c r="AX31" s="296">
        <f t="shared" si="41"/>
        <v>0</v>
      </c>
      <c r="AY31" s="297">
        <f t="shared" si="42"/>
        <v>0</v>
      </c>
      <c r="AZ31" s="298">
        <f t="shared" si="43"/>
        <v>0</v>
      </c>
      <c r="BA31" s="296">
        <f t="shared" si="44"/>
        <v>0</v>
      </c>
      <c r="BB31" s="297">
        <f t="shared" si="45"/>
        <v>0</v>
      </c>
      <c r="BC31" s="299">
        <f t="shared" si="46"/>
        <v>0</v>
      </c>
      <c r="BD31" s="300">
        <f t="shared" si="47"/>
        <v>0</v>
      </c>
      <c r="BE31" s="406"/>
      <c r="BF31" s="302">
        <f t="shared" ca="1" si="70"/>
        <v>0</v>
      </c>
      <c r="BG31" s="303">
        <f t="shared" ca="1" si="48"/>
        <v>0</v>
      </c>
      <c r="BH31" s="304">
        <f t="shared" ca="1" si="49"/>
        <v>0</v>
      </c>
      <c r="BI31" s="305">
        <f t="shared" ca="1" si="50"/>
        <v>0</v>
      </c>
      <c r="BJ31" s="378" t="s">
        <v>308</v>
      </c>
      <c r="BK31" s="320">
        <f t="shared" si="51"/>
        <v>0</v>
      </c>
      <c r="BL31" s="378"/>
      <c r="BM31" s="378"/>
      <c r="BN31" s="378"/>
      <c r="BO31" s="321">
        <f t="shared" ca="1" si="52"/>
        <v>0</v>
      </c>
      <c r="BP31" s="378"/>
      <c r="BQ31" s="378"/>
      <c r="BR31" s="378"/>
      <c r="BS31" s="378"/>
      <c r="BT31" s="378"/>
      <c r="BU31" s="378"/>
      <c r="BV31" s="378"/>
      <c r="BW31" s="378"/>
      <c r="BX31" s="378"/>
      <c r="BY31" s="378"/>
      <c r="BZ31" s="427" t="s">
        <v>309</v>
      </c>
      <c r="CA31" s="422"/>
      <c r="CB31" s="428"/>
      <c r="CC31" s="428"/>
      <c r="CD31" s="428"/>
      <c r="CE31" s="378"/>
      <c r="CF31" s="378"/>
      <c r="CG31" s="378"/>
      <c r="CH31" s="378"/>
      <c r="CI31" s="378"/>
      <c r="CU31" s="455" t="s">
        <v>310</v>
      </c>
      <c r="CV31" s="456"/>
      <c r="CW31" s="440"/>
      <c r="CX31" s="439"/>
      <c r="CY31" s="436" t="s">
        <v>311</v>
      </c>
      <c r="CZ31" s="457"/>
      <c r="DA31" s="440"/>
      <c r="DB31" s="439"/>
      <c r="DC31" s="599" t="s">
        <v>251</v>
      </c>
      <c r="DD31" s="600"/>
      <c r="DE31" s="430"/>
      <c r="DF31" s="431"/>
      <c r="DG31" s="435"/>
      <c r="DH31" s="421"/>
      <c r="DI31" s="421"/>
      <c r="DJ31" s="421"/>
      <c r="DK31" s="421"/>
      <c r="DL31" s="421"/>
      <c r="DM31" s="421"/>
    </row>
    <row r="32" spans="2:117" ht="23.15" customHeight="1">
      <c r="B32" s="394" t="str">
        <f>[2]Adj_NPDC_HCA_Input!N31</f>
        <v>Auto Sampler</v>
      </c>
      <c r="C32" s="323" t="s">
        <v>259</v>
      </c>
      <c r="D32" s="42" t="s">
        <v>83</v>
      </c>
      <c r="E32" s="324" t="s">
        <v>87</v>
      </c>
      <c r="F32" s="254">
        <f>VLOOKUP($E32,[2]Adj_NPDC_HCA_Input!$B$5:$E$42,2,FALSE)</f>
        <v>817156.20791187091</v>
      </c>
      <c r="G32" s="255">
        <f>VLOOKUP($E32,[2]Adj_NPDC_HCA_Input!$B$5:$E$42,3,FALSE)</f>
        <v>0.53418097641112738</v>
      </c>
      <c r="H32" s="256">
        <f t="shared" si="24"/>
        <v>436509.30102277739</v>
      </c>
      <c r="I32" s="256">
        <f t="shared" si="25"/>
        <v>380646.90688909352</v>
      </c>
      <c r="J32" s="257" t="str">
        <f>[2]Adj_NPDC_HCA_Input!G31</f>
        <v>LACT</v>
      </c>
      <c r="K32" s="257">
        <f>IF(J32="LACT",[2]Adj_NPDC_HCA_Input!$T$4,[2]Adj_NPDC_HCA_Input!$Y$4)</f>
        <v>1</v>
      </c>
      <c r="L32" s="257">
        <f>IF(J32="Non-LACT",VLOOKUP([2]Adj_NPDC_HCA_Input!J31,[2]Adj_NPDC_HCA_Input!$X$4:$Y$7,2,FALSE),VLOOKUP([2]Adj_NPDC_HCA_Input!J31,[2]Adj_NPDC_HCA_Input!$S$4:$T$7,2,FALSE))</f>
        <v>1</v>
      </c>
      <c r="M32" s="258">
        <f>IF([2]Adj_NPDC_HCA_Input!M31="No",[2]Adj_NPDC_HCA_Input!$S$32,1)</f>
        <v>1</v>
      </c>
      <c r="N32" s="259">
        <f>IF([2]Adj_NPDC_HCA_Input!K31="Yes",1,0.99)</f>
        <v>1</v>
      </c>
      <c r="O32" s="259" t="str">
        <f>[2]Adj_NPDC_HCA_Input!L31</f>
        <v>No</v>
      </c>
      <c r="P32" s="260">
        <f t="shared" si="26"/>
        <v>817156.20791187091</v>
      </c>
      <c r="Q32" s="260">
        <f t="shared" si="61"/>
        <v>436509.30102277739</v>
      </c>
      <c r="R32" s="260">
        <f t="shared" si="71"/>
        <v>0</v>
      </c>
      <c r="S32" s="260">
        <f t="shared" si="27"/>
        <v>436509.30102277739</v>
      </c>
      <c r="T32" s="260">
        <f t="shared" si="28"/>
        <v>0</v>
      </c>
      <c r="U32" s="260">
        <f t="shared" si="29"/>
        <v>436509.30102277739</v>
      </c>
      <c r="V32" s="260">
        <f t="shared" si="30"/>
        <v>380646.90688909352</v>
      </c>
      <c r="W32" s="260">
        <f t="shared" si="31"/>
        <v>0</v>
      </c>
      <c r="X32" s="260">
        <f t="shared" si="32"/>
        <v>0</v>
      </c>
      <c r="Y32" s="260">
        <f t="shared" si="32"/>
        <v>0</v>
      </c>
      <c r="Z32" s="260">
        <f t="shared" ca="1" si="33"/>
        <v>16022.221223370963</v>
      </c>
      <c r="AA32" s="260">
        <f t="shared" ca="1" si="72"/>
        <v>0</v>
      </c>
      <c r="AB32" s="260">
        <f t="shared" ca="1" si="74"/>
        <v>16022.221223370963</v>
      </c>
      <c r="AC32" s="260">
        <f t="shared" ca="1" si="35"/>
        <v>801133.98668849992</v>
      </c>
      <c r="AD32" s="260">
        <f t="shared" ca="1" si="36"/>
        <v>436509.30102277739</v>
      </c>
      <c r="AE32" s="260">
        <f t="shared" ca="1" si="36"/>
        <v>364624.68566572253</v>
      </c>
      <c r="AF32" s="259"/>
      <c r="AG32" s="261">
        <f t="shared" ca="1" si="2"/>
        <v>0.95790791693457977</v>
      </c>
      <c r="AH32" s="262">
        <f t="shared" si="3"/>
        <v>0</v>
      </c>
      <c r="AI32" s="263" t="str">
        <f t="shared" si="4"/>
        <v>WEST-NDW</v>
      </c>
      <c r="AJ32" s="264">
        <f t="shared" ca="1" si="62"/>
        <v>364624.68566572253</v>
      </c>
      <c r="AK32" s="264">
        <f t="shared" ca="1" si="5"/>
        <v>436509.30102277739</v>
      </c>
      <c r="AL32" s="265">
        <f t="shared" ca="1" si="6"/>
        <v>16022.221223370963</v>
      </c>
      <c r="AM32" s="265">
        <f t="shared" ca="1" si="37"/>
        <v>0</v>
      </c>
      <c r="AN32" s="264">
        <f t="shared" si="7"/>
        <v>0</v>
      </c>
      <c r="AO32" s="264">
        <f t="shared" si="8"/>
        <v>380646.90688909352</v>
      </c>
      <c r="AP32" s="264">
        <f t="shared" si="38"/>
        <v>380646.90688909352</v>
      </c>
      <c r="AQ32" s="264">
        <f t="shared" si="39"/>
        <v>436509.30102277739</v>
      </c>
      <c r="AR32" s="264">
        <f t="shared" si="9"/>
        <v>436509.30102277739</v>
      </c>
      <c r="AS32" s="264">
        <f t="shared" si="40"/>
        <v>380646.90688909352</v>
      </c>
      <c r="AT32" s="264">
        <f t="shared" si="68"/>
        <v>436509.30102277739</v>
      </c>
      <c r="AU32" s="264">
        <f t="shared" si="68"/>
        <v>0</v>
      </c>
      <c r="AV32" s="378" t="s">
        <v>312</v>
      </c>
      <c r="AW32" s="378" t="s">
        <v>312</v>
      </c>
      <c r="AX32" s="296">
        <f t="shared" si="41"/>
        <v>817156.20791187091</v>
      </c>
      <c r="AY32" s="297">
        <f t="shared" si="42"/>
        <v>380646.90688909352</v>
      </c>
      <c r="AZ32" s="298">
        <f t="shared" si="43"/>
        <v>436509.30102277739</v>
      </c>
      <c r="BA32" s="296">
        <f t="shared" si="44"/>
        <v>817156.20791187091</v>
      </c>
      <c r="BB32" s="297">
        <f t="shared" si="45"/>
        <v>380646.90688909352</v>
      </c>
      <c r="BC32" s="299">
        <f t="shared" si="46"/>
        <v>0.53418097641112738</v>
      </c>
      <c r="BD32" s="300">
        <f t="shared" si="47"/>
        <v>436509.30102277739</v>
      </c>
      <c r="BE32" s="406"/>
      <c r="BF32" s="302">
        <f t="shared" si="70"/>
        <v>436509.30102277739</v>
      </c>
      <c r="BG32" s="303">
        <f t="shared" si="48"/>
        <v>380646.90688909352</v>
      </c>
      <c r="BH32" s="304">
        <f t="shared" ca="1" si="49"/>
        <v>436509.30102277739</v>
      </c>
      <c r="BI32" s="305">
        <f t="shared" ca="1" si="50"/>
        <v>364624.68566572253</v>
      </c>
      <c r="BJ32" s="378" t="s">
        <v>313</v>
      </c>
      <c r="BK32" s="320">
        <f t="shared" si="51"/>
        <v>0</v>
      </c>
      <c r="BL32" s="378"/>
      <c r="BM32" s="378"/>
      <c r="BN32" s="378"/>
      <c r="BO32" s="321">
        <f t="shared" si="52"/>
        <v>0</v>
      </c>
      <c r="BP32" s="378"/>
      <c r="BQ32" s="378"/>
      <c r="BR32" s="378"/>
      <c r="BS32" s="378"/>
      <c r="BT32" s="378"/>
      <c r="BU32" s="378"/>
      <c r="BV32" s="378"/>
      <c r="BW32" s="378"/>
      <c r="BX32" s="378"/>
      <c r="BY32" s="378"/>
      <c r="BZ32" s="427"/>
      <c r="CA32" s="422"/>
      <c r="CB32" s="428"/>
      <c r="CC32" s="428"/>
      <c r="CD32" s="428"/>
      <c r="CE32" s="428"/>
      <c r="CF32" s="378"/>
      <c r="CG32" s="378"/>
      <c r="CH32" s="378"/>
      <c r="CI32" s="378"/>
      <c r="CU32" s="444"/>
      <c r="CV32" s="453"/>
      <c r="CW32" s="458"/>
      <c r="CX32" s="439"/>
      <c r="CY32" s="444"/>
      <c r="CZ32" s="454"/>
      <c r="DA32" s="458"/>
      <c r="DB32" s="439"/>
      <c r="DC32" s="444"/>
      <c r="DD32" s="434"/>
      <c r="DE32" s="434"/>
      <c r="DF32" s="435"/>
      <c r="DG32" s="435"/>
      <c r="DH32" s="421"/>
      <c r="DI32" s="421"/>
      <c r="DJ32" s="421"/>
      <c r="DK32" s="421"/>
      <c r="DL32" s="421"/>
      <c r="DM32" s="421"/>
    </row>
    <row r="33" spans="1:117" ht="23.15" customHeight="1" thickBot="1">
      <c r="B33" s="394" t="str">
        <f>[2]Adj_NPDC_HCA_Input!N32</f>
        <v>Manual Sampling</v>
      </c>
      <c r="C33" s="323" t="s">
        <v>259</v>
      </c>
      <c r="D33" s="42" t="s">
        <v>83</v>
      </c>
      <c r="E33" s="324" t="s">
        <v>89</v>
      </c>
      <c r="F33" s="254">
        <f>VLOOKUP($E33,[2]Adj_NPDC_HCA_Input!$B$5:$E$42,2,FALSE)</f>
        <v>0</v>
      </c>
      <c r="G33" s="255">
        <f>VLOOKUP($E33,[2]Adj_NPDC_HCA_Input!$B$5:$E$42,3,FALSE)</f>
        <v>0</v>
      </c>
      <c r="H33" s="256">
        <f t="shared" si="24"/>
        <v>0</v>
      </c>
      <c r="I33" s="256">
        <f t="shared" si="25"/>
        <v>0</v>
      </c>
      <c r="J33" s="257" t="str">
        <f>[2]Adj_NPDC_HCA_Input!G32</f>
        <v>Non-LACT</v>
      </c>
      <c r="K33" s="257">
        <f>IF(J33="LACT",[2]Adj_NPDC_HCA_Input!$T$4,[2]Adj_NPDC_HCA_Input!$Y$4)</f>
        <v>0.99</v>
      </c>
      <c r="L33" s="257">
        <f>IF(J33="Non-LACT",VLOOKUP([2]Adj_NPDC_HCA_Input!J32,[2]Adj_NPDC_HCA_Input!$X$4:$Y$7,2,FALSE),VLOOKUP([2]Adj_NPDC_HCA_Input!J32,[2]Adj_NPDC_HCA_Input!$S$4:$T$7,2,FALSE))</f>
        <v>0.98</v>
      </c>
      <c r="M33" s="258">
        <f>IF([2]Adj_NPDC_HCA_Input!M32="No",[2]Adj_NPDC_HCA_Input!$S$32,1)</f>
        <v>0.98260000000000003</v>
      </c>
      <c r="N33" s="259">
        <f>IF([2]Adj_NPDC_HCA_Input!K32="Yes",1,0.99)</f>
        <v>1</v>
      </c>
      <c r="O33" s="259" t="str">
        <f>[2]Adj_NPDC_HCA_Input!L32</f>
        <v>No</v>
      </c>
      <c r="P33" s="260">
        <f t="shared" si="26"/>
        <v>0</v>
      </c>
      <c r="Q33" s="260">
        <f t="shared" si="61"/>
        <v>0</v>
      </c>
      <c r="R33" s="260">
        <f t="shared" ca="1" si="71"/>
        <v>0</v>
      </c>
      <c r="S33" s="260">
        <f t="shared" ca="1" si="27"/>
        <v>0</v>
      </c>
      <c r="T33" s="260">
        <f t="shared" ca="1" si="28"/>
        <v>0</v>
      </c>
      <c r="U33" s="260">
        <f t="shared" ca="1" si="29"/>
        <v>0</v>
      </c>
      <c r="V33" s="260">
        <f t="shared" ca="1" si="30"/>
        <v>0</v>
      </c>
      <c r="W33" s="260">
        <f t="shared" si="31"/>
        <v>0</v>
      </c>
      <c r="X33" s="260">
        <f t="shared" ca="1" si="32"/>
        <v>0</v>
      </c>
      <c r="Y33" s="260">
        <f t="shared" ca="1" si="32"/>
        <v>0</v>
      </c>
      <c r="Z33" s="260">
        <f t="shared" ca="1" si="33"/>
        <v>0</v>
      </c>
      <c r="AA33" s="260">
        <f t="shared" ca="1" si="72"/>
        <v>0</v>
      </c>
      <c r="AB33" s="260">
        <f t="shared" ca="1" si="74"/>
        <v>0</v>
      </c>
      <c r="AC33" s="260">
        <f t="shared" ca="1" si="35"/>
        <v>0</v>
      </c>
      <c r="AD33" s="260">
        <f t="shared" ca="1" si="36"/>
        <v>0</v>
      </c>
      <c r="AE33" s="260">
        <f t="shared" ca="1" si="36"/>
        <v>0</v>
      </c>
      <c r="AF33" s="259"/>
      <c r="AG33" s="261">
        <f t="shared" ca="1" si="2"/>
        <v>0</v>
      </c>
      <c r="AH33" s="262" t="str">
        <f t="shared" ca="1" si="3"/>
        <v>No Production</v>
      </c>
      <c r="AI33" s="263" t="str">
        <f t="shared" si="4"/>
        <v>WEST-NDW</v>
      </c>
      <c r="AJ33" s="264">
        <f t="shared" ca="1" si="62"/>
        <v>0</v>
      </c>
      <c r="AK33" s="264">
        <f t="shared" ca="1" si="5"/>
        <v>0</v>
      </c>
      <c r="AL33" s="265">
        <f t="shared" ca="1" si="6"/>
        <v>0</v>
      </c>
      <c r="AM33" s="265">
        <f t="shared" ca="1" si="37"/>
        <v>0</v>
      </c>
      <c r="AN33" s="264">
        <f t="shared" ca="1" si="7"/>
        <v>0</v>
      </c>
      <c r="AO33" s="264">
        <f t="shared" si="8"/>
        <v>0</v>
      </c>
      <c r="AP33" s="264">
        <f t="shared" ca="1" si="38"/>
        <v>0</v>
      </c>
      <c r="AQ33" s="264">
        <f t="shared" ca="1" si="39"/>
        <v>0</v>
      </c>
      <c r="AR33" s="264">
        <f t="shared" si="9"/>
        <v>0</v>
      </c>
      <c r="AS33" s="264">
        <f t="shared" si="40"/>
        <v>0</v>
      </c>
      <c r="AT33" s="264">
        <f t="shared" si="68"/>
        <v>0</v>
      </c>
      <c r="AU33" s="264">
        <f t="shared" ca="1" si="68"/>
        <v>0</v>
      </c>
      <c r="AV33" s="378" t="s">
        <v>89</v>
      </c>
      <c r="AW33" s="378" t="s">
        <v>89</v>
      </c>
      <c r="AX33" s="296">
        <f t="shared" si="41"/>
        <v>0</v>
      </c>
      <c r="AY33" s="297">
        <f t="shared" si="42"/>
        <v>0</v>
      </c>
      <c r="AZ33" s="298">
        <f t="shared" si="43"/>
        <v>0</v>
      </c>
      <c r="BA33" s="296">
        <f t="shared" si="44"/>
        <v>0</v>
      </c>
      <c r="BB33" s="297">
        <f t="shared" si="45"/>
        <v>0</v>
      </c>
      <c r="BC33" s="299">
        <f t="shared" si="46"/>
        <v>0</v>
      </c>
      <c r="BD33" s="300">
        <f t="shared" si="47"/>
        <v>0</v>
      </c>
      <c r="BE33" s="406"/>
      <c r="BF33" s="302">
        <f t="shared" ca="1" si="70"/>
        <v>0</v>
      </c>
      <c r="BG33" s="303">
        <f t="shared" ca="1" si="48"/>
        <v>0</v>
      </c>
      <c r="BH33" s="304">
        <f t="shared" ca="1" si="49"/>
        <v>0</v>
      </c>
      <c r="BI33" s="305">
        <f t="shared" ca="1" si="50"/>
        <v>0</v>
      </c>
      <c r="BJ33" s="378" t="s">
        <v>314</v>
      </c>
      <c r="BK33" s="320">
        <f t="shared" si="51"/>
        <v>0</v>
      </c>
      <c r="BL33" s="378"/>
      <c r="BM33" s="378"/>
      <c r="BN33" s="378"/>
      <c r="BO33" s="321">
        <f t="shared" ca="1" si="52"/>
        <v>0</v>
      </c>
      <c r="BP33" s="378"/>
      <c r="BQ33" s="378"/>
      <c r="BR33" s="378"/>
      <c r="BS33" s="378"/>
      <c r="BT33" s="378"/>
      <c r="BU33" s="378"/>
      <c r="BV33" s="378"/>
      <c r="BW33" s="378"/>
      <c r="BX33" s="378"/>
      <c r="BY33" s="378"/>
      <c r="BZ33" s="459"/>
      <c r="CA33" s="460"/>
      <c r="CB33" s="461"/>
      <c r="CC33" s="461"/>
      <c r="CD33" s="428"/>
      <c r="CE33" s="428"/>
      <c r="CF33" s="378"/>
      <c r="CG33" s="378"/>
      <c r="CH33" s="378"/>
      <c r="CI33" s="378"/>
      <c r="CU33" s="451"/>
      <c r="CV33" s="447"/>
      <c r="CW33" s="448"/>
      <c r="CX33" s="439"/>
      <c r="CY33" s="451"/>
      <c r="CZ33" s="450"/>
      <c r="DA33" s="448"/>
      <c r="DB33" s="439"/>
      <c r="DC33" s="451"/>
      <c r="DD33" s="425"/>
      <c r="DE33" s="425"/>
      <c r="DF33" s="426"/>
      <c r="DG33" s="435"/>
      <c r="DH33" s="421"/>
      <c r="DI33" s="421"/>
      <c r="DJ33" s="421"/>
      <c r="DK33" s="421"/>
      <c r="DL33" s="421"/>
      <c r="DM33" s="421"/>
    </row>
    <row r="34" spans="1:117" ht="23.15" customHeight="1" thickBot="1">
      <c r="B34" s="394" t="str">
        <f>[2]Adj_NPDC_HCA_Input!N33</f>
        <v>Manual Sampling</v>
      </c>
      <c r="C34" s="323" t="s">
        <v>259</v>
      </c>
      <c r="D34" s="42" t="s">
        <v>83</v>
      </c>
      <c r="E34" s="324" t="s">
        <v>92</v>
      </c>
      <c r="F34" s="254">
        <f>VLOOKUP($E34,[2]Adj_NPDC_HCA_Input!$B$5:$E$42,2,FALSE)</f>
        <v>0</v>
      </c>
      <c r="G34" s="255">
        <f>VLOOKUP($E34,[2]Adj_NPDC_HCA_Input!$B$5:$E$42,3,FALSE)</f>
        <v>0</v>
      </c>
      <c r="H34" s="256">
        <f t="shared" si="24"/>
        <v>0</v>
      </c>
      <c r="I34" s="256">
        <f t="shared" si="25"/>
        <v>0</v>
      </c>
      <c r="J34" s="257" t="str">
        <f>[2]Adj_NPDC_HCA_Input!G33</f>
        <v>Non-LACT</v>
      </c>
      <c r="K34" s="257">
        <f>IF(J34="LACT",[2]Adj_NPDC_HCA_Input!$T$4,[2]Adj_NPDC_HCA_Input!$Y$4)</f>
        <v>0.99</v>
      </c>
      <c r="L34" s="257">
        <f>IF(J34="Non-LACT",VLOOKUP([2]Adj_NPDC_HCA_Input!J33,[2]Adj_NPDC_HCA_Input!$X$4:$Y$7,2,FALSE),VLOOKUP([2]Adj_NPDC_HCA_Input!J33,[2]Adj_NPDC_HCA_Input!$S$4:$T$7,2,FALSE))</f>
        <v>0.98</v>
      </c>
      <c r="M34" s="258">
        <f>IF([2]Adj_NPDC_HCA_Input!M33="No",[2]Adj_NPDC_HCA_Input!$S$32,1)</f>
        <v>0.98260000000000003</v>
      </c>
      <c r="N34" s="259">
        <f>IF([2]Adj_NPDC_HCA_Input!K33="Yes",1,0.99)</f>
        <v>1</v>
      </c>
      <c r="O34" s="259" t="str">
        <f>[2]Adj_NPDC_HCA_Input!L33</f>
        <v>No</v>
      </c>
      <c r="P34" s="260">
        <f t="shared" si="26"/>
        <v>0</v>
      </c>
      <c r="Q34" s="260">
        <f t="shared" si="61"/>
        <v>0</v>
      </c>
      <c r="R34" s="260">
        <f t="shared" ca="1" si="71"/>
        <v>0</v>
      </c>
      <c r="S34" s="260">
        <f t="shared" ca="1" si="27"/>
        <v>0</v>
      </c>
      <c r="T34" s="260">
        <f t="shared" ca="1" si="28"/>
        <v>0</v>
      </c>
      <c r="U34" s="260">
        <f t="shared" ca="1" si="29"/>
        <v>0</v>
      </c>
      <c r="V34" s="260">
        <f t="shared" ca="1" si="30"/>
        <v>0</v>
      </c>
      <c r="W34" s="260">
        <f t="shared" si="31"/>
        <v>0</v>
      </c>
      <c r="X34" s="260">
        <f t="shared" ca="1" si="32"/>
        <v>0</v>
      </c>
      <c r="Y34" s="260">
        <f t="shared" ca="1" si="32"/>
        <v>0</v>
      </c>
      <c r="Z34" s="260">
        <f t="shared" ca="1" si="33"/>
        <v>0</v>
      </c>
      <c r="AA34" s="260">
        <f t="shared" ca="1" si="72"/>
        <v>0</v>
      </c>
      <c r="AB34" s="260">
        <f t="shared" ca="1" si="74"/>
        <v>0</v>
      </c>
      <c r="AC34" s="260">
        <f t="shared" ca="1" si="35"/>
        <v>0</v>
      </c>
      <c r="AD34" s="260">
        <f t="shared" ca="1" si="36"/>
        <v>0</v>
      </c>
      <c r="AE34" s="260">
        <f t="shared" ca="1" si="36"/>
        <v>0</v>
      </c>
      <c r="AF34" s="259"/>
      <c r="AG34" s="261">
        <f t="shared" ca="1" si="2"/>
        <v>0</v>
      </c>
      <c r="AH34" s="262" t="str">
        <f t="shared" ca="1" si="3"/>
        <v>No Production</v>
      </c>
      <c r="AI34" s="263" t="str">
        <f t="shared" si="4"/>
        <v>WEST-NDW</v>
      </c>
      <c r="AJ34" s="264">
        <f t="shared" ca="1" si="62"/>
        <v>0</v>
      </c>
      <c r="AK34" s="264">
        <f t="shared" ca="1" si="5"/>
        <v>0</v>
      </c>
      <c r="AL34" s="265">
        <f t="shared" ca="1" si="6"/>
        <v>0</v>
      </c>
      <c r="AM34" s="265">
        <f t="shared" ca="1" si="37"/>
        <v>0</v>
      </c>
      <c r="AN34" s="264">
        <f t="shared" ca="1" si="7"/>
        <v>0</v>
      </c>
      <c r="AO34" s="264">
        <f t="shared" si="8"/>
        <v>0</v>
      </c>
      <c r="AP34" s="264">
        <f t="shared" ca="1" si="38"/>
        <v>0</v>
      </c>
      <c r="AQ34" s="264">
        <f t="shared" ca="1" si="39"/>
        <v>0</v>
      </c>
      <c r="AR34" s="264">
        <f t="shared" si="9"/>
        <v>0</v>
      </c>
      <c r="AS34" s="264">
        <f t="shared" si="40"/>
        <v>0</v>
      </c>
      <c r="AT34" s="264">
        <f t="shared" si="68"/>
        <v>0</v>
      </c>
      <c r="AU34" s="264">
        <f t="shared" ca="1" si="68"/>
        <v>0</v>
      </c>
      <c r="AV34" s="378" t="s">
        <v>92</v>
      </c>
      <c r="AW34" s="378" t="s">
        <v>92</v>
      </c>
      <c r="AX34" s="296">
        <f t="shared" si="41"/>
        <v>0</v>
      </c>
      <c r="AY34" s="297">
        <f t="shared" si="42"/>
        <v>0</v>
      </c>
      <c r="AZ34" s="298">
        <f t="shared" si="43"/>
        <v>0</v>
      </c>
      <c r="BA34" s="296">
        <f t="shared" si="44"/>
        <v>0</v>
      </c>
      <c r="BB34" s="297">
        <f t="shared" si="45"/>
        <v>0</v>
      </c>
      <c r="BC34" s="299">
        <f t="shared" si="46"/>
        <v>0</v>
      </c>
      <c r="BD34" s="300">
        <f t="shared" si="47"/>
        <v>0</v>
      </c>
      <c r="BE34" s="406"/>
      <c r="BF34" s="302">
        <f t="shared" ca="1" si="70"/>
        <v>0</v>
      </c>
      <c r="BG34" s="303">
        <f t="shared" ca="1" si="48"/>
        <v>0</v>
      </c>
      <c r="BH34" s="304">
        <f t="shared" ca="1" si="49"/>
        <v>0</v>
      </c>
      <c r="BI34" s="305">
        <f t="shared" ca="1" si="50"/>
        <v>0</v>
      </c>
      <c r="BJ34" s="378" t="s">
        <v>315</v>
      </c>
      <c r="BK34" s="320">
        <f t="shared" si="51"/>
        <v>0</v>
      </c>
      <c r="BL34" s="378"/>
      <c r="BM34" s="378"/>
      <c r="BN34" s="378"/>
      <c r="BO34" s="321">
        <f t="shared" ca="1" si="52"/>
        <v>0</v>
      </c>
      <c r="BP34" s="378"/>
      <c r="BQ34" s="378"/>
      <c r="BR34" s="378"/>
      <c r="BS34" s="378"/>
      <c r="BT34" s="378"/>
      <c r="BU34" s="378"/>
      <c r="BV34" s="378"/>
      <c r="BW34" s="378"/>
      <c r="BX34" s="378"/>
      <c r="BY34" s="378"/>
      <c r="BZ34" s="127" t="s">
        <v>242</v>
      </c>
      <c r="CA34" s="378"/>
      <c r="CB34" s="378"/>
      <c r="CC34" s="378"/>
      <c r="CD34" s="462"/>
      <c r="CE34" s="463"/>
      <c r="CF34" s="378"/>
      <c r="CG34" s="378"/>
      <c r="CH34" s="378"/>
      <c r="CI34" s="378"/>
      <c r="CU34" s="452"/>
      <c r="CV34" s="453"/>
      <c r="CW34" s="454"/>
      <c r="CX34" s="439"/>
      <c r="CY34" s="453"/>
      <c r="CZ34" s="454"/>
      <c r="DA34" s="454"/>
      <c r="DB34" s="439"/>
      <c r="DC34" s="454"/>
      <c r="DD34" s="434"/>
      <c r="DE34" s="434"/>
      <c r="DF34" s="434"/>
      <c r="DG34" s="435"/>
      <c r="DH34" s="421"/>
      <c r="DI34" s="421"/>
      <c r="DJ34" s="421"/>
      <c r="DK34" s="421"/>
      <c r="DL34" s="421"/>
      <c r="DM34" s="421"/>
    </row>
    <row r="35" spans="1:117" ht="23.15" customHeight="1">
      <c r="B35" s="394" t="str">
        <f>[2]Adj_NPDC_HCA_Input!N34</f>
        <v>Manual Sampling</v>
      </c>
      <c r="C35" s="323" t="s">
        <v>263</v>
      </c>
      <c r="D35" s="42" t="s">
        <v>93</v>
      </c>
      <c r="E35" s="324" t="s">
        <v>94</v>
      </c>
      <c r="F35" s="254">
        <f>VLOOKUP($E35,[2]Adj_NPDC_HCA_Input!$B$5:$E$42,2,FALSE)</f>
        <v>0</v>
      </c>
      <c r="G35" s="255">
        <f>VLOOKUP($E35,[2]Adj_NPDC_HCA_Input!$B$5:$E$42,3,FALSE)</f>
        <v>0</v>
      </c>
      <c r="H35" s="256">
        <f t="shared" si="24"/>
        <v>0</v>
      </c>
      <c r="I35" s="256">
        <f t="shared" si="25"/>
        <v>0</v>
      </c>
      <c r="J35" s="257" t="str">
        <f>[2]Adj_NPDC_HCA_Input!G34</f>
        <v>Non-LACT</v>
      </c>
      <c r="K35" s="257">
        <f>IF(J35="LACT",[2]Adj_NPDC_HCA_Input!$T$4,[2]Adj_NPDC_HCA_Input!$Y$4)</f>
        <v>0.99</v>
      </c>
      <c r="L35" s="257">
        <f>IF(J35="Non-LACT",VLOOKUP([2]Adj_NPDC_HCA_Input!J34,[2]Adj_NPDC_HCA_Input!$X$4:$Y$7,2,FALSE),VLOOKUP([2]Adj_NPDC_HCA_Input!J34,[2]Adj_NPDC_HCA_Input!$S$4:$T$7,2,FALSE))</f>
        <v>0.98</v>
      </c>
      <c r="M35" s="258">
        <f>IF([2]Adj_NPDC_HCA_Input!M34="No",[2]Adj_NPDC_HCA_Input!$S$32,1)</f>
        <v>0.98260000000000003</v>
      </c>
      <c r="N35" s="259">
        <f>IF([2]Adj_NPDC_HCA_Input!K34="Yes",1,0.99)</f>
        <v>1</v>
      </c>
      <c r="O35" s="259" t="str">
        <f>[2]Adj_NPDC_HCA_Input!L34</f>
        <v>No</v>
      </c>
      <c r="P35" s="260">
        <f t="shared" si="26"/>
        <v>0</v>
      </c>
      <c r="Q35" s="260">
        <f t="shared" si="61"/>
        <v>0</v>
      </c>
      <c r="R35" s="260">
        <f t="shared" ca="1" si="71"/>
        <v>0</v>
      </c>
      <c r="S35" s="260">
        <f t="shared" ca="1" si="27"/>
        <v>0</v>
      </c>
      <c r="T35" s="260">
        <f t="shared" ca="1" si="28"/>
        <v>0</v>
      </c>
      <c r="U35" s="260">
        <f t="shared" ca="1" si="29"/>
        <v>0</v>
      </c>
      <c r="V35" s="260">
        <f t="shared" ca="1" si="30"/>
        <v>0</v>
      </c>
      <c r="W35" s="260">
        <f t="shared" si="31"/>
        <v>0</v>
      </c>
      <c r="X35" s="260">
        <f t="shared" ca="1" si="32"/>
        <v>0</v>
      </c>
      <c r="Y35" s="260">
        <f t="shared" ca="1" si="32"/>
        <v>0</v>
      </c>
      <c r="Z35" s="260">
        <f t="shared" ca="1" si="33"/>
        <v>0</v>
      </c>
      <c r="AA35" s="260">
        <f t="shared" ca="1" si="72"/>
        <v>0</v>
      </c>
      <c r="AB35" s="260">
        <f t="shared" ca="1" si="74"/>
        <v>0</v>
      </c>
      <c r="AC35" s="260">
        <f t="shared" ca="1" si="35"/>
        <v>0</v>
      </c>
      <c r="AD35" s="260">
        <f t="shared" ca="1" si="36"/>
        <v>0</v>
      </c>
      <c r="AE35" s="260">
        <f t="shared" ca="1" si="36"/>
        <v>0</v>
      </c>
      <c r="AF35" s="259"/>
      <c r="AG35" s="261">
        <f t="shared" ca="1" si="2"/>
        <v>0</v>
      </c>
      <c r="AH35" s="262" t="str">
        <f t="shared" ca="1" si="3"/>
        <v>No Production</v>
      </c>
      <c r="AI35" s="263" t="str">
        <f t="shared" si="4"/>
        <v>WEST-NPDC/NECONDE</v>
      </c>
      <c r="AJ35" s="264">
        <f t="shared" ca="1" si="62"/>
        <v>0</v>
      </c>
      <c r="AK35" s="264">
        <f t="shared" ca="1" si="5"/>
        <v>0</v>
      </c>
      <c r="AL35" s="265">
        <f t="shared" ca="1" si="6"/>
        <v>0</v>
      </c>
      <c r="AM35" s="265">
        <f t="shared" ca="1" si="37"/>
        <v>0</v>
      </c>
      <c r="AN35" s="264">
        <f t="shared" ca="1" si="7"/>
        <v>0</v>
      </c>
      <c r="AO35" s="264">
        <f t="shared" si="8"/>
        <v>0</v>
      </c>
      <c r="AP35" s="264">
        <f t="shared" ca="1" si="38"/>
        <v>0</v>
      </c>
      <c r="AQ35" s="264">
        <f t="shared" ca="1" si="39"/>
        <v>0</v>
      </c>
      <c r="AR35" s="264">
        <f t="shared" si="9"/>
        <v>0</v>
      </c>
      <c r="AS35" s="264">
        <f t="shared" si="40"/>
        <v>0</v>
      </c>
      <c r="AT35" s="264">
        <f t="shared" si="68"/>
        <v>0</v>
      </c>
      <c r="AU35" s="264">
        <f t="shared" ca="1" si="68"/>
        <v>0</v>
      </c>
      <c r="AV35" s="378" t="s">
        <v>94</v>
      </c>
      <c r="AW35" s="378" t="s">
        <v>94</v>
      </c>
      <c r="AX35" s="296">
        <f t="shared" si="41"/>
        <v>0</v>
      </c>
      <c r="AY35" s="297">
        <f t="shared" si="42"/>
        <v>0</v>
      </c>
      <c r="AZ35" s="298">
        <f t="shared" si="43"/>
        <v>0</v>
      </c>
      <c r="BA35" s="296">
        <f t="shared" si="44"/>
        <v>0</v>
      </c>
      <c r="BB35" s="297">
        <f t="shared" si="45"/>
        <v>0</v>
      </c>
      <c r="BC35" s="299">
        <f t="shared" si="46"/>
        <v>0</v>
      </c>
      <c r="BD35" s="300">
        <f t="shared" si="47"/>
        <v>0</v>
      </c>
      <c r="BE35" s="406"/>
      <c r="BF35" s="302">
        <f t="shared" ca="1" si="70"/>
        <v>0</v>
      </c>
      <c r="BG35" s="303">
        <f t="shared" ca="1" si="48"/>
        <v>0</v>
      </c>
      <c r="BH35" s="304">
        <f t="shared" ca="1" si="49"/>
        <v>0</v>
      </c>
      <c r="BI35" s="305">
        <f t="shared" ca="1" si="50"/>
        <v>0</v>
      </c>
      <c r="BJ35" s="378" t="s">
        <v>316</v>
      </c>
      <c r="BK35" s="320">
        <f t="shared" si="51"/>
        <v>0</v>
      </c>
      <c r="BL35" s="378"/>
      <c r="BM35" s="378"/>
      <c r="BN35" s="378"/>
      <c r="BO35" s="321">
        <f t="shared" ca="1" si="52"/>
        <v>0</v>
      </c>
      <c r="BP35" s="378"/>
      <c r="BQ35" s="378"/>
      <c r="BR35" s="378"/>
      <c r="BS35" s="378"/>
      <c r="BT35" s="378"/>
      <c r="BU35" s="378"/>
      <c r="BV35" s="378"/>
      <c r="BW35" s="378"/>
      <c r="BX35" s="378"/>
      <c r="BY35" s="378"/>
      <c r="BZ35" s="427" t="s">
        <v>250</v>
      </c>
      <c r="CA35" s="378"/>
      <c r="CB35" s="378"/>
      <c r="CC35" s="378"/>
      <c r="CD35" s="462"/>
      <c r="CE35" s="463"/>
      <c r="CF35" s="378"/>
      <c r="CG35" s="378"/>
      <c r="CH35" s="378"/>
      <c r="CI35" s="378"/>
      <c r="CU35" s="455" t="s">
        <v>317</v>
      </c>
      <c r="CV35" s="456"/>
      <c r="CW35" s="440"/>
      <c r="CX35" s="439"/>
      <c r="CY35" s="436" t="s">
        <v>61</v>
      </c>
      <c r="CZ35" s="457"/>
      <c r="DA35" s="440"/>
      <c r="DB35" s="439"/>
      <c r="DC35" s="436" t="s">
        <v>247</v>
      </c>
      <c r="DD35" s="430"/>
      <c r="DE35" s="430"/>
      <c r="DF35" s="431"/>
      <c r="DG35" s="435"/>
      <c r="DH35" s="421"/>
      <c r="DI35" s="421"/>
      <c r="DJ35" s="421"/>
      <c r="DK35" s="421"/>
      <c r="DL35" s="421"/>
      <c r="DM35" s="421"/>
    </row>
    <row r="36" spans="1:117" ht="23.15" customHeight="1">
      <c r="B36" s="394" t="str">
        <f>[2]Adj_NPDC_HCA_Input!N35</f>
        <v>Manual Sampling</v>
      </c>
      <c r="C36" s="323" t="s">
        <v>263</v>
      </c>
      <c r="D36" s="42" t="s">
        <v>93</v>
      </c>
      <c r="E36" s="324" t="s">
        <v>95</v>
      </c>
      <c r="F36" s="254">
        <f>VLOOKUP($E36,[2]Adj_NPDC_HCA_Input!$B$5:$E$42,2,FALSE)</f>
        <v>0</v>
      </c>
      <c r="G36" s="255">
        <f>VLOOKUP($E36,[2]Adj_NPDC_HCA_Input!$B$5:$E$42,3,FALSE)</f>
        <v>0</v>
      </c>
      <c r="H36" s="256">
        <f t="shared" si="24"/>
        <v>0</v>
      </c>
      <c r="I36" s="256">
        <f t="shared" si="25"/>
        <v>0</v>
      </c>
      <c r="J36" s="257" t="str">
        <f>[2]Adj_NPDC_HCA_Input!G35</f>
        <v>Non-LACT</v>
      </c>
      <c r="K36" s="257">
        <f>IF(J36="LACT",[2]Adj_NPDC_HCA_Input!$T$4,[2]Adj_NPDC_HCA_Input!$Y$4)</f>
        <v>0.99</v>
      </c>
      <c r="L36" s="257">
        <f>IF(J36="Non-LACT",VLOOKUP([2]Adj_NPDC_HCA_Input!J35,[2]Adj_NPDC_HCA_Input!$X$4:$Y$7,2,FALSE),VLOOKUP([2]Adj_NPDC_HCA_Input!J35,[2]Adj_NPDC_HCA_Input!$S$4:$T$7,2,FALSE))</f>
        <v>0.98</v>
      </c>
      <c r="M36" s="258">
        <f>IF([2]Adj_NPDC_HCA_Input!M35="No",[2]Adj_NPDC_HCA_Input!$S$32,1)</f>
        <v>0.98260000000000003</v>
      </c>
      <c r="N36" s="259">
        <f>IF([2]Adj_NPDC_HCA_Input!K35="Yes",1,0.99)</f>
        <v>1</v>
      </c>
      <c r="O36" s="259" t="str">
        <f>[2]Adj_NPDC_HCA_Input!L35</f>
        <v>No</v>
      </c>
      <c r="P36" s="260">
        <f t="shared" si="26"/>
        <v>0</v>
      </c>
      <c r="Q36" s="260">
        <f t="shared" si="61"/>
        <v>0</v>
      </c>
      <c r="R36" s="260">
        <f t="shared" ca="1" si="71"/>
        <v>0</v>
      </c>
      <c r="S36" s="260">
        <f t="shared" ca="1" si="27"/>
        <v>0</v>
      </c>
      <c r="T36" s="260">
        <f t="shared" ca="1" si="28"/>
        <v>0</v>
      </c>
      <c r="U36" s="260">
        <f t="shared" ca="1" si="29"/>
        <v>0</v>
      </c>
      <c r="V36" s="260">
        <f t="shared" ca="1" si="30"/>
        <v>0</v>
      </c>
      <c r="W36" s="260">
        <f t="shared" si="31"/>
        <v>0</v>
      </c>
      <c r="X36" s="260">
        <f t="shared" ca="1" si="32"/>
        <v>0</v>
      </c>
      <c r="Y36" s="260">
        <f t="shared" ca="1" si="32"/>
        <v>0</v>
      </c>
      <c r="Z36" s="260">
        <f t="shared" ca="1" si="33"/>
        <v>0</v>
      </c>
      <c r="AA36" s="260">
        <f t="shared" ca="1" si="72"/>
        <v>0</v>
      </c>
      <c r="AB36" s="260">
        <f t="shared" ca="1" si="74"/>
        <v>0</v>
      </c>
      <c r="AC36" s="260">
        <f t="shared" ca="1" si="35"/>
        <v>0</v>
      </c>
      <c r="AD36" s="260">
        <f t="shared" ca="1" si="36"/>
        <v>0</v>
      </c>
      <c r="AE36" s="260">
        <f t="shared" ca="1" si="36"/>
        <v>0</v>
      </c>
      <c r="AF36" s="259"/>
      <c r="AG36" s="261">
        <f t="shared" ca="1" si="2"/>
        <v>0</v>
      </c>
      <c r="AH36" s="262" t="str">
        <f t="shared" ca="1" si="3"/>
        <v>No Production</v>
      </c>
      <c r="AI36" s="263" t="str">
        <f t="shared" si="4"/>
        <v>WEST-NPDC/NECONDE</v>
      </c>
      <c r="AJ36" s="264">
        <f t="shared" ca="1" si="62"/>
        <v>0</v>
      </c>
      <c r="AK36" s="264">
        <f t="shared" ca="1" si="5"/>
        <v>0</v>
      </c>
      <c r="AL36" s="265">
        <f t="shared" ca="1" si="6"/>
        <v>0</v>
      </c>
      <c r="AM36" s="265">
        <f t="shared" ca="1" si="37"/>
        <v>0</v>
      </c>
      <c r="AN36" s="264">
        <f t="shared" ca="1" si="7"/>
        <v>0</v>
      </c>
      <c r="AO36" s="264">
        <f t="shared" si="8"/>
        <v>0</v>
      </c>
      <c r="AP36" s="264">
        <f t="shared" ca="1" si="38"/>
        <v>0</v>
      </c>
      <c r="AQ36" s="264">
        <f t="shared" ca="1" si="39"/>
        <v>0</v>
      </c>
      <c r="AR36" s="264">
        <f t="shared" si="9"/>
        <v>0</v>
      </c>
      <c r="AS36" s="264">
        <f t="shared" si="40"/>
        <v>0</v>
      </c>
      <c r="AT36" s="264">
        <f t="shared" si="68"/>
        <v>0</v>
      </c>
      <c r="AU36" s="264">
        <f t="shared" ca="1" si="68"/>
        <v>0</v>
      </c>
      <c r="AV36" s="378" t="s">
        <v>95</v>
      </c>
      <c r="AW36" s="378" t="s">
        <v>95</v>
      </c>
      <c r="AX36" s="296">
        <f t="shared" si="41"/>
        <v>0</v>
      </c>
      <c r="AY36" s="297">
        <f t="shared" si="42"/>
        <v>0</v>
      </c>
      <c r="AZ36" s="298">
        <f t="shared" si="43"/>
        <v>0</v>
      </c>
      <c r="BA36" s="296">
        <f t="shared" si="44"/>
        <v>0</v>
      </c>
      <c r="BB36" s="297">
        <f t="shared" si="45"/>
        <v>0</v>
      </c>
      <c r="BC36" s="299">
        <f t="shared" si="46"/>
        <v>0</v>
      </c>
      <c r="BD36" s="300">
        <f t="shared" si="47"/>
        <v>0</v>
      </c>
      <c r="BE36" s="406"/>
      <c r="BF36" s="302">
        <f t="shared" ca="1" si="70"/>
        <v>0</v>
      </c>
      <c r="BG36" s="303">
        <f t="shared" ca="1" si="48"/>
        <v>0</v>
      </c>
      <c r="BH36" s="304">
        <f t="shared" ca="1" si="49"/>
        <v>0</v>
      </c>
      <c r="BI36" s="305">
        <f t="shared" ca="1" si="50"/>
        <v>0</v>
      </c>
      <c r="BJ36" s="378" t="s">
        <v>318</v>
      </c>
      <c r="BK36" s="320">
        <f t="shared" si="51"/>
        <v>0</v>
      </c>
      <c r="BL36" s="378"/>
      <c r="BM36" s="378"/>
      <c r="BN36" s="378"/>
      <c r="BO36" s="321">
        <f t="shared" ca="1" si="52"/>
        <v>0</v>
      </c>
      <c r="BP36" s="378"/>
      <c r="BQ36" s="378"/>
      <c r="BR36" s="378"/>
      <c r="BS36" s="378"/>
      <c r="BT36" s="378"/>
      <c r="BU36" s="378"/>
      <c r="BV36" s="378"/>
      <c r="BW36" s="378"/>
      <c r="BX36" s="378"/>
      <c r="BY36" s="378"/>
      <c r="BZ36" s="427" t="s">
        <v>253</v>
      </c>
      <c r="CA36" s="378"/>
      <c r="CB36" s="378"/>
      <c r="CC36" s="378"/>
      <c r="CD36" s="462"/>
      <c r="CE36" s="463"/>
      <c r="CF36" s="378"/>
      <c r="CG36" s="378"/>
      <c r="CH36" s="378"/>
      <c r="CI36" s="378"/>
      <c r="CU36" s="464"/>
      <c r="CV36" s="465"/>
      <c r="CW36" s="435"/>
      <c r="CX36" s="433"/>
      <c r="CY36" s="464"/>
      <c r="CZ36" s="434"/>
      <c r="DA36" s="435"/>
      <c r="DB36" s="433"/>
      <c r="DC36" s="464"/>
      <c r="DD36" s="434"/>
      <c r="DE36" s="434"/>
      <c r="DF36" s="435"/>
      <c r="DG36" s="435"/>
      <c r="DH36" s="421"/>
      <c r="DI36" s="421"/>
      <c r="DJ36" s="421"/>
      <c r="DK36" s="421"/>
      <c r="DL36" s="421"/>
      <c r="DM36" s="421"/>
    </row>
    <row r="37" spans="1:117" ht="23.15" customHeight="1" thickBot="1">
      <c r="B37" s="394" t="str">
        <f>[2]Adj_NPDC_HCA_Input!N36</f>
        <v>Manual Sampling</v>
      </c>
      <c r="C37" s="323" t="s">
        <v>263</v>
      </c>
      <c r="D37" s="42" t="s">
        <v>93</v>
      </c>
      <c r="E37" s="324" t="s">
        <v>97</v>
      </c>
      <c r="F37" s="254">
        <f>VLOOKUP($E37,[2]Adj_NPDC_HCA_Input!$B$5:$E$42,2,FALSE)</f>
        <v>0</v>
      </c>
      <c r="G37" s="255">
        <f>VLOOKUP($E37,[2]Adj_NPDC_HCA_Input!$B$5:$E$42,3,FALSE)</f>
        <v>0</v>
      </c>
      <c r="H37" s="256">
        <f t="shared" si="24"/>
        <v>0</v>
      </c>
      <c r="I37" s="256">
        <f t="shared" si="25"/>
        <v>0</v>
      </c>
      <c r="J37" s="257" t="str">
        <f>[2]Adj_NPDC_HCA_Input!G36</f>
        <v>Non-LACT</v>
      </c>
      <c r="K37" s="257">
        <f>IF(J37="LACT",[2]Adj_NPDC_HCA_Input!$T$4,[2]Adj_NPDC_HCA_Input!$Y$4)</f>
        <v>0.99</v>
      </c>
      <c r="L37" s="257">
        <f>IF(J37="Non-LACT",VLOOKUP([2]Adj_NPDC_HCA_Input!J36,[2]Adj_NPDC_HCA_Input!$X$4:$Y$7,2,FALSE),VLOOKUP([2]Adj_NPDC_HCA_Input!J36,[2]Adj_NPDC_HCA_Input!$S$4:$T$7,2,FALSE))</f>
        <v>0.98</v>
      </c>
      <c r="M37" s="258">
        <f>IF([2]Adj_NPDC_HCA_Input!M36="No",[2]Adj_NPDC_HCA_Input!$S$32,1)</f>
        <v>0.98260000000000003</v>
      </c>
      <c r="N37" s="259">
        <f>IF([2]Adj_NPDC_HCA_Input!K36="Yes",1,0.99)</f>
        <v>1</v>
      </c>
      <c r="O37" s="259" t="str">
        <f>[2]Adj_NPDC_HCA_Input!L36</f>
        <v>No</v>
      </c>
      <c r="P37" s="260">
        <f t="shared" si="26"/>
        <v>0</v>
      </c>
      <c r="Q37" s="260">
        <f t="shared" si="61"/>
        <v>0</v>
      </c>
      <c r="R37" s="260">
        <f t="shared" ca="1" si="71"/>
        <v>0</v>
      </c>
      <c r="S37" s="260">
        <f t="shared" ca="1" si="27"/>
        <v>0</v>
      </c>
      <c r="T37" s="260">
        <f t="shared" ca="1" si="28"/>
        <v>0</v>
      </c>
      <c r="U37" s="260">
        <f t="shared" ca="1" si="29"/>
        <v>0</v>
      </c>
      <c r="V37" s="260">
        <f t="shared" ca="1" si="30"/>
        <v>0</v>
      </c>
      <c r="W37" s="260">
        <f t="shared" si="31"/>
        <v>0</v>
      </c>
      <c r="X37" s="260">
        <f t="shared" ca="1" si="32"/>
        <v>0</v>
      </c>
      <c r="Y37" s="260">
        <f t="shared" ca="1" si="32"/>
        <v>0</v>
      </c>
      <c r="Z37" s="260">
        <f t="shared" ca="1" si="33"/>
        <v>0</v>
      </c>
      <c r="AA37" s="260">
        <f t="shared" ca="1" si="72"/>
        <v>0</v>
      </c>
      <c r="AB37" s="260">
        <f t="shared" ca="1" si="74"/>
        <v>0</v>
      </c>
      <c r="AC37" s="260">
        <f t="shared" ca="1" si="35"/>
        <v>0</v>
      </c>
      <c r="AD37" s="260">
        <f t="shared" ca="1" si="36"/>
        <v>0</v>
      </c>
      <c r="AE37" s="260">
        <f t="shared" ca="1" si="36"/>
        <v>0</v>
      </c>
      <c r="AF37" s="259"/>
      <c r="AG37" s="261">
        <f t="shared" ca="1" si="2"/>
        <v>0</v>
      </c>
      <c r="AH37" s="262" t="str">
        <f t="shared" ca="1" si="3"/>
        <v>No Production</v>
      </c>
      <c r="AI37" s="263" t="str">
        <f t="shared" si="4"/>
        <v>WEST-NPDC/NECONDE</v>
      </c>
      <c r="AJ37" s="264">
        <f t="shared" ca="1" si="62"/>
        <v>0</v>
      </c>
      <c r="AK37" s="264">
        <f t="shared" ca="1" si="5"/>
        <v>0</v>
      </c>
      <c r="AL37" s="265">
        <f t="shared" ca="1" si="6"/>
        <v>0</v>
      </c>
      <c r="AM37" s="265">
        <f t="shared" ca="1" si="37"/>
        <v>0</v>
      </c>
      <c r="AN37" s="264">
        <f t="shared" ca="1" si="7"/>
        <v>0</v>
      </c>
      <c r="AO37" s="264">
        <f t="shared" si="8"/>
        <v>0</v>
      </c>
      <c r="AP37" s="264">
        <f t="shared" ca="1" si="38"/>
        <v>0</v>
      </c>
      <c r="AQ37" s="264">
        <f t="shared" ca="1" si="39"/>
        <v>0</v>
      </c>
      <c r="AR37" s="264">
        <f t="shared" si="9"/>
        <v>0</v>
      </c>
      <c r="AS37" s="264">
        <f t="shared" si="40"/>
        <v>0</v>
      </c>
      <c r="AT37" s="264">
        <f t="shared" si="68"/>
        <v>0</v>
      </c>
      <c r="AU37" s="264">
        <f t="shared" ca="1" si="68"/>
        <v>0</v>
      </c>
      <c r="AV37" s="378" t="s">
        <v>97</v>
      </c>
      <c r="AW37" s="378" t="s">
        <v>97</v>
      </c>
      <c r="AX37" s="296">
        <f t="shared" si="41"/>
        <v>0</v>
      </c>
      <c r="AY37" s="297">
        <f t="shared" si="42"/>
        <v>0</v>
      </c>
      <c r="AZ37" s="298">
        <f t="shared" si="43"/>
        <v>0</v>
      </c>
      <c r="BA37" s="296">
        <f t="shared" si="44"/>
        <v>0</v>
      </c>
      <c r="BB37" s="297">
        <f t="shared" si="45"/>
        <v>0</v>
      </c>
      <c r="BC37" s="299">
        <f t="shared" si="46"/>
        <v>0</v>
      </c>
      <c r="BD37" s="300">
        <f t="shared" si="47"/>
        <v>0</v>
      </c>
      <c r="BE37" s="406"/>
      <c r="BF37" s="302">
        <f t="shared" ca="1" si="70"/>
        <v>0</v>
      </c>
      <c r="BG37" s="303">
        <f t="shared" ca="1" si="48"/>
        <v>0</v>
      </c>
      <c r="BH37" s="304">
        <f t="shared" ca="1" si="49"/>
        <v>0</v>
      </c>
      <c r="BI37" s="305">
        <f t="shared" ca="1" si="50"/>
        <v>0</v>
      </c>
      <c r="BJ37" s="378" t="s">
        <v>319</v>
      </c>
      <c r="BK37" s="320">
        <f t="shared" si="51"/>
        <v>0</v>
      </c>
      <c r="BL37" s="378"/>
      <c r="BM37" s="378"/>
      <c r="BN37" s="378"/>
      <c r="BO37" s="321">
        <f t="shared" ca="1" si="52"/>
        <v>0</v>
      </c>
      <c r="BP37" s="378"/>
      <c r="BQ37" s="378"/>
      <c r="BR37" s="378"/>
      <c r="BS37" s="378"/>
      <c r="BT37" s="378"/>
      <c r="BU37" s="378"/>
      <c r="BV37" s="378"/>
      <c r="BW37" s="378"/>
      <c r="BX37" s="378"/>
      <c r="BY37" s="378"/>
      <c r="BZ37" s="427" t="s">
        <v>256</v>
      </c>
      <c r="CA37" s="378"/>
      <c r="CB37" s="378"/>
      <c r="CC37" s="378"/>
      <c r="CD37" s="462"/>
      <c r="CE37" s="463"/>
      <c r="CF37" s="378"/>
      <c r="CG37" s="378"/>
      <c r="CH37" s="378"/>
      <c r="CI37" s="378"/>
      <c r="CU37" s="466"/>
      <c r="CV37" s="467"/>
      <c r="CW37" s="426"/>
      <c r="CX37" s="468"/>
      <c r="CY37" s="469"/>
      <c r="CZ37" s="425"/>
      <c r="DA37" s="426"/>
      <c r="DB37" s="468"/>
      <c r="DC37" s="469"/>
      <c r="DD37" s="425"/>
      <c r="DE37" s="425"/>
      <c r="DF37" s="426"/>
      <c r="DG37" s="426"/>
      <c r="DH37" s="421"/>
      <c r="DI37" s="421"/>
      <c r="DJ37" s="421"/>
      <c r="DK37" s="421"/>
      <c r="DL37" s="421"/>
      <c r="DM37" s="421"/>
    </row>
    <row r="38" spans="1:117" ht="23.15" customHeight="1">
      <c r="B38" s="394" t="str">
        <f>[2]Adj_NPDC_HCA_Input!N37</f>
        <v>Auto Sampler</v>
      </c>
      <c r="C38" s="323" t="s">
        <v>263</v>
      </c>
      <c r="D38" s="42" t="s">
        <v>93</v>
      </c>
      <c r="E38" s="324" t="s">
        <v>99</v>
      </c>
      <c r="F38" s="254">
        <f>VLOOKUP($E38,[2]Adj_NPDC_HCA_Input!$B$5:$E$42,2,FALSE)</f>
        <v>87651.64312528001</v>
      </c>
      <c r="G38" s="255">
        <f>VLOOKUP($E38,[2]Adj_NPDC_HCA_Input!$B$5:$E$42,3,FALSE)</f>
        <v>0.43024045622441354</v>
      </c>
      <c r="H38" s="256">
        <f t="shared" si="24"/>
        <v>37711.282927039952</v>
      </c>
      <c r="I38" s="256">
        <f t="shared" si="25"/>
        <v>49940.360198240058</v>
      </c>
      <c r="J38" s="257" t="str">
        <f>[2]Adj_NPDC_HCA_Input!G37</f>
        <v>LACT</v>
      </c>
      <c r="K38" s="257">
        <f>IF(J38="LACT",[2]Adj_NPDC_HCA_Input!$T$4,[2]Adj_NPDC_HCA_Input!$Y$4)</f>
        <v>1</v>
      </c>
      <c r="L38" s="257">
        <f>IF(J38="Non-LACT",VLOOKUP([2]Adj_NPDC_HCA_Input!J37,[2]Adj_NPDC_HCA_Input!$X$4:$Y$7,2,FALSE),VLOOKUP([2]Adj_NPDC_HCA_Input!J37,[2]Adj_NPDC_HCA_Input!$S$4:$T$7,2,FALSE))</f>
        <v>0.98</v>
      </c>
      <c r="M38" s="258">
        <f>IF([2]Adj_NPDC_HCA_Input!M37="No",[2]Adj_NPDC_HCA_Input!$S$32,1)</f>
        <v>1</v>
      </c>
      <c r="N38" s="259">
        <f>IF([2]Adj_NPDC_HCA_Input!K37="Yes",1,0.99)</f>
        <v>1</v>
      </c>
      <c r="O38" s="259" t="str">
        <f>[2]Adj_NPDC_HCA_Input!L37</f>
        <v>No</v>
      </c>
      <c r="P38" s="260">
        <f t="shared" si="26"/>
        <v>85898.610262774411</v>
      </c>
      <c r="Q38" s="260">
        <f t="shared" si="61"/>
        <v>36957.057268499157</v>
      </c>
      <c r="R38" s="260">
        <f t="shared" si="71"/>
        <v>0</v>
      </c>
      <c r="S38" s="260">
        <f t="shared" si="27"/>
        <v>36957.057268499157</v>
      </c>
      <c r="T38" s="260">
        <f t="shared" si="28"/>
        <v>0</v>
      </c>
      <c r="U38" s="260">
        <f t="shared" si="29"/>
        <v>36957.057268499157</v>
      </c>
      <c r="V38" s="260">
        <f t="shared" si="30"/>
        <v>48941.552994275255</v>
      </c>
      <c r="W38" s="260">
        <f t="shared" si="31"/>
        <v>1753.032862505599</v>
      </c>
      <c r="X38" s="260">
        <f t="shared" si="32"/>
        <v>754.22565854079585</v>
      </c>
      <c r="Y38" s="260">
        <f t="shared" si="32"/>
        <v>998.80720396480319</v>
      </c>
      <c r="Z38" s="260">
        <f t="shared" ca="1" si="33"/>
        <v>838.61711970329361</v>
      </c>
      <c r="AA38" s="260">
        <f t="shared" ca="1" si="72"/>
        <v>-1221.4347942824011</v>
      </c>
      <c r="AB38" s="260">
        <f t="shared" ca="1" si="74"/>
        <v>2060.0519139856947</v>
      </c>
      <c r="AC38" s="260">
        <f t="shared" ca="1" si="35"/>
        <v>85059.993143071115</v>
      </c>
      <c r="AD38" s="260">
        <f t="shared" ca="1" si="36"/>
        <v>38178.492062781559</v>
      </c>
      <c r="AE38" s="260">
        <f t="shared" ca="1" si="36"/>
        <v>46881.501080289563</v>
      </c>
      <c r="AF38" s="259"/>
      <c r="AG38" s="261">
        <f t="shared" ca="1" si="2"/>
        <v>0.93874975859588827</v>
      </c>
      <c r="AH38" s="262">
        <f t="shared" si="3"/>
        <v>2.0000000000000018E-2</v>
      </c>
      <c r="AI38" s="263" t="str">
        <f t="shared" si="4"/>
        <v>WEST-NPDC/NECONDE</v>
      </c>
      <c r="AJ38" s="264">
        <f t="shared" ca="1" si="62"/>
        <v>46881.501080289563</v>
      </c>
      <c r="AK38" s="264">
        <f t="shared" ca="1" si="5"/>
        <v>38178.492062781559</v>
      </c>
      <c r="AL38" s="265">
        <f t="shared" ca="1" si="6"/>
        <v>2060.0519139856947</v>
      </c>
      <c r="AM38" s="265">
        <f t="shared" ca="1" si="37"/>
        <v>-1221.4347942824011</v>
      </c>
      <c r="AN38" s="264">
        <f t="shared" si="7"/>
        <v>998.80720396480319</v>
      </c>
      <c r="AO38" s="264">
        <f t="shared" si="8"/>
        <v>49940.360198240058</v>
      </c>
      <c r="AP38" s="264">
        <f t="shared" si="38"/>
        <v>48941.552994275255</v>
      </c>
      <c r="AQ38" s="264">
        <f t="shared" si="39"/>
        <v>36957.057268499157</v>
      </c>
      <c r="AR38" s="264">
        <f t="shared" si="9"/>
        <v>37711.282927039952</v>
      </c>
      <c r="AS38" s="264">
        <f t="shared" si="40"/>
        <v>48941.552994275255</v>
      </c>
      <c r="AT38" s="264">
        <f t="shared" si="68"/>
        <v>36957.057268499157</v>
      </c>
      <c r="AU38" s="264">
        <f t="shared" si="68"/>
        <v>0</v>
      </c>
      <c r="AV38" s="378" t="s">
        <v>99</v>
      </c>
      <c r="AW38" s="378" t="s">
        <v>99</v>
      </c>
      <c r="AX38" s="296">
        <f t="shared" si="41"/>
        <v>87651.64312528001</v>
      </c>
      <c r="AY38" s="297">
        <f t="shared" si="42"/>
        <v>49940.360198240058</v>
      </c>
      <c r="AZ38" s="298">
        <f t="shared" si="43"/>
        <v>37711.282927039952</v>
      </c>
      <c r="BA38" s="296">
        <f t="shared" si="44"/>
        <v>85898.610262774411</v>
      </c>
      <c r="BB38" s="297">
        <f t="shared" si="45"/>
        <v>48941.552994275255</v>
      </c>
      <c r="BC38" s="299">
        <f t="shared" si="46"/>
        <v>0.43024045622441354</v>
      </c>
      <c r="BD38" s="300">
        <f t="shared" si="47"/>
        <v>36957.057268499157</v>
      </c>
      <c r="BE38" s="406"/>
      <c r="BF38" s="302">
        <f t="shared" si="70"/>
        <v>36957.057268499157</v>
      </c>
      <c r="BG38" s="303">
        <f t="shared" si="48"/>
        <v>48941.552994275255</v>
      </c>
      <c r="BH38" s="304">
        <f t="shared" ca="1" si="49"/>
        <v>38178.492062781559</v>
      </c>
      <c r="BI38" s="305">
        <f t="shared" ca="1" si="50"/>
        <v>46881.501080289563</v>
      </c>
      <c r="BJ38" s="378" t="s">
        <v>320</v>
      </c>
      <c r="BK38" s="320">
        <f t="shared" si="51"/>
        <v>998.80720396480319</v>
      </c>
      <c r="BL38" s="378"/>
      <c r="BM38" s="378"/>
      <c r="BN38" s="378"/>
      <c r="BO38" s="321">
        <f t="shared" si="52"/>
        <v>0</v>
      </c>
      <c r="BP38" s="378"/>
      <c r="BQ38" s="378"/>
      <c r="BR38" s="378"/>
      <c r="BS38" s="378"/>
      <c r="BT38" s="378"/>
      <c r="BU38" s="378"/>
      <c r="BV38" s="378"/>
      <c r="BW38" s="378"/>
      <c r="BX38" s="378"/>
      <c r="BY38" s="378"/>
      <c r="BZ38" s="427" t="s">
        <v>259</v>
      </c>
      <c r="CA38" s="378"/>
      <c r="CB38" s="378"/>
      <c r="CC38" s="378"/>
      <c r="CD38" s="462"/>
      <c r="CE38" s="463"/>
      <c r="CF38" s="378"/>
      <c r="CG38" s="378"/>
      <c r="CH38" s="378"/>
      <c r="CI38" s="378"/>
      <c r="DH38" s="421"/>
      <c r="DI38" s="421"/>
      <c r="DJ38" s="421"/>
      <c r="DK38" s="421"/>
      <c r="DL38" s="421"/>
      <c r="DM38" s="421"/>
    </row>
    <row r="39" spans="1:117" ht="23.15" customHeight="1">
      <c r="B39" s="394" t="str">
        <f>[2]Adj_NPDC_HCA_Input!N38</f>
        <v>Manual Sampling</v>
      </c>
      <c r="C39" s="323" t="s">
        <v>263</v>
      </c>
      <c r="D39" s="42" t="s">
        <v>93</v>
      </c>
      <c r="E39" s="324" t="s">
        <v>100</v>
      </c>
      <c r="F39" s="254">
        <f>VLOOKUP($E39,[2]Adj_NPDC_HCA_Input!$B$5:$E$42,2,FALSE)</f>
        <v>0</v>
      </c>
      <c r="G39" s="255">
        <f>VLOOKUP($E39,[2]Adj_NPDC_HCA_Input!$B$5:$E$42,3,FALSE)</f>
        <v>0</v>
      </c>
      <c r="H39" s="256">
        <f t="shared" si="24"/>
        <v>0</v>
      </c>
      <c r="I39" s="256">
        <f t="shared" si="25"/>
        <v>0</v>
      </c>
      <c r="J39" s="257" t="str">
        <f>[2]Adj_NPDC_HCA_Input!G38</f>
        <v>Non-LACT</v>
      </c>
      <c r="K39" s="257">
        <f>IF(J39="LACT",[2]Adj_NPDC_HCA_Input!$T$4,[2]Adj_NPDC_HCA_Input!$Y$4)</f>
        <v>0.99</v>
      </c>
      <c r="L39" s="257">
        <f>IF(J39="Non-LACT",VLOOKUP([2]Adj_NPDC_HCA_Input!J38,[2]Adj_NPDC_HCA_Input!$X$4:$Y$7,2,FALSE),VLOOKUP([2]Adj_NPDC_HCA_Input!J38,[2]Adj_NPDC_HCA_Input!$S$4:$T$7,2,FALSE))</f>
        <v>0.98</v>
      </c>
      <c r="M39" s="258">
        <f>IF([2]Adj_NPDC_HCA_Input!M38="No",[2]Adj_NPDC_HCA_Input!$S$32,1)</f>
        <v>0.98260000000000003</v>
      </c>
      <c r="N39" s="259">
        <f>IF([2]Adj_NPDC_HCA_Input!K38="Yes",1,0.99)</f>
        <v>1</v>
      </c>
      <c r="O39" s="259" t="str">
        <f>[2]Adj_NPDC_HCA_Input!L38</f>
        <v>No</v>
      </c>
      <c r="P39" s="260">
        <f t="shared" si="26"/>
        <v>0</v>
      </c>
      <c r="Q39" s="260">
        <f t="shared" si="61"/>
        <v>0</v>
      </c>
      <c r="R39" s="260">
        <f t="shared" ca="1" si="71"/>
        <v>0</v>
      </c>
      <c r="S39" s="260">
        <f t="shared" ca="1" si="27"/>
        <v>0</v>
      </c>
      <c r="T39" s="260">
        <f t="shared" ca="1" si="28"/>
        <v>0</v>
      </c>
      <c r="U39" s="260">
        <f t="shared" ca="1" si="29"/>
        <v>0</v>
      </c>
      <c r="V39" s="260">
        <f t="shared" ca="1" si="30"/>
        <v>0</v>
      </c>
      <c r="W39" s="260">
        <f t="shared" si="31"/>
        <v>0</v>
      </c>
      <c r="X39" s="260">
        <f t="shared" ca="1" si="32"/>
        <v>0</v>
      </c>
      <c r="Y39" s="260">
        <f t="shared" ca="1" si="32"/>
        <v>0</v>
      </c>
      <c r="Z39" s="260">
        <f t="shared" ca="1" si="33"/>
        <v>0</v>
      </c>
      <c r="AA39" s="260">
        <f t="shared" ca="1" si="72"/>
        <v>0</v>
      </c>
      <c r="AB39" s="260">
        <f t="shared" ca="1" si="74"/>
        <v>0</v>
      </c>
      <c r="AC39" s="260">
        <f t="shared" ca="1" si="35"/>
        <v>0</v>
      </c>
      <c r="AD39" s="260">
        <f t="shared" ca="1" si="36"/>
        <v>0</v>
      </c>
      <c r="AE39" s="260">
        <f t="shared" ca="1" si="36"/>
        <v>0</v>
      </c>
      <c r="AF39" s="259"/>
      <c r="AG39" s="261">
        <f t="shared" ca="1" si="2"/>
        <v>0</v>
      </c>
      <c r="AH39" s="262" t="str">
        <f t="shared" ca="1" si="3"/>
        <v>No Production</v>
      </c>
      <c r="AI39" s="263" t="str">
        <f t="shared" si="4"/>
        <v>WEST-NPDC/NECONDE</v>
      </c>
      <c r="AJ39" s="264">
        <f t="shared" ca="1" si="62"/>
        <v>0</v>
      </c>
      <c r="AK39" s="264">
        <f t="shared" ca="1" si="5"/>
        <v>0</v>
      </c>
      <c r="AL39" s="265">
        <f t="shared" ca="1" si="6"/>
        <v>0</v>
      </c>
      <c r="AM39" s="265">
        <f t="shared" ca="1" si="37"/>
        <v>0</v>
      </c>
      <c r="AN39" s="264">
        <f t="shared" ca="1" si="7"/>
        <v>0</v>
      </c>
      <c r="AO39" s="264">
        <f t="shared" si="8"/>
        <v>0</v>
      </c>
      <c r="AP39" s="264">
        <f t="shared" ca="1" si="38"/>
        <v>0</v>
      </c>
      <c r="AQ39" s="264">
        <f t="shared" ca="1" si="39"/>
        <v>0</v>
      </c>
      <c r="AR39" s="264">
        <f t="shared" si="9"/>
        <v>0</v>
      </c>
      <c r="AS39" s="264">
        <f t="shared" si="40"/>
        <v>0</v>
      </c>
      <c r="AT39" s="264">
        <f t="shared" si="68"/>
        <v>0</v>
      </c>
      <c r="AU39" s="264">
        <f t="shared" ca="1" si="68"/>
        <v>0</v>
      </c>
      <c r="AV39" s="378" t="s">
        <v>100</v>
      </c>
      <c r="AW39" s="378" t="s">
        <v>100</v>
      </c>
      <c r="AX39" s="296">
        <f t="shared" si="41"/>
        <v>0</v>
      </c>
      <c r="AY39" s="297">
        <f t="shared" si="42"/>
        <v>0</v>
      </c>
      <c r="AZ39" s="298">
        <f t="shared" si="43"/>
        <v>0</v>
      </c>
      <c r="BA39" s="296">
        <f t="shared" si="44"/>
        <v>0</v>
      </c>
      <c r="BB39" s="297">
        <f t="shared" si="45"/>
        <v>0</v>
      </c>
      <c r="BC39" s="299">
        <f t="shared" si="46"/>
        <v>0</v>
      </c>
      <c r="BD39" s="300">
        <f t="shared" si="47"/>
        <v>0</v>
      </c>
      <c r="BE39" s="406"/>
      <c r="BF39" s="302">
        <f t="shared" ca="1" si="70"/>
        <v>0</v>
      </c>
      <c r="BG39" s="303">
        <f t="shared" ca="1" si="48"/>
        <v>0</v>
      </c>
      <c r="BH39" s="304">
        <f t="shared" ca="1" si="49"/>
        <v>0</v>
      </c>
      <c r="BI39" s="305">
        <f t="shared" ca="1" si="50"/>
        <v>0</v>
      </c>
      <c r="BJ39" s="378" t="s">
        <v>321</v>
      </c>
      <c r="BK39" s="320">
        <f t="shared" si="51"/>
        <v>0</v>
      </c>
      <c r="BL39" s="378"/>
      <c r="BM39" s="378"/>
      <c r="BN39" s="378"/>
      <c r="BO39" s="321">
        <f t="shared" ca="1" si="52"/>
        <v>0</v>
      </c>
      <c r="BP39" s="378"/>
      <c r="BQ39" s="378"/>
      <c r="BR39" s="378"/>
      <c r="BS39" s="378"/>
      <c r="BT39" s="378"/>
      <c r="BU39" s="378"/>
      <c r="BV39" s="378"/>
      <c r="BW39" s="378"/>
      <c r="BX39" s="378"/>
      <c r="BY39" s="378"/>
      <c r="BZ39" s="427" t="s">
        <v>263</v>
      </c>
      <c r="CA39" s="378"/>
      <c r="CB39" s="378"/>
      <c r="CC39" s="378"/>
      <c r="CD39" s="462"/>
      <c r="CE39" s="463"/>
      <c r="CF39" s="378"/>
      <c r="CG39" s="378"/>
      <c r="CH39" s="378"/>
      <c r="CI39" s="378"/>
    </row>
    <row r="40" spans="1:117" ht="23.15" customHeight="1">
      <c r="B40" s="394" t="str">
        <f>[2]Adj_NPDC_HCA_Input!N39</f>
        <v>Manual Sampling</v>
      </c>
      <c r="C40" s="323" t="s">
        <v>263</v>
      </c>
      <c r="D40" s="42" t="s">
        <v>93</v>
      </c>
      <c r="E40" s="324" t="s">
        <v>101</v>
      </c>
      <c r="F40" s="254">
        <f>VLOOKUP($E40,[2]Adj_NPDC_HCA_Input!$B$5:$E$42,2,FALSE)</f>
        <v>0</v>
      </c>
      <c r="G40" s="255">
        <f>VLOOKUP($E40,[2]Adj_NPDC_HCA_Input!$B$5:$E$42,3,FALSE)</f>
        <v>0</v>
      </c>
      <c r="H40" s="256">
        <f t="shared" si="24"/>
        <v>0</v>
      </c>
      <c r="I40" s="256">
        <f t="shared" si="25"/>
        <v>0</v>
      </c>
      <c r="J40" s="257" t="str">
        <f>[2]Adj_NPDC_HCA_Input!G39</f>
        <v>Non-LACT</v>
      </c>
      <c r="K40" s="257">
        <f>IF(J40="LACT",[2]Adj_NPDC_HCA_Input!$T$4,[2]Adj_NPDC_HCA_Input!$Y$4)</f>
        <v>0.99</v>
      </c>
      <c r="L40" s="257">
        <f>IF(J40="Non-LACT",VLOOKUP([2]Adj_NPDC_HCA_Input!J39,[2]Adj_NPDC_HCA_Input!$X$4:$Y$7,2,FALSE),VLOOKUP([2]Adj_NPDC_HCA_Input!J39,[2]Adj_NPDC_HCA_Input!$S$4:$T$7,2,FALSE))</f>
        <v>0.98</v>
      </c>
      <c r="M40" s="258">
        <f>IF([2]Adj_NPDC_HCA_Input!M39="No",[2]Adj_NPDC_HCA_Input!$S$32,1)</f>
        <v>0.98260000000000003</v>
      </c>
      <c r="N40" s="259">
        <f>IF([2]Adj_NPDC_HCA_Input!K39="Yes",1,0.99)</f>
        <v>1</v>
      </c>
      <c r="O40" s="259" t="str">
        <f>[2]Adj_NPDC_HCA_Input!L39</f>
        <v>No</v>
      </c>
      <c r="P40" s="260">
        <f t="shared" si="26"/>
        <v>0</v>
      </c>
      <c r="Q40" s="260">
        <f t="shared" si="61"/>
        <v>0</v>
      </c>
      <c r="R40" s="260">
        <f ca="1">IF(B40="Auto Sampler",0,IF($W$77=0,0,IF($W$75&gt;$Q$47,($W$76*(Q40/$W$77)),0)))</f>
        <v>0</v>
      </c>
      <c r="S40" s="260">
        <f t="shared" ca="1" si="27"/>
        <v>0</v>
      </c>
      <c r="T40" s="260">
        <f t="shared" ca="1" si="28"/>
        <v>0</v>
      </c>
      <c r="U40" s="260">
        <f t="shared" ca="1" si="29"/>
        <v>0</v>
      </c>
      <c r="V40" s="260">
        <f t="shared" ca="1" si="30"/>
        <v>0</v>
      </c>
      <c r="W40" s="260">
        <f t="shared" si="31"/>
        <v>0</v>
      </c>
      <c r="X40" s="260">
        <f t="shared" ca="1" si="32"/>
        <v>0</v>
      </c>
      <c r="Y40" s="260">
        <f t="shared" ca="1" si="32"/>
        <v>0</v>
      </c>
      <c r="Z40" s="260">
        <f t="shared" ca="1" si="33"/>
        <v>0</v>
      </c>
      <c r="AA40" s="260">
        <f t="shared" ca="1" si="72"/>
        <v>0</v>
      </c>
      <c r="AB40" s="260">
        <f t="shared" ca="1" si="74"/>
        <v>0</v>
      </c>
      <c r="AC40" s="260">
        <f t="shared" ca="1" si="35"/>
        <v>0</v>
      </c>
      <c r="AD40" s="260">
        <f t="shared" ca="1" si="36"/>
        <v>0</v>
      </c>
      <c r="AE40" s="260">
        <f t="shared" ca="1" si="36"/>
        <v>0</v>
      </c>
      <c r="AF40" s="259"/>
      <c r="AG40" s="261">
        <f t="shared" ca="1" si="2"/>
        <v>0</v>
      </c>
      <c r="AH40" s="262" t="str">
        <f t="shared" ca="1" si="3"/>
        <v>No Production</v>
      </c>
      <c r="AI40" s="263" t="str">
        <f t="shared" si="4"/>
        <v>WEST-NPDC/NECONDE</v>
      </c>
      <c r="AJ40" s="264">
        <f t="shared" ca="1" si="62"/>
        <v>0</v>
      </c>
      <c r="AK40" s="264">
        <f t="shared" ca="1" si="5"/>
        <v>0</v>
      </c>
      <c r="AL40" s="265">
        <f t="shared" ca="1" si="6"/>
        <v>0</v>
      </c>
      <c r="AM40" s="265">
        <f t="shared" ca="1" si="37"/>
        <v>0</v>
      </c>
      <c r="AN40" s="264">
        <f t="shared" ca="1" si="7"/>
        <v>0</v>
      </c>
      <c r="AO40" s="264">
        <f t="shared" si="8"/>
        <v>0</v>
      </c>
      <c r="AP40" s="264">
        <f t="shared" ca="1" si="38"/>
        <v>0</v>
      </c>
      <c r="AQ40" s="264">
        <f t="shared" ca="1" si="39"/>
        <v>0</v>
      </c>
      <c r="AR40" s="264">
        <f t="shared" si="9"/>
        <v>0</v>
      </c>
      <c r="AS40" s="264">
        <f t="shared" si="40"/>
        <v>0</v>
      </c>
      <c r="AT40" s="264">
        <f t="shared" si="68"/>
        <v>0</v>
      </c>
      <c r="AU40" s="264">
        <f t="shared" ca="1" si="68"/>
        <v>0</v>
      </c>
      <c r="AV40" s="378" t="s">
        <v>101</v>
      </c>
      <c r="AW40" s="378" t="s">
        <v>101</v>
      </c>
      <c r="AX40" s="296">
        <f t="shared" si="41"/>
        <v>0</v>
      </c>
      <c r="AY40" s="297">
        <f t="shared" si="42"/>
        <v>0</v>
      </c>
      <c r="AZ40" s="298">
        <f t="shared" si="43"/>
        <v>0</v>
      </c>
      <c r="BA40" s="296">
        <f t="shared" si="44"/>
        <v>0</v>
      </c>
      <c r="BB40" s="297">
        <f t="shared" si="45"/>
        <v>0</v>
      </c>
      <c r="BC40" s="299">
        <f t="shared" si="46"/>
        <v>0</v>
      </c>
      <c r="BD40" s="300">
        <f t="shared" si="47"/>
        <v>0</v>
      </c>
      <c r="BE40" s="406"/>
      <c r="BF40" s="302">
        <f t="shared" ca="1" si="70"/>
        <v>0</v>
      </c>
      <c r="BG40" s="303">
        <f t="shared" ca="1" si="48"/>
        <v>0</v>
      </c>
      <c r="BH40" s="304">
        <f t="shared" ca="1" si="49"/>
        <v>0</v>
      </c>
      <c r="BI40" s="305">
        <f t="shared" ca="1" si="50"/>
        <v>0</v>
      </c>
      <c r="BJ40" s="378" t="s">
        <v>322</v>
      </c>
      <c r="BK40" s="320">
        <f t="shared" si="51"/>
        <v>0</v>
      </c>
      <c r="BL40" s="378"/>
      <c r="BM40" s="378"/>
      <c r="BN40" s="378"/>
      <c r="BO40" s="321">
        <f t="shared" ca="1" si="52"/>
        <v>0</v>
      </c>
      <c r="BP40" s="378"/>
      <c r="BQ40" s="378"/>
      <c r="BR40" s="378"/>
      <c r="BS40" s="378"/>
      <c r="BT40" s="378"/>
      <c r="BU40" s="378"/>
      <c r="BV40" s="378"/>
      <c r="BW40" s="378"/>
      <c r="BX40" s="378"/>
      <c r="BY40" s="378"/>
      <c r="BZ40" s="127" t="s">
        <v>266</v>
      </c>
      <c r="CA40" s="378"/>
      <c r="CB40" s="378"/>
      <c r="CC40" s="378"/>
      <c r="CD40" s="462"/>
      <c r="CE40" s="463"/>
      <c r="CF40" s="378"/>
      <c r="CG40" s="378"/>
      <c r="CH40" s="378"/>
      <c r="CI40" s="378"/>
    </row>
    <row r="41" spans="1:117" ht="23.15" customHeight="1">
      <c r="A41" s="378"/>
      <c r="B41" s="394" t="str">
        <f>[2]Adj_NPDC_HCA_Input!N40</f>
        <v>Auto Sampler</v>
      </c>
      <c r="C41" s="470" t="s">
        <v>269</v>
      </c>
      <c r="D41" s="42" t="s">
        <v>102</v>
      </c>
      <c r="E41" s="24" t="s">
        <v>102</v>
      </c>
      <c r="F41" s="254">
        <f>VLOOKUP($E41,[2]Adj_NPDC_HCA_Input!$B$5:$E$42,2,FALSE)</f>
        <v>648200.34983667114</v>
      </c>
      <c r="G41" s="255">
        <f>VLOOKUP($E41,[2]Adj_NPDC_HCA_Input!$B$5:$E$42,3,FALSE)</f>
        <v>9.0840170533078579E-3</v>
      </c>
      <c r="H41" s="256">
        <f>F41*G41</f>
        <v>5888.2630318764404</v>
      </c>
      <c r="I41" s="256">
        <f t="shared" si="25"/>
        <v>642312.08680479473</v>
      </c>
      <c r="J41" s="257" t="str">
        <f>[2]Adj_NPDC_HCA_Input!G40</f>
        <v>LACT</v>
      </c>
      <c r="K41" s="257">
        <f>IF(J41="LACT",[2]Adj_NPDC_HCA_Input!$T$4,[2]Adj_NPDC_HCA_Input!$Y$4)</f>
        <v>1</v>
      </c>
      <c r="L41" s="257">
        <f>IF(J41="Non-LACT",VLOOKUP([2]Adj_NPDC_HCA_Input!J40,[2]Adj_NPDC_HCA_Input!$X$4:$Y$7,2,FALSE),VLOOKUP([2]Adj_NPDC_HCA_Input!J40,[2]Adj_NPDC_HCA_Input!$S$4:$T$7,2,FALSE))</f>
        <v>1</v>
      </c>
      <c r="M41" s="258">
        <f>IF([2]Adj_NPDC_HCA_Input!M40="No",[2]Adj_NPDC_HCA_Input!$S$32,1)</f>
        <v>1</v>
      </c>
      <c r="N41" s="259">
        <f>IF([2]Adj_NPDC_HCA_Input!K40="Yes",1,0.99)</f>
        <v>1</v>
      </c>
      <c r="O41" s="259" t="str">
        <f>[2]Adj_NPDC_HCA_Input!L40</f>
        <v>No</v>
      </c>
      <c r="P41" s="260">
        <f t="shared" si="26"/>
        <v>648200.34983667114</v>
      </c>
      <c r="Q41" s="260">
        <f t="shared" si="61"/>
        <v>5888.2630318764404</v>
      </c>
      <c r="R41" s="260">
        <f t="shared" si="71"/>
        <v>0</v>
      </c>
      <c r="S41" s="260">
        <f t="shared" si="27"/>
        <v>5888.2630318764404</v>
      </c>
      <c r="T41" s="260">
        <f t="shared" si="28"/>
        <v>0</v>
      </c>
      <c r="U41" s="260">
        <f t="shared" si="29"/>
        <v>5888.2630318764404</v>
      </c>
      <c r="V41" s="260">
        <f t="shared" si="30"/>
        <v>642312.08680479473</v>
      </c>
      <c r="W41" s="260">
        <f t="shared" si="31"/>
        <v>0</v>
      </c>
      <c r="X41" s="260">
        <f t="shared" si="32"/>
        <v>0</v>
      </c>
      <c r="Y41" s="260">
        <f t="shared" si="32"/>
        <v>0</v>
      </c>
      <c r="Z41" s="260">
        <f ca="1">SUM(AA41:AB41)</f>
        <v>27036.25371171076</v>
      </c>
      <c r="AA41" s="260">
        <f t="shared" ca="1" si="72"/>
        <v>0</v>
      </c>
      <c r="AB41" s="260">
        <f t="shared" ca="1" si="74"/>
        <v>27036.25371171076</v>
      </c>
      <c r="AC41" s="260">
        <f t="shared" ca="1" si="35"/>
        <v>621164.09612496034</v>
      </c>
      <c r="AD41" s="260">
        <f t="shared" ca="1" si="36"/>
        <v>5888.2630318764404</v>
      </c>
      <c r="AE41" s="260">
        <f t="shared" ca="1" si="36"/>
        <v>615275.83309308393</v>
      </c>
      <c r="AF41" s="259"/>
      <c r="AG41" s="261">
        <f t="shared" ca="1" si="2"/>
        <v>0.95790791693457977</v>
      </c>
      <c r="AH41" s="262">
        <f t="shared" si="3"/>
        <v>0</v>
      </c>
      <c r="AI41" s="263" t="str">
        <f t="shared" si="4"/>
        <v>WEST-Midwestern</v>
      </c>
      <c r="AJ41" s="264">
        <f t="shared" ca="1" si="62"/>
        <v>615275.83309308393</v>
      </c>
      <c r="AK41" s="264">
        <f t="shared" ca="1" si="5"/>
        <v>5888.2630318764404</v>
      </c>
      <c r="AL41" s="265">
        <f t="shared" ca="1" si="6"/>
        <v>27036.25371171076</v>
      </c>
      <c r="AM41" s="265">
        <f t="shared" ca="1" si="37"/>
        <v>0</v>
      </c>
      <c r="AN41" s="264">
        <f t="shared" si="7"/>
        <v>0</v>
      </c>
      <c r="AO41" s="264">
        <f t="shared" si="8"/>
        <v>642312.08680479473</v>
      </c>
      <c r="AP41" s="264">
        <f t="shared" si="38"/>
        <v>642312.08680479473</v>
      </c>
      <c r="AQ41" s="264">
        <f t="shared" si="39"/>
        <v>5888.2630318764404</v>
      </c>
      <c r="AR41" s="264">
        <f t="shared" si="9"/>
        <v>5888.2630318764404</v>
      </c>
      <c r="AS41" s="264">
        <f t="shared" si="40"/>
        <v>642312.08680479473</v>
      </c>
      <c r="AT41" s="264">
        <f t="shared" si="68"/>
        <v>5888.2630318764404</v>
      </c>
      <c r="AU41" s="264">
        <f t="shared" si="68"/>
        <v>0</v>
      </c>
      <c r="AV41" s="378" t="s">
        <v>102</v>
      </c>
      <c r="AW41" s="378" t="s">
        <v>102</v>
      </c>
      <c r="AX41" s="296">
        <f t="shared" si="41"/>
        <v>648200.34983667114</v>
      </c>
      <c r="AY41" s="297">
        <f t="shared" si="42"/>
        <v>642312.08680479473</v>
      </c>
      <c r="AZ41" s="298">
        <f t="shared" si="43"/>
        <v>5888.2630318764404</v>
      </c>
      <c r="BA41" s="296">
        <f t="shared" si="44"/>
        <v>648200.34983667114</v>
      </c>
      <c r="BB41" s="297">
        <f t="shared" si="45"/>
        <v>642312.08680479473</v>
      </c>
      <c r="BC41" s="299">
        <f t="shared" si="46"/>
        <v>9.0840170533078579E-3</v>
      </c>
      <c r="BD41" s="300">
        <f t="shared" si="47"/>
        <v>5888.2630318764404</v>
      </c>
      <c r="BE41" s="406"/>
      <c r="BF41" s="302">
        <f t="shared" si="70"/>
        <v>5888.2630318764404</v>
      </c>
      <c r="BG41" s="303">
        <f t="shared" si="48"/>
        <v>642312.08680479473</v>
      </c>
      <c r="BH41" s="304">
        <f t="shared" ca="1" si="49"/>
        <v>5888.2630318764404</v>
      </c>
      <c r="BI41" s="305">
        <f t="shared" ca="1" si="50"/>
        <v>615275.83309308393</v>
      </c>
      <c r="BJ41" s="378" t="s">
        <v>323</v>
      </c>
      <c r="BK41" s="320">
        <f t="shared" si="51"/>
        <v>0</v>
      </c>
      <c r="BL41" s="378"/>
      <c r="BM41" s="378"/>
      <c r="BN41" s="378"/>
      <c r="BO41" s="321">
        <f t="shared" si="52"/>
        <v>0</v>
      </c>
      <c r="BP41" s="378"/>
      <c r="BQ41" s="378"/>
      <c r="BR41" s="378"/>
      <c r="BS41" s="378"/>
      <c r="BT41" s="378"/>
      <c r="BU41" s="378"/>
      <c r="BV41" s="378"/>
      <c r="BW41" s="378"/>
      <c r="BX41" s="378"/>
      <c r="BY41" s="378"/>
      <c r="BZ41" s="127" t="s">
        <v>269</v>
      </c>
      <c r="CA41" s="378"/>
      <c r="CB41" s="378"/>
      <c r="CC41" s="378"/>
      <c r="CD41" s="462"/>
      <c r="CE41" s="463"/>
      <c r="CF41" s="378"/>
      <c r="CG41" s="378"/>
      <c r="CH41" s="378"/>
      <c r="CI41" s="378"/>
    </row>
    <row r="42" spans="1:117" ht="23.15" customHeight="1">
      <c r="B42" s="394" t="str">
        <f>[2]Adj_NPDC_HCA_Input!N41</f>
        <v>Auto Sampler</v>
      </c>
      <c r="C42" s="470" t="s">
        <v>266</v>
      </c>
      <c r="D42" s="42" t="s">
        <v>104</v>
      </c>
      <c r="E42" s="24" t="s">
        <v>105</v>
      </c>
      <c r="F42" s="254">
        <f>VLOOKUP($E42,[2]Adj_NPDC_HCA_Input!$B$5:$E$42,2,FALSE)</f>
        <v>1407374.6239197</v>
      </c>
      <c r="G42" s="255">
        <f>VLOOKUP($E42,[2]Adj_NPDC_HCA_Input!$B$5:$E$42,3,FALSE)</f>
        <v>0.19971959790770444</v>
      </c>
      <c r="H42" s="256">
        <f>F42*G42</f>
        <v>281080.29399474926</v>
      </c>
      <c r="I42" s="256">
        <f t="shared" si="25"/>
        <v>1126294.3299249508</v>
      </c>
      <c r="J42" s="257" t="str">
        <f>[2]Adj_NPDC_HCA_Input!G41</f>
        <v>LACT</v>
      </c>
      <c r="K42" s="257">
        <f>IF(J42="LACT",[2]Adj_NPDC_HCA_Input!$T$4,[2]Adj_NPDC_HCA_Input!$Y$4)</f>
        <v>1</v>
      </c>
      <c r="L42" s="257">
        <f>IF(J42="Non-LACT",VLOOKUP([2]Adj_NPDC_HCA_Input!J41,[2]Adj_NPDC_HCA_Input!$X$4:$Y$7,2,FALSE),VLOOKUP([2]Adj_NPDC_HCA_Input!J41,[2]Adj_NPDC_HCA_Input!$S$4:$T$7,2,FALSE))</f>
        <v>1</v>
      </c>
      <c r="M42" s="258">
        <f>IF([2]Adj_NPDC_HCA_Input!M41="No",[2]Adj_NPDC_HCA_Input!$S$32,1)</f>
        <v>1</v>
      </c>
      <c r="N42" s="259">
        <f>IF([2]Adj_NPDC_HCA_Input!K41="Yes",1,0.99)</f>
        <v>1</v>
      </c>
      <c r="O42" s="259" t="str">
        <f>[2]Adj_NPDC_HCA_Input!L41</f>
        <v>No</v>
      </c>
      <c r="P42" s="260">
        <f>F42*K42*L42*M42*N42</f>
        <v>1407374.6239197</v>
      </c>
      <c r="Q42" s="260">
        <f t="shared" si="61"/>
        <v>281080.29399474926</v>
      </c>
      <c r="R42" s="260">
        <f t="shared" si="71"/>
        <v>0</v>
      </c>
      <c r="S42" s="260">
        <f>Q42+R42</f>
        <v>281080.29399474926</v>
      </c>
      <c r="T42" s="260">
        <f t="shared" si="28"/>
        <v>0</v>
      </c>
      <c r="U42" s="260">
        <f t="shared" si="29"/>
        <v>281080.29399474926</v>
      </c>
      <c r="V42" s="260">
        <f t="shared" si="30"/>
        <v>1126294.3299249508</v>
      </c>
      <c r="W42" s="260">
        <f>F42-P42</f>
        <v>0</v>
      </c>
      <c r="X42" s="260">
        <f t="shared" si="32"/>
        <v>0</v>
      </c>
      <c r="Y42" s="260">
        <f t="shared" si="32"/>
        <v>0</v>
      </c>
      <c r="Z42" s="260">
        <f ca="1">SUM(AA42:AB42)</f>
        <v>47408.074491312727</v>
      </c>
      <c r="AA42" s="260">
        <f t="shared" ca="1" si="72"/>
        <v>0</v>
      </c>
      <c r="AB42" s="260">
        <f t="shared" ca="1" si="74"/>
        <v>47408.074491312727</v>
      </c>
      <c r="AC42" s="260">
        <f ca="1">P42-Z42</f>
        <v>1359966.5494283873</v>
      </c>
      <c r="AD42" s="260">
        <f t="shared" ca="1" si="36"/>
        <v>281080.29399474926</v>
      </c>
      <c r="AE42" s="260">
        <f ca="1">V42-AB42</f>
        <v>1078886.2554336381</v>
      </c>
      <c r="AF42" s="471"/>
      <c r="AG42" s="261">
        <f t="shared" ca="1" si="2"/>
        <v>0.95790791693457988</v>
      </c>
      <c r="AH42" s="261">
        <f t="shared" si="3"/>
        <v>0</v>
      </c>
      <c r="AI42" s="472" t="str">
        <f t="shared" si="4"/>
        <v>WEST-SEPLAT</v>
      </c>
      <c r="AJ42" s="264">
        <f t="shared" ca="1" si="62"/>
        <v>1078886.2554336381</v>
      </c>
      <c r="AK42" s="264">
        <f t="shared" ca="1" si="5"/>
        <v>281080.29399474926</v>
      </c>
      <c r="AL42" s="265">
        <f t="shared" ca="1" si="6"/>
        <v>47408.074491312727</v>
      </c>
      <c r="AM42" s="265">
        <f t="shared" ca="1" si="37"/>
        <v>0</v>
      </c>
      <c r="AN42" s="264">
        <f t="shared" si="7"/>
        <v>0</v>
      </c>
      <c r="AO42" s="264">
        <f>I42</f>
        <v>1126294.3299249508</v>
      </c>
      <c r="AP42" s="264">
        <f t="shared" si="38"/>
        <v>1126294.3299249508</v>
      </c>
      <c r="AQ42" s="264">
        <f t="shared" si="39"/>
        <v>281080.29399474926</v>
      </c>
      <c r="AR42" s="264">
        <f t="shared" si="9"/>
        <v>281080.29399474926</v>
      </c>
      <c r="AS42" s="264">
        <f t="shared" si="40"/>
        <v>1126294.3299249508</v>
      </c>
      <c r="AT42" s="264">
        <f t="shared" si="68"/>
        <v>281080.29399474926</v>
      </c>
      <c r="AU42" s="264">
        <f t="shared" si="68"/>
        <v>0</v>
      </c>
      <c r="AV42" s="378" t="s">
        <v>105</v>
      </c>
      <c r="AW42" s="378" t="s">
        <v>105</v>
      </c>
      <c r="AX42" s="296">
        <f t="shared" si="41"/>
        <v>1407374.6239197</v>
      </c>
      <c r="AY42" s="297">
        <f t="shared" si="42"/>
        <v>1126294.3299249508</v>
      </c>
      <c r="AZ42" s="298">
        <f t="shared" si="43"/>
        <v>281080.29399474926</v>
      </c>
      <c r="BA42" s="296">
        <f t="shared" si="44"/>
        <v>1407374.6239197</v>
      </c>
      <c r="BB42" s="297">
        <f t="shared" si="45"/>
        <v>1126294.3299249508</v>
      </c>
      <c r="BC42" s="299">
        <f t="shared" si="46"/>
        <v>0.19971959790770444</v>
      </c>
      <c r="BD42" s="300">
        <f t="shared" si="47"/>
        <v>281080.29399474926</v>
      </c>
      <c r="BE42" s="406"/>
      <c r="BF42" s="302">
        <f t="shared" si="70"/>
        <v>281080.29399474926</v>
      </c>
      <c r="BG42" s="303">
        <f t="shared" si="48"/>
        <v>1126294.3299249508</v>
      </c>
      <c r="BH42" s="304">
        <f t="shared" ca="1" si="49"/>
        <v>281080.29399474926</v>
      </c>
      <c r="BI42" s="305">
        <f t="shared" ca="1" si="50"/>
        <v>1078886.2554336381</v>
      </c>
      <c r="BJ42" s="378" t="s">
        <v>324</v>
      </c>
      <c r="BK42" s="320">
        <f t="shared" si="51"/>
        <v>0</v>
      </c>
      <c r="BL42" s="378"/>
      <c r="BM42" s="378"/>
      <c r="BN42" s="378"/>
      <c r="BO42" s="321">
        <f t="shared" si="52"/>
        <v>0</v>
      </c>
      <c r="BP42" s="378"/>
      <c r="BQ42" s="378"/>
      <c r="BR42" s="378"/>
      <c r="BS42" s="378"/>
      <c r="BT42" s="378"/>
      <c r="BU42" s="378"/>
      <c r="BV42" s="378"/>
      <c r="BW42" s="378"/>
      <c r="BX42" s="378"/>
      <c r="BY42" s="378"/>
      <c r="BZ42" s="473" t="s">
        <v>309</v>
      </c>
      <c r="CA42" s="378"/>
      <c r="CB42" s="378"/>
      <c r="CC42" s="378"/>
      <c r="CD42" s="474"/>
      <c r="CE42" s="475"/>
      <c r="CF42" s="378"/>
      <c r="CG42" s="378"/>
      <c r="CH42" s="378"/>
      <c r="CI42" s="378"/>
    </row>
    <row r="43" spans="1:117" ht="16" thickBot="1">
      <c r="B43" s="253"/>
      <c r="C43" s="42"/>
      <c r="D43" s="42"/>
      <c r="E43" s="24"/>
      <c r="F43" s="254"/>
      <c r="G43" s="255"/>
      <c r="H43" s="256"/>
      <c r="I43" s="256"/>
      <c r="J43" s="257"/>
      <c r="K43" s="257"/>
      <c r="L43" s="257"/>
      <c r="M43" s="258"/>
      <c r="N43" s="259"/>
      <c r="O43" s="259"/>
      <c r="P43" s="260"/>
      <c r="Q43" s="260"/>
      <c r="R43" s="260"/>
      <c r="S43" s="260"/>
      <c r="T43" s="260"/>
      <c r="U43" s="260"/>
      <c r="V43" s="260"/>
      <c r="W43" s="260"/>
      <c r="X43" s="260"/>
      <c r="Y43" s="260"/>
      <c r="Z43" s="260"/>
      <c r="AA43" s="260"/>
      <c r="AB43" s="260"/>
      <c r="AC43" s="260"/>
      <c r="AD43" s="260"/>
      <c r="AE43" s="260"/>
      <c r="AF43" s="259"/>
      <c r="AG43" s="261"/>
      <c r="AH43" s="262"/>
      <c r="AI43" s="263"/>
      <c r="AJ43" s="264"/>
      <c r="AK43" s="264"/>
      <c r="AL43" s="265"/>
      <c r="AM43" s="265"/>
      <c r="AN43" s="264"/>
      <c r="AO43" s="264"/>
      <c r="AP43" s="264"/>
      <c r="AQ43" s="264"/>
      <c r="AR43" s="264"/>
      <c r="AS43" s="264"/>
      <c r="AT43" s="264"/>
      <c r="AU43" s="264"/>
      <c r="AV43" s="378"/>
      <c r="AW43" s="378"/>
      <c r="AX43" s="379"/>
      <c r="AY43" s="380"/>
      <c r="AZ43" s="381"/>
      <c r="BA43" s="379"/>
      <c r="BB43" s="380"/>
      <c r="BC43" s="382"/>
      <c r="BD43" s="383"/>
      <c r="BE43" s="384"/>
      <c r="BF43" s="385"/>
      <c r="BG43" s="386"/>
      <c r="BH43" s="387"/>
      <c r="BI43" s="388"/>
      <c r="BJ43" s="378"/>
      <c r="BK43" s="389"/>
      <c r="BL43" s="378"/>
      <c r="BM43" s="378"/>
      <c r="BN43" s="378"/>
      <c r="BO43" s="390"/>
      <c r="BP43" s="378"/>
      <c r="BQ43" s="378"/>
      <c r="BR43" s="378"/>
      <c r="BS43" s="378"/>
      <c r="BT43" s="378"/>
      <c r="BU43" s="378"/>
      <c r="BV43" s="378"/>
      <c r="BW43" s="378"/>
      <c r="BX43" s="378"/>
      <c r="BY43" s="378"/>
      <c r="BZ43" s="127"/>
      <c r="CA43" s="378"/>
      <c r="CB43" s="378"/>
      <c r="CC43" s="378"/>
      <c r="CD43" s="378"/>
      <c r="CE43" s="378"/>
      <c r="CF43" s="378"/>
      <c r="CG43" s="378"/>
      <c r="CH43" s="378"/>
      <c r="CI43" s="378"/>
    </row>
    <row r="44" spans="1:117">
      <c r="C44" s="476"/>
      <c r="D44" s="69"/>
      <c r="E44" s="476"/>
      <c r="F44" s="477"/>
      <c r="G44" s="476"/>
      <c r="H44" s="476" t="s">
        <v>98</v>
      </c>
      <c r="I44" s="476"/>
      <c r="J44" s="476"/>
      <c r="K44" s="478"/>
      <c r="L44" s="479"/>
      <c r="M44" s="479"/>
      <c r="N44" s="476"/>
      <c r="O44" s="476"/>
      <c r="P44" s="479"/>
      <c r="Q44" s="479"/>
      <c r="R44" s="479"/>
      <c r="S44" s="479"/>
      <c r="T44" s="479"/>
      <c r="U44" s="479"/>
      <c r="V44" s="479"/>
      <c r="W44" s="479"/>
      <c r="X44" s="479"/>
      <c r="Y44" s="479"/>
      <c r="Z44" s="479"/>
      <c r="AA44" s="479"/>
      <c r="AB44" s="114">
        <f ca="1">IF(AND(J44="LACT",$G$80&lt;=0),0,IF(O44="Yes",0,IF($G$80&lt;=0,($G$80*Y44/($Y$45-$Y$48)),($G$80*V44/($V$45)))))</f>
        <v>0</v>
      </c>
      <c r="AC44" s="479"/>
      <c r="AD44" s="479"/>
      <c r="AE44" s="479"/>
      <c r="AF44" s="479"/>
      <c r="AG44" s="480"/>
      <c r="AH44" s="480"/>
      <c r="AX44" s="481">
        <f>SUM(AX5:AX43)</f>
        <v>14438321.88477792</v>
      </c>
      <c r="AY44" s="481">
        <f t="shared" ref="AY44:BI44" si="75">SUM(AY5:AY43)</f>
        <v>7389774.4809772018</v>
      </c>
      <c r="AZ44" s="481">
        <f t="shared" si="75"/>
        <v>7048547.4038007194</v>
      </c>
      <c r="BA44" s="481">
        <f t="shared" si="75"/>
        <v>14255939.511272309</v>
      </c>
      <c r="BB44" s="481">
        <f t="shared" si="75"/>
        <v>7309884.0717028268</v>
      </c>
      <c r="BC44" s="481">
        <f t="shared" si="75"/>
        <v>9.6058477477305431</v>
      </c>
      <c r="BD44" s="481">
        <f t="shared" si="75"/>
        <v>6946055.4395694835</v>
      </c>
      <c r="BF44" s="481">
        <f ca="1">SUM(BF5:BF43)</f>
        <v>6946055.4395694835</v>
      </c>
      <c r="BG44" s="481">
        <f t="shared" ca="1" si="75"/>
        <v>7309884.0717028268</v>
      </c>
      <c r="BH44" s="481">
        <f t="shared" ca="1" si="75"/>
        <v>6872620.0000000009</v>
      </c>
      <c r="BI44" s="481">
        <f t="shared" ca="1" si="75"/>
        <v>7278595</v>
      </c>
      <c r="BK44" s="481">
        <f>SUM(BK5:BK43)</f>
        <v>79890.409274374193</v>
      </c>
      <c r="BO44" s="104">
        <f ca="1">SUM(BO5:BO43)</f>
        <v>0</v>
      </c>
      <c r="CA44" s="378"/>
      <c r="CB44" s="378"/>
      <c r="CC44" s="378"/>
      <c r="CD44" s="378"/>
      <c r="CE44" s="378"/>
      <c r="CF44" s="378"/>
      <c r="CG44" s="378"/>
      <c r="CH44" s="378"/>
      <c r="CI44" s="378"/>
    </row>
    <row r="45" spans="1:117">
      <c r="B45" s="253"/>
      <c r="C45" s="482"/>
      <c r="D45" s="601" t="s">
        <v>325</v>
      </c>
      <c r="E45" s="601"/>
      <c r="F45" s="483">
        <f>SUM(F5:F43)</f>
        <v>14438321.88477792</v>
      </c>
      <c r="G45" s="484">
        <f>H45/F45</f>
        <v>0.48818328473698069</v>
      </c>
      <c r="H45" s="483">
        <f>SUM(H5:H43)</f>
        <v>7048547.4038007194</v>
      </c>
      <c r="I45" s="483">
        <f>SUM(I5:I43)</f>
        <v>7389774.4809772018</v>
      </c>
      <c r="J45" s="485"/>
      <c r="K45" s="485"/>
      <c r="L45" s="485"/>
      <c r="M45" s="485"/>
      <c r="N45" s="486" t="s">
        <v>326</v>
      </c>
      <c r="O45" s="486"/>
      <c r="P45" s="483">
        <f>SUM(P5:P43)</f>
        <v>14255939.511272309</v>
      </c>
      <c r="Q45" s="483">
        <f t="shared" ref="Q45:AD45" si="76">SUM(Q5:Q43)</f>
        <v>6946055.4395694835</v>
      </c>
      <c r="R45" s="483">
        <f t="shared" ca="1" si="76"/>
        <v>0</v>
      </c>
      <c r="S45" s="483">
        <f t="shared" ca="1" si="76"/>
        <v>6946055.4395694835</v>
      </c>
      <c r="T45" s="483">
        <f ca="1">SUM(T5:T43)</f>
        <v>0</v>
      </c>
      <c r="U45" s="483">
        <f ca="1">SUM(U5:U43)</f>
        <v>6946055.4395694835</v>
      </c>
      <c r="V45" s="483">
        <f t="shared" ca="1" si="76"/>
        <v>7309884.0717028268</v>
      </c>
      <c r="W45" s="483">
        <f t="shared" si="76"/>
        <v>182382.37350561057</v>
      </c>
      <c r="X45" s="483">
        <f t="shared" ca="1" si="76"/>
        <v>102491.96423123646</v>
      </c>
      <c r="Y45" s="483">
        <f t="shared" ca="1" si="76"/>
        <v>79890.40927437428</v>
      </c>
      <c r="Z45" s="483">
        <f t="shared" ca="1" si="76"/>
        <v>104724.51127231211</v>
      </c>
      <c r="AA45" s="483">
        <f t="shared" ca="1" si="76"/>
        <v>73435.439569483511</v>
      </c>
      <c r="AB45" s="483">
        <f t="shared" ca="1" si="76"/>
        <v>31289.071702828649</v>
      </c>
      <c r="AC45" s="483">
        <f t="shared" ca="1" si="76"/>
        <v>14151214.999999998</v>
      </c>
      <c r="AD45" s="483">
        <f t="shared" ca="1" si="76"/>
        <v>6872620.0000000009</v>
      </c>
      <c r="AE45" s="483">
        <f ca="1">SUM(AE5:AE43)</f>
        <v>7278595</v>
      </c>
      <c r="AF45" s="483"/>
      <c r="AG45" s="487">
        <f ca="1">IF(ISERROR(AE45/I45),0,(AE45/I45))</f>
        <v>0.98495495616768813</v>
      </c>
      <c r="AH45" s="483"/>
      <c r="AI45" s="488"/>
      <c r="AJ45" s="483">
        <f ca="1">SUM(AJ5:AJ43)</f>
        <v>7278595</v>
      </c>
      <c r="AK45" s="483">
        <f ca="1">SUM(AK5:AK43)</f>
        <v>6872620.0000000009</v>
      </c>
      <c r="AL45" s="483">
        <f ca="1">SUM(AL5:AL43)</f>
        <v>31289.071702828649</v>
      </c>
      <c r="AM45" s="483">
        <f t="shared" ref="AM45:AU45" ca="1" si="77">SUM(AM5:AM43)</f>
        <v>73435.439569483511</v>
      </c>
      <c r="AN45" s="483">
        <f t="shared" ca="1" si="77"/>
        <v>79890.40927437428</v>
      </c>
      <c r="AO45" s="483">
        <f t="shared" si="77"/>
        <v>7389774.4809772018</v>
      </c>
      <c r="AP45" s="483">
        <f ca="1">SUM(AP5:AP43)</f>
        <v>7309884.0717028268</v>
      </c>
      <c r="AQ45" s="483">
        <f t="shared" ca="1" si="77"/>
        <v>6946055.4395694835</v>
      </c>
      <c r="AR45" s="483">
        <f t="shared" si="77"/>
        <v>7048547.4038007194</v>
      </c>
      <c r="AS45" s="483">
        <f t="shared" si="77"/>
        <v>7309884.0717028268</v>
      </c>
      <c r="AT45" s="483">
        <f t="shared" si="77"/>
        <v>6946055.4395694835</v>
      </c>
      <c r="AU45" s="483">
        <f t="shared" ca="1" si="77"/>
        <v>0</v>
      </c>
    </row>
    <row r="46" spans="1:117">
      <c r="B46" s="253"/>
      <c r="C46" s="482"/>
      <c r="D46" s="489"/>
      <c r="E46" s="490" t="s">
        <v>327</v>
      </c>
      <c r="F46" s="491">
        <f>SUM(F5:F20)</f>
        <v>6437025.0845008241</v>
      </c>
      <c r="G46" s="492">
        <f>H46/F46</f>
        <v>0.42547503432567668</v>
      </c>
      <c r="H46" s="491">
        <f>SUM(H5:H20)</f>
        <v>2738793.4687832301</v>
      </c>
      <c r="I46" s="493">
        <f>SUM(I5:I20)</f>
        <v>3698231.6157175964</v>
      </c>
      <c r="J46" s="494"/>
      <c r="K46" s="485"/>
      <c r="L46" s="495"/>
      <c r="M46" s="485"/>
      <c r="N46" s="494"/>
      <c r="O46" s="494"/>
      <c r="P46" s="496">
        <f>SUM(P5:P20)</f>
        <v>6346143.039305239</v>
      </c>
      <c r="Q46" s="496">
        <f>SUM(Q5:Q20)</f>
        <v>2702790.6890172837</v>
      </c>
      <c r="R46" s="496">
        <f t="shared" ref="R46:AE46" ca="1" si="78">SUM(R5:R20)</f>
        <v>0</v>
      </c>
      <c r="S46" s="496">
        <f t="shared" ca="1" si="78"/>
        <v>2702790.6890172837</v>
      </c>
      <c r="T46" s="496">
        <f ca="1">SUM(T5:T20)</f>
        <v>0</v>
      </c>
      <c r="U46" s="496">
        <f ca="1">SUM(U5:U20)</f>
        <v>2702790.6890172837</v>
      </c>
      <c r="V46" s="496">
        <f t="shared" ca="1" si="78"/>
        <v>3643352.3502879571</v>
      </c>
      <c r="W46" s="496">
        <f t="shared" si="78"/>
        <v>90882.045195584942</v>
      </c>
      <c r="X46" s="496">
        <f t="shared" ca="1" si="78"/>
        <v>36002.779765946369</v>
      </c>
      <c r="Y46" s="496">
        <f t="shared" ca="1" si="78"/>
        <v>54879.265429638719</v>
      </c>
      <c r="Z46" s="496">
        <f t="shared" ca="1" si="78"/>
        <v>58068.820442238357</v>
      </c>
      <c r="AA46" s="496">
        <f t="shared" ca="1" si="78"/>
        <v>181111.70651920233</v>
      </c>
      <c r="AB46" s="496">
        <f t="shared" ca="1" si="78"/>
        <v>-123042.88607696396</v>
      </c>
      <c r="AC46" s="496">
        <f t="shared" ca="1" si="78"/>
        <v>6288074.218863002</v>
      </c>
      <c r="AD46" s="496">
        <f t="shared" ca="1" si="78"/>
        <v>2521678.9824980819</v>
      </c>
      <c r="AE46" s="496">
        <f t="shared" ca="1" si="78"/>
        <v>3766395.2363649211</v>
      </c>
      <c r="AF46" s="493"/>
      <c r="AG46" s="497">
        <f ca="1">IF(ISERROR(AE46/I46),0,(AE46/I46))</f>
        <v>1.0184314093140157</v>
      </c>
      <c r="AH46" s="498"/>
      <c r="AI46" s="499"/>
      <c r="AJ46" s="493">
        <f t="shared" ref="AJ46:AU46" ca="1" si="79">SUM(AJ6:AJ20)</f>
        <v>3766395.2363649211</v>
      </c>
      <c r="AK46" s="493">
        <f t="shared" ca="1" si="79"/>
        <v>2521678.9824980819</v>
      </c>
      <c r="AL46" s="496">
        <f t="shared" ca="1" si="79"/>
        <v>-123042.88607696396</v>
      </c>
      <c r="AM46" s="496">
        <f t="shared" ca="1" si="79"/>
        <v>181111.70651920233</v>
      </c>
      <c r="AN46" s="496">
        <f t="shared" ca="1" si="79"/>
        <v>54879.265429638719</v>
      </c>
      <c r="AO46" s="496">
        <f t="shared" si="79"/>
        <v>3698231.6157175964</v>
      </c>
      <c r="AP46" s="496">
        <f t="shared" ca="1" si="79"/>
        <v>3643352.3502879571</v>
      </c>
      <c r="AQ46" s="496">
        <f t="shared" ca="1" si="79"/>
        <v>2702790.6890172837</v>
      </c>
      <c r="AR46" s="496">
        <f t="shared" si="79"/>
        <v>2738793.4687832301</v>
      </c>
      <c r="AS46" s="496">
        <f t="shared" si="79"/>
        <v>3643352.3502879571</v>
      </c>
      <c r="AT46" s="496">
        <f t="shared" si="79"/>
        <v>2702790.6890172837</v>
      </c>
      <c r="AU46" s="493">
        <f t="shared" ca="1" si="79"/>
        <v>0</v>
      </c>
    </row>
    <row r="47" spans="1:117" ht="16" thickBot="1">
      <c r="B47" s="253"/>
      <c r="C47" s="482"/>
      <c r="D47" s="489"/>
      <c r="E47" s="500" t="s">
        <v>328</v>
      </c>
      <c r="F47" s="501">
        <f>SUM(F21:F42)</f>
        <v>8001296.8002770962</v>
      </c>
      <c r="G47" s="502">
        <f>H47/F47</f>
        <v>0.53863192962273776</v>
      </c>
      <c r="H47" s="501">
        <f>SUM(H21:H42)</f>
        <v>4309753.9350174898</v>
      </c>
      <c r="I47" s="501">
        <f>SUM(I21:I42)</f>
        <v>3691542.8652596069</v>
      </c>
      <c r="J47" s="485"/>
      <c r="K47" s="485"/>
      <c r="L47" s="485"/>
      <c r="M47" s="485"/>
      <c r="N47" s="486"/>
      <c r="O47" s="486"/>
      <c r="P47" s="501">
        <f>SUM(P21:P42)</f>
        <v>7909796.4719670704</v>
      </c>
      <c r="Q47" s="501">
        <f t="shared" ref="Q47:AE47" si="80">SUM(Q21:Q42)</f>
        <v>4243264.7505521998</v>
      </c>
      <c r="R47" s="501">
        <f t="shared" ca="1" si="80"/>
        <v>0</v>
      </c>
      <c r="S47" s="501">
        <f t="shared" ca="1" si="80"/>
        <v>4243264.7505521998</v>
      </c>
      <c r="T47" s="501">
        <f ca="1">SUM(T21:T42)</f>
        <v>0</v>
      </c>
      <c r="U47" s="501">
        <f ca="1">SUM(U21:U42)</f>
        <v>4243264.7505521998</v>
      </c>
      <c r="V47" s="501">
        <f t="shared" ca="1" si="80"/>
        <v>3666531.7214148715</v>
      </c>
      <c r="W47" s="501">
        <f t="shared" si="80"/>
        <v>91500.328310025638</v>
      </c>
      <c r="X47" s="501">
        <f t="shared" ca="1" si="80"/>
        <v>66489.184465290076</v>
      </c>
      <c r="Y47" s="501">
        <f t="shared" ca="1" si="80"/>
        <v>25011.143844735554</v>
      </c>
      <c r="Z47" s="501">
        <f t="shared" ca="1" si="80"/>
        <v>46655.69083007377</v>
      </c>
      <c r="AA47" s="501">
        <f t="shared" ca="1" si="80"/>
        <v>-107676.26694971882</v>
      </c>
      <c r="AB47" s="501">
        <f t="shared" ca="1" si="80"/>
        <v>154331.9577797926</v>
      </c>
      <c r="AC47" s="501">
        <f t="shared" ca="1" si="80"/>
        <v>7863140.781136998</v>
      </c>
      <c r="AD47" s="501">
        <f t="shared" ca="1" si="80"/>
        <v>4350941.0175019186</v>
      </c>
      <c r="AE47" s="501">
        <f t="shared" ca="1" si="80"/>
        <v>3512199.7636350784</v>
      </c>
      <c r="AF47" s="501"/>
      <c r="AG47" s="503">
        <f ca="1">IF(ISERROR(AE47/I47),0,(AE47/I47))</f>
        <v>0.95141784663743401</v>
      </c>
      <c r="AH47" s="501"/>
      <c r="AI47" s="504"/>
      <c r="AJ47" s="501">
        <f t="shared" ref="AJ47:AU47" ca="1" si="81">SUM(AJ21:AJ42)</f>
        <v>3512199.7636350784</v>
      </c>
      <c r="AK47" s="501">
        <f t="shared" ca="1" si="81"/>
        <v>4350941.0175019186</v>
      </c>
      <c r="AL47" s="501">
        <f t="shared" ca="1" si="81"/>
        <v>154331.9577797926</v>
      </c>
      <c r="AM47" s="501">
        <f t="shared" ca="1" si="81"/>
        <v>-107676.26694971882</v>
      </c>
      <c r="AN47" s="501">
        <f t="shared" ca="1" si="81"/>
        <v>25011.143844735554</v>
      </c>
      <c r="AO47" s="501">
        <f t="shared" si="81"/>
        <v>3691542.8652596069</v>
      </c>
      <c r="AP47" s="501">
        <f t="shared" ca="1" si="81"/>
        <v>3666531.7214148715</v>
      </c>
      <c r="AQ47" s="501">
        <f t="shared" ca="1" si="81"/>
        <v>4243264.7505521998</v>
      </c>
      <c r="AR47" s="501">
        <f t="shared" si="81"/>
        <v>4309753.9350174898</v>
      </c>
      <c r="AS47" s="501">
        <f t="shared" si="81"/>
        <v>3666531.7214148715</v>
      </c>
      <c r="AT47" s="501">
        <f t="shared" si="81"/>
        <v>4243264.7505521998</v>
      </c>
      <c r="AU47" s="501">
        <f t="shared" ca="1" si="81"/>
        <v>0</v>
      </c>
    </row>
    <row r="48" spans="1:117">
      <c r="C48" s="253"/>
      <c r="D48" s="77"/>
      <c r="E48" s="77"/>
      <c r="F48" s="114"/>
      <c r="G48" s="477"/>
      <c r="H48" s="477"/>
      <c r="I48" s="477"/>
      <c r="J48" s="114"/>
      <c r="K48" s="114"/>
      <c r="L48" s="114"/>
      <c r="M48" s="114"/>
      <c r="N48" s="505" t="s">
        <v>64</v>
      </c>
      <c r="O48" s="505"/>
      <c r="P48" s="505" t="s">
        <v>165</v>
      </c>
      <c r="Q48" s="506">
        <f ca="1">SUMIF($B$5:$Q$43,$N$48,$H$5:$H$43)</f>
        <v>4309753.9350174898</v>
      </c>
      <c r="R48" s="507"/>
      <c r="S48" s="507">
        <f ca="1">SUMIF($B$5:$Y$43,N48,$S$5:$S$43)</f>
        <v>4243264.7505521998</v>
      </c>
      <c r="T48" s="507"/>
      <c r="U48" s="507"/>
      <c r="V48" s="508"/>
      <c r="W48" s="509" t="s">
        <v>329</v>
      </c>
      <c r="X48" s="507">
        <f ca="1">SUMIF($B$5:$Y$43,N48,$X$5:$X$43)</f>
        <v>66489.184465290076</v>
      </c>
      <c r="Y48" s="510">
        <f ca="1">SUMIF($B$5:$Y$43,N48,$Y$5:$Y$43)</f>
        <v>25011.143844735554</v>
      </c>
      <c r="Z48" s="114"/>
      <c r="AA48" s="114"/>
      <c r="AB48" s="114"/>
      <c r="AC48" s="114"/>
      <c r="AD48" s="114"/>
      <c r="AE48" s="114"/>
      <c r="AF48" s="114"/>
      <c r="AG48" s="511"/>
      <c r="AH48" s="511"/>
      <c r="AZ48" s="481">
        <f>AZ5+AZ6+AZ7+AZ8+AZ9+AZ10+AZ12+AZ13+AZ16</f>
        <v>2140080.9536066903</v>
      </c>
      <c r="BD48" s="481">
        <f>BD5+BD6+BD7+BD8+BD9+BD10+BD12+BD13+BD16</f>
        <v>2118656.7731916211</v>
      </c>
      <c r="BF48" s="481">
        <f>BF5+BF6+BF7+BF8+BF9+BF10+BF12+BF13+BF16</f>
        <v>2118656.7731916211</v>
      </c>
    </row>
    <row r="49" spans="1:58">
      <c r="A49" t="s">
        <v>330</v>
      </c>
      <c r="C49" s="512"/>
      <c r="D49" s="78"/>
      <c r="E49" s="77"/>
      <c r="F49" s="114"/>
      <c r="G49" s="477"/>
      <c r="H49" s="477"/>
      <c r="I49" s="477"/>
      <c r="J49" s="114"/>
      <c r="K49" s="114"/>
      <c r="L49" s="114"/>
      <c r="M49" s="114"/>
      <c r="N49" s="513" t="s">
        <v>29</v>
      </c>
      <c r="O49" s="514"/>
      <c r="P49" s="514" t="s">
        <v>331</v>
      </c>
      <c r="Q49" s="515"/>
      <c r="R49" s="516"/>
      <c r="S49" s="517">
        <f ca="1">SUMIF($O$5:$Y$43,N49,$S$5:$S$43)</f>
        <v>1319.7830866557636</v>
      </c>
      <c r="T49" s="517"/>
      <c r="U49" s="517"/>
      <c r="V49" s="518"/>
      <c r="W49" s="519"/>
      <c r="X49" s="517">
        <f ca="1">SUMIF($O$5:$Y$43,N49,$X$5:$X$43)</f>
        <v>36.938090776778154</v>
      </c>
      <c r="Y49" s="520"/>
      <c r="Z49" s="114"/>
      <c r="AA49" s="114"/>
      <c r="AB49" s="114"/>
      <c r="AC49" s="114"/>
      <c r="AD49" s="114"/>
      <c r="AE49" s="114"/>
      <c r="AF49" s="114"/>
      <c r="AG49" s="511"/>
      <c r="AH49" s="511"/>
      <c r="BD49" s="481">
        <f>BD48-AZ48</f>
        <v>-21424.180415069219</v>
      </c>
      <c r="BF49" s="481">
        <f>BF48-AZ48</f>
        <v>-21424.180415069219</v>
      </c>
    </row>
    <row r="50" spans="1:58" ht="16" thickBot="1">
      <c r="C50" s="512"/>
      <c r="D50" s="78"/>
      <c r="E50" s="77"/>
      <c r="F50" s="114"/>
      <c r="G50" s="477"/>
      <c r="H50" s="477"/>
      <c r="I50" s="477"/>
      <c r="J50" s="114"/>
      <c r="K50" s="114"/>
      <c r="L50" s="114"/>
      <c r="M50" s="114"/>
      <c r="N50" s="513"/>
      <c r="O50" s="514"/>
      <c r="P50" s="514" t="s">
        <v>332</v>
      </c>
      <c r="Q50" s="521"/>
      <c r="R50" s="522"/>
      <c r="S50" s="523"/>
      <c r="T50" s="523"/>
      <c r="U50" s="523"/>
      <c r="V50" s="524">
        <f ca="1">SUMIF($O$5:$Y$43,$N49,$V$5:$V$43)</f>
        <v>3005.170117344237</v>
      </c>
      <c r="W50" s="525"/>
      <c r="X50" s="526"/>
      <c r="Y50" s="524">
        <f ca="1">SUMIF($O$5:$Y$43,N49,$Y$5:$Y$43)</f>
        <v>84.108705223221477</v>
      </c>
      <c r="Z50" s="114"/>
      <c r="AA50" s="114"/>
      <c r="AB50" s="114"/>
      <c r="AC50" s="114"/>
      <c r="AD50" s="114"/>
      <c r="AE50" s="114"/>
      <c r="AF50" s="479"/>
      <c r="AG50" s="511"/>
      <c r="AH50" s="511"/>
      <c r="AI50" s="104"/>
      <c r="AK50" s="104"/>
      <c r="BF50" s="527">
        <f>BF49/AZ48</f>
        <v>-1.0010920558384919E-2</v>
      </c>
    </row>
    <row r="51" spans="1:58">
      <c r="C51" s="512"/>
      <c r="D51" s="78"/>
      <c r="E51" s="77"/>
      <c r="F51" s="114"/>
      <c r="G51" s="477"/>
      <c r="H51" s="477"/>
      <c r="I51" s="477"/>
      <c r="J51" s="114"/>
      <c r="K51" s="114"/>
      <c r="L51" s="114"/>
      <c r="M51" s="114"/>
      <c r="N51" s="215"/>
      <c r="O51" s="215"/>
      <c r="P51" s="215"/>
      <c r="Q51" s="215"/>
      <c r="R51" s="215"/>
      <c r="S51" s="528"/>
      <c r="T51" s="528"/>
      <c r="U51" s="528"/>
      <c r="V51" s="528"/>
      <c r="W51" s="215"/>
      <c r="X51" s="114"/>
      <c r="Y51" s="114"/>
      <c r="Z51" s="114"/>
      <c r="AA51" s="114"/>
      <c r="AB51" s="114"/>
      <c r="AC51" s="114"/>
      <c r="AD51" s="114"/>
      <c r="AE51" s="114"/>
      <c r="AF51" s="114"/>
      <c r="AG51" s="511"/>
      <c r="AH51" s="511"/>
      <c r="AI51" s="529"/>
    </row>
    <row r="52" spans="1:58">
      <c r="C52" s="602" t="s">
        <v>333</v>
      </c>
      <c r="D52" s="602"/>
      <c r="E52" s="602"/>
      <c r="F52" s="602"/>
      <c r="G52" s="602"/>
      <c r="H52" s="477"/>
      <c r="I52" s="477"/>
      <c r="J52" s="602" t="s">
        <v>334</v>
      </c>
      <c r="K52" s="602"/>
      <c r="L52" s="602"/>
      <c r="M52" s="602"/>
      <c r="N52" s="602"/>
      <c r="O52" s="215"/>
      <c r="P52" s="215"/>
      <c r="Q52" s="602" t="s">
        <v>335</v>
      </c>
      <c r="R52" s="602"/>
      <c r="S52" s="602"/>
      <c r="T52" s="602"/>
      <c r="U52" s="602"/>
      <c r="V52" s="602"/>
      <c r="W52" s="602"/>
      <c r="X52" s="114"/>
      <c r="Y52" s="114"/>
      <c r="Z52" s="114"/>
      <c r="AA52" s="114"/>
      <c r="AB52" s="114"/>
      <c r="AC52" s="114"/>
      <c r="AD52" s="114"/>
      <c r="AE52" s="114"/>
      <c r="AF52" s="114"/>
      <c r="AG52" s="511"/>
      <c r="AH52" s="511"/>
      <c r="AI52" s="529"/>
    </row>
    <row r="53" spans="1:58">
      <c r="C53" s="512"/>
      <c r="D53" s="78"/>
      <c r="E53" s="77"/>
      <c r="F53" s="114"/>
      <c r="G53" s="477"/>
      <c r="H53" s="477"/>
      <c r="I53" s="477"/>
      <c r="J53" s="114"/>
      <c r="K53" s="114"/>
      <c r="L53" s="114"/>
      <c r="M53" s="114"/>
      <c r="N53" s="215"/>
      <c r="O53" s="215"/>
      <c r="P53" s="215"/>
      <c r="Q53" s="215"/>
      <c r="R53" s="530"/>
      <c r="V53" s="215"/>
      <c r="W53" s="215"/>
      <c r="X53" s="114"/>
      <c r="Y53" s="114"/>
      <c r="Z53" s="531"/>
      <c r="AA53" s="114"/>
      <c r="AB53" s="114"/>
      <c r="AC53" s="114"/>
      <c r="AD53" s="114"/>
      <c r="AE53" s="114"/>
      <c r="AF53" s="114"/>
      <c r="AG53" s="511"/>
      <c r="AH53" s="511"/>
      <c r="AI53" s="529"/>
    </row>
    <row r="54" spans="1:58" ht="16.5" customHeight="1">
      <c r="C54" s="603" t="s">
        <v>336</v>
      </c>
      <c r="D54" s="595" t="s">
        <v>337</v>
      </c>
      <c r="E54" s="596"/>
      <c r="F54" s="596"/>
      <c r="G54" s="532">
        <f>SUM(F5:F43)</f>
        <v>14438321.88477792</v>
      </c>
      <c r="H54" s="533"/>
      <c r="I54" s="477"/>
      <c r="J54" s="603" t="s">
        <v>336</v>
      </c>
      <c r="K54" s="595" t="s">
        <v>337</v>
      </c>
      <c r="L54" s="596"/>
      <c r="M54" s="596"/>
      <c r="N54" s="532">
        <f>SUM(F5:F20)</f>
        <v>6437025.0845008241</v>
      </c>
      <c r="O54" s="533"/>
      <c r="P54" s="477"/>
      <c r="Q54" s="603" t="s">
        <v>336</v>
      </c>
      <c r="R54" s="595" t="s">
        <v>337</v>
      </c>
      <c r="S54" s="596"/>
      <c r="T54" s="596"/>
      <c r="U54" s="596"/>
      <c r="V54" s="596"/>
      <c r="W54" s="532">
        <f>SUM(F21:F42)</f>
        <v>8001296.8002770962</v>
      </c>
      <c r="X54" s="533"/>
      <c r="Y54" s="477"/>
      <c r="Z54" s="114"/>
      <c r="AA54" s="114"/>
      <c r="AB54" s="114"/>
      <c r="AC54" s="114"/>
      <c r="AD54" s="114"/>
      <c r="AE54" s="114"/>
      <c r="AF54" s="114"/>
      <c r="AG54" s="511"/>
      <c r="AH54" s="511"/>
      <c r="AI54" s="529"/>
    </row>
    <row r="55" spans="1:58" ht="18" customHeight="1">
      <c r="C55" s="604"/>
      <c r="D55" s="597" t="s">
        <v>338</v>
      </c>
      <c r="E55" s="598"/>
      <c r="F55" s="598"/>
      <c r="G55" s="534">
        <f>SUM(I5:I43)</f>
        <v>7389774.4809772018</v>
      </c>
      <c r="H55" s="533">
        <f>G58-G55</f>
        <v>-111179.48097720183</v>
      </c>
      <c r="I55" s="477"/>
      <c r="J55" s="604"/>
      <c r="K55" s="597" t="s">
        <v>338</v>
      </c>
      <c r="L55" s="598"/>
      <c r="M55" s="598"/>
      <c r="N55" s="534">
        <f>SUM(I5:I20)</f>
        <v>3698231.6157175964</v>
      </c>
      <c r="O55" s="533"/>
      <c r="P55" s="477"/>
      <c r="Q55" s="604"/>
      <c r="R55" s="597" t="s">
        <v>338</v>
      </c>
      <c r="S55" s="598"/>
      <c r="T55" s="598"/>
      <c r="U55" s="598"/>
      <c r="V55" s="598"/>
      <c r="W55" s="534">
        <f>SUM(I21:I42)</f>
        <v>3691542.8652596069</v>
      </c>
      <c r="X55" s="533"/>
      <c r="Y55" s="477"/>
      <c r="Z55" s="114"/>
      <c r="AA55" s="114"/>
      <c r="AB55" s="114"/>
      <c r="AC55" s="114"/>
      <c r="AD55" s="114"/>
      <c r="AE55" s="114"/>
      <c r="AF55" s="114"/>
      <c r="AG55" s="511"/>
      <c r="AH55" s="511"/>
      <c r="AI55" s="529"/>
    </row>
    <row r="56" spans="1:58" ht="15" customHeight="1" thickBot="1">
      <c r="C56" s="604"/>
      <c r="D56" s="535" t="s">
        <v>339</v>
      </c>
      <c r="E56" s="536"/>
      <c r="F56" s="536"/>
      <c r="G56" s="534">
        <f>SUM(H5:H43)</f>
        <v>7048547.4038007194</v>
      </c>
      <c r="H56" s="533">
        <f>G59-G56</f>
        <v>-175927.40380071942</v>
      </c>
      <c r="I56" s="477"/>
      <c r="J56" s="604"/>
      <c r="K56" s="535" t="s">
        <v>339</v>
      </c>
      <c r="L56" s="536"/>
      <c r="M56" s="536"/>
      <c r="N56" s="534">
        <f>SUM(H5:H20)</f>
        <v>2738793.4687832301</v>
      </c>
      <c r="O56" s="537">
        <f>N56/N54</f>
        <v>0.42547503432567668</v>
      </c>
      <c r="P56" s="477"/>
      <c r="Q56" s="604"/>
      <c r="R56" s="535" t="s">
        <v>339</v>
      </c>
      <c r="S56" s="536"/>
      <c r="T56" s="536"/>
      <c r="U56" s="536"/>
      <c r="V56" s="536"/>
      <c r="W56" s="534">
        <f>SUM(H21:H42)</f>
        <v>4309753.9350174898</v>
      </c>
      <c r="X56" s="538">
        <f>W56/W54</f>
        <v>0.53863192962273776</v>
      </c>
      <c r="Y56" s="477"/>
      <c r="Z56" s="114"/>
      <c r="AA56" s="114"/>
      <c r="AB56" s="114"/>
      <c r="AC56" s="114"/>
      <c r="AD56" s="114"/>
      <c r="AE56" s="114"/>
      <c r="AF56" s="114"/>
      <c r="AG56" s="511"/>
      <c r="AH56" s="511"/>
      <c r="AI56" s="529"/>
    </row>
    <row r="57" spans="1:58">
      <c r="C57" s="605"/>
      <c r="D57" s="585" t="s">
        <v>340</v>
      </c>
      <c r="E57" s="586"/>
      <c r="F57" s="586"/>
      <c r="G57" s="539">
        <f ca="1">SUMIF($B$5:$H$43,"Auto Sampler",($H$5:$H$43))</f>
        <v>4309753.9350174898</v>
      </c>
      <c r="H57" s="533"/>
      <c r="I57" s="477"/>
      <c r="J57" s="605"/>
      <c r="K57" s="592" t="s">
        <v>340</v>
      </c>
      <c r="L57" s="584"/>
      <c r="M57" s="584"/>
      <c r="N57" s="506">
        <f ca="1">SUMIF($B$5:$Q$20,$N$48,$H$5:$H$20)</f>
        <v>0</v>
      </c>
      <c r="O57" s="533"/>
      <c r="P57" s="477"/>
      <c r="Q57" s="605"/>
      <c r="R57" s="585" t="s">
        <v>340</v>
      </c>
      <c r="S57" s="586"/>
      <c r="T57" s="586"/>
      <c r="U57" s="586"/>
      <c r="V57" s="586"/>
      <c r="W57" s="539">
        <f ca="1">SUMIF($B$21:$H$42,"Auto Sampler",($H$21:$H$42))</f>
        <v>4309753.9350174898</v>
      </c>
      <c r="X57" s="533"/>
      <c r="Y57" s="477"/>
      <c r="Z57" s="114"/>
      <c r="AA57" s="114"/>
      <c r="AB57" s="114"/>
      <c r="AC57" s="114"/>
      <c r="AD57" s="114"/>
      <c r="AE57" s="114"/>
      <c r="AF57" s="114"/>
      <c r="AG57" s="511"/>
      <c r="AH57" s="511"/>
      <c r="AI57" s="529"/>
    </row>
    <row r="58" spans="1:58">
      <c r="C58" s="587" t="s">
        <v>341</v>
      </c>
      <c r="D58" s="593" t="s">
        <v>342</v>
      </c>
      <c r="E58" s="594"/>
      <c r="F58" s="594"/>
      <c r="G58" s="532">
        <f>[2]Adj_NPDC_HCA_Input!C55+[2]Adj_NPDC_HCA_Input!C67+[2]Adj_NPDC_HCA_Input!C71</f>
        <v>7278595</v>
      </c>
      <c r="H58" s="540" t="str">
        <f>IF(SUM(G61,G63,G65)=G58,"ok","Help")</f>
        <v>ok</v>
      </c>
      <c r="I58" s="477"/>
      <c r="J58" s="587" t="s">
        <v>341</v>
      </c>
      <c r="K58" s="593" t="s">
        <v>342</v>
      </c>
      <c r="L58" s="594"/>
      <c r="M58" s="594"/>
      <c r="N58" s="541">
        <f>G58-W58</f>
        <v>3766395.2363649211</v>
      </c>
      <c r="O58" s="540" t="str">
        <f>IF(SUM(N61,N63,N65)=N58,"ok","Help")</f>
        <v>ok</v>
      </c>
      <c r="P58" s="477">
        <f>N55-N58</f>
        <v>-68163.620647324715</v>
      </c>
      <c r="Q58" s="587" t="s">
        <v>341</v>
      </c>
      <c r="R58" s="593" t="s">
        <v>342</v>
      </c>
      <c r="S58" s="594"/>
      <c r="T58" s="594"/>
      <c r="U58" s="594"/>
      <c r="V58" s="594"/>
      <c r="W58" s="542">
        <f>'NPDC_HCA_Input '!D81</f>
        <v>3512199.7636350789</v>
      </c>
      <c r="X58" s="540" t="str">
        <f>IF(SUM(W61,W63,W65)=W58,"ok","Help")</f>
        <v>ok</v>
      </c>
      <c r="Y58" s="477"/>
      <c r="Z58" s="114"/>
      <c r="AA58" s="114"/>
      <c r="AB58" s="114"/>
      <c r="AC58" s="114"/>
      <c r="AD58" s="114"/>
      <c r="AE58" s="114"/>
      <c r="AF58" s="114"/>
      <c r="AG58" s="511"/>
      <c r="AH58" s="511"/>
      <c r="AN58" s="543"/>
    </row>
    <row r="59" spans="1:58" ht="15" customHeight="1">
      <c r="C59" s="588"/>
      <c r="D59" s="592" t="s">
        <v>343</v>
      </c>
      <c r="E59" s="584"/>
      <c r="F59" s="584"/>
      <c r="G59" s="534">
        <f>SUM(G62,G64,G66)</f>
        <v>6872620</v>
      </c>
      <c r="H59" s="544" t="s">
        <v>344</v>
      </c>
      <c r="I59" s="477"/>
      <c r="J59" s="588"/>
      <c r="K59" s="592" t="s">
        <v>343</v>
      </c>
      <c r="L59" s="584"/>
      <c r="M59" s="584"/>
      <c r="N59" s="539">
        <f>G59-W59</f>
        <v>2521678.9824980814</v>
      </c>
      <c r="O59" s="544" t="s">
        <v>344</v>
      </c>
      <c r="P59" s="477">
        <f>N58/N55</f>
        <v>1.0184314093140157</v>
      </c>
      <c r="Q59" s="588"/>
      <c r="R59" s="592" t="s">
        <v>343</v>
      </c>
      <c r="S59" s="584"/>
      <c r="T59" s="584"/>
      <c r="U59" s="584"/>
      <c r="V59" s="584"/>
      <c r="W59" s="542">
        <f>'NPDC_HCA_Input '!D77-'NPDC_HCA_Input '!D79</f>
        <v>4350941.0175019186</v>
      </c>
      <c r="X59" s="544" t="s">
        <v>344</v>
      </c>
      <c r="Y59" s="477"/>
      <c r="Z59" s="114"/>
      <c r="AA59" s="114"/>
      <c r="AB59" s="114"/>
      <c r="AC59" s="114"/>
      <c r="AD59" s="114"/>
      <c r="AE59" s="114"/>
      <c r="AF59" s="114"/>
      <c r="AG59" s="511"/>
      <c r="AH59" s="511"/>
      <c r="AN59" s="543"/>
    </row>
    <row r="60" spans="1:58" ht="15" customHeight="1">
      <c r="C60" s="588"/>
      <c r="D60" s="585" t="s">
        <v>345</v>
      </c>
      <c r="E60" s="586"/>
      <c r="F60" s="586"/>
      <c r="G60" s="539">
        <f>G58+G59</f>
        <v>14151215</v>
      </c>
      <c r="H60" s="545">
        <f>ABS(G68/G60)</f>
        <v>2.0288497120418306E-2</v>
      </c>
      <c r="I60" s="477"/>
      <c r="J60" s="588"/>
      <c r="K60" s="585" t="s">
        <v>345</v>
      </c>
      <c r="L60" s="586"/>
      <c r="M60" s="586"/>
      <c r="N60" s="539">
        <f>G60-W60</f>
        <v>6286317.2404920002</v>
      </c>
      <c r="O60" s="545">
        <f>ABS(N68/N60)</f>
        <v>2.3973948218532583E-2</v>
      </c>
      <c r="P60" s="477"/>
      <c r="Q60" s="588"/>
      <c r="R60" s="585" t="s">
        <v>345</v>
      </c>
      <c r="S60" s="586"/>
      <c r="T60" s="586"/>
      <c r="U60" s="586"/>
      <c r="V60" s="586"/>
      <c r="W60" s="542">
        <f>'NPDC_HCA_Input '!D77</f>
        <v>7864897.7595079998</v>
      </c>
      <c r="X60" s="545">
        <f>ABS(W68/W60)</f>
        <v>1.7342760826636494E-2</v>
      </c>
      <c r="Y60" s="477"/>
      <c r="Z60" s="114"/>
      <c r="AA60" s="114"/>
      <c r="AB60" s="114"/>
      <c r="AC60" s="114"/>
      <c r="AD60" s="114"/>
      <c r="AE60" s="114"/>
      <c r="AF60" s="114"/>
      <c r="AG60" s="511"/>
      <c r="AH60" s="511"/>
      <c r="AN60" s="543"/>
    </row>
    <row r="61" spans="1:58" ht="15" customHeight="1">
      <c r="C61" s="588"/>
      <c r="D61" s="593" t="s">
        <v>346</v>
      </c>
      <c r="E61" s="594"/>
      <c r="F61" s="594"/>
      <c r="G61" s="532">
        <f>[2]Adj_NPDC_HCA_Input!C67</f>
        <v>0</v>
      </c>
      <c r="H61" s="533"/>
      <c r="I61" s="477"/>
      <c r="J61" s="588"/>
      <c r="K61" s="593" t="s">
        <v>346</v>
      </c>
      <c r="L61" s="594"/>
      <c r="M61" s="594"/>
      <c r="N61" s="532">
        <v>0</v>
      </c>
      <c r="O61" s="533"/>
      <c r="P61" s="477"/>
      <c r="Q61" s="588"/>
      <c r="R61" s="593" t="s">
        <v>346</v>
      </c>
      <c r="S61" s="594"/>
      <c r="T61" s="594"/>
      <c r="U61" s="594"/>
      <c r="V61" s="594"/>
      <c r="W61" s="532">
        <v>0</v>
      </c>
      <c r="X61" s="533"/>
      <c r="Y61" s="477"/>
      <c r="Z61" s="114"/>
      <c r="AA61" s="114"/>
      <c r="AB61" s="114"/>
      <c r="AC61" s="114"/>
      <c r="AD61" s="114"/>
      <c r="AE61" s="114"/>
      <c r="AF61" s="114"/>
      <c r="AG61" s="511"/>
      <c r="AH61" s="511"/>
      <c r="AN61" s="543"/>
    </row>
    <row r="62" spans="1:58" ht="15" customHeight="1">
      <c r="C62" s="588"/>
      <c r="D62" s="570" t="s">
        <v>347</v>
      </c>
      <c r="E62" s="571"/>
      <c r="F62" s="571"/>
      <c r="G62" s="534">
        <f>[2]Adj_NPDC_HCA_Input!C69</f>
        <v>0</v>
      </c>
      <c r="H62" s="546"/>
      <c r="I62" s="477"/>
      <c r="J62" s="588"/>
      <c r="K62" s="570" t="s">
        <v>347</v>
      </c>
      <c r="L62" s="571"/>
      <c r="M62" s="571"/>
      <c r="N62" s="534">
        <v>0</v>
      </c>
      <c r="O62" s="546"/>
      <c r="P62" s="533">
        <f>N58/N55</f>
        <v>1.0184314093140157</v>
      </c>
      <c r="Q62" s="588"/>
      <c r="R62" s="570" t="s">
        <v>347</v>
      </c>
      <c r="S62" s="571"/>
      <c r="T62" s="571"/>
      <c r="U62" s="571"/>
      <c r="V62" s="571"/>
      <c r="W62" s="534">
        <v>0</v>
      </c>
      <c r="X62" s="546"/>
      <c r="Y62" s="477"/>
      <c r="Z62" s="114"/>
      <c r="AA62" s="114"/>
      <c r="AB62" s="114"/>
      <c r="AC62" s="114"/>
      <c r="AD62" s="114"/>
      <c r="AE62" s="114"/>
      <c r="AF62" s="114"/>
      <c r="AG62" s="511"/>
      <c r="AH62" s="511"/>
      <c r="AN62" s="543"/>
    </row>
    <row r="63" spans="1:58" ht="15" customHeight="1">
      <c r="C63" s="588"/>
      <c r="D63" s="592" t="s">
        <v>348</v>
      </c>
      <c r="E63" s="584"/>
      <c r="F63" s="584"/>
      <c r="G63" s="534">
        <f>[2]Adj_NPDC_HCA_Input!C71</f>
        <v>0</v>
      </c>
      <c r="H63" s="533"/>
      <c r="I63" s="477"/>
      <c r="J63" s="588"/>
      <c r="K63" s="592" t="s">
        <v>348</v>
      </c>
      <c r="L63" s="584"/>
      <c r="M63" s="584"/>
      <c r="N63" s="534">
        <f>G63-W63</f>
        <v>0</v>
      </c>
      <c r="O63" s="533"/>
      <c r="P63" s="477"/>
      <c r="Q63" s="588"/>
      <c r="R63" s="592" t="s">
        <v>348</v>
      </c>
      <c r="S63" s="584"/>
      <c r="T63" s="584"/>
      <c r="U63" s="584"/>
      <c r="V63" s="584"/>
      <c r="W63" s="534">
        <f>'NPDC_HCA_Input '!D71</f>
        <v>0</v>
      </c>
      <c r="X63" s="533"/>
      <c r="Y63" s="477"/>
      <c r="Z63" s="114"/>
      <c r="AA63" s="114"/>
      <c r="AB63" s="114"/>
      <c r="AC63" s="114"/>
      <c r="AD63" s="114"/>
      <c r="AE63" s="114"/>
      <c r="AF63" s="114"/>
      <c r="AG63" s="511"/>
      <c r="AH63" s="511"/>
      <c r="AN63" s="543"/>
    </row>
    <row r="64" spans="1:58" ht="15" customHeight="1">
      <c r="C64" s="588"/>
      <c r="D64" s="592" t="s">
        <v>349</v>
      </c>
      <c r="E64" s="584"/>
      <c r="F64" s="584"/>
      <c r="G64" s="534">
        <f>[2]Adj_NPDC_HCA_Input!C73</f>
        <v>0</v>
      </c>
      <c r="H64" s="533"/>
      <c r="I64" s="477"/>
      <c r="J64" s="588"/>
      <c r="K64" s="592" t="s">
        <v>349</v>
      </c>
      <c r="L64" s="584"/>
      <c r="M64" s="584"/>
      <c r="N64" s="534">
        <f>G64-W64</f>
        <v>0</v>
      </c>
      <c r="O64" s="533"/>
      <c r="P64" s="477"/>
      <c r="Q64" s="588"/>
      <c r="R64" s="592" t="s">
        <v>349</v>
      </c>
      <c r="S64" s="584"/>
      <c r="T64" s="584"/>
      <c r="U64" s="584"/>
      <c r="V64" s="584"/>
      <c r="W64" s="534">
        <f>'NPDC_HCA_Input '!D73</f>
        <v>0</v>
      </c>
      <c r="X64" s="533"/>
      <c r="Y64" s="477"/>
      <c r="Z64" s="547"/>
      <c r="AA64" s="114"/>
      <c r="AB64" s="114"/>
      <c r="AC64" s="114"/>
      <c r="AD64" s="114"/>
      <c r="AE64" s="114"/>
      <c r="AF64" s="114"/>
      <c r="AG64" s="511"/>
      <c r="AH64" s="511"/>
      <c r="AN64" s="543"/>
    </row>
    <row r="65" spans="3:40" ht="15" customHeight="1">
      <c r="C65" s="588"/>
      <c r="D65" s="592" t="s">
        <v>350</v>
      </c>
      <c r="E65" s="584"/>
      <c r="F65" s="584"/>
      <c r="G65" s="534">
        <f>[2]Adj_NPDC_HCA_Input!C55</f>
        <v>7278595</v>
      </c>
      <c r="H65" s="533"/>
      <c r="I65" s="477"/>
      <c r="J65" s="588"/>
      <c r="K65" s="592" t="s">
        <v>350</v>
      </c>
      <c r="L65" s="584"/>
      <c r="M65" s="584"/>
      <c r="N65" s="534">
        <f>G65-W65</f>
        <v>3766395.2363649211</v>
      </c>
      <c r="O65" s="533"/>
      <c r="P65" s="477"/>
      <c r="Q65" s="588"/>
      <c r="R65" s="592" t="s">
        <v>350</v>
      </c>
      <c r="S65" s="584"/>
      <c r="T65" s="584"/>
      <c r="U65" s="584"/>
      <c r="V65" s="584"/>
      <c r="W65" s="534">
        <f>W58</f>
        <v>3512199.7636350789</v>
      </c>
      <c r="X65" s="533"/>
      <c r="Y65" s="477"/>
      <c r="Z65" s="114"/>
      <c r="AA65" s="114"/>
      <c r="AB65" s="114"/>
      <c r="AC65" s="114"/>
      <c r="AD65" s="114"/>
      <c r="AE65" s="114"/>
      <c r="AF65" s="114"/>
      <c r="AG65" s="511"/>
      <c r="AH65" s="511"/>
      <c r="AL65" t="s">
        <v>56</v>
      </c>
      <c r="AM65">
        <v>117156.112371143</v>
      </c>
      <c r="AN65" s="543">
        <v>8430.9479533503145</v>
      </c>
    </row>
    <row r="66" spans="3:40" ht="15" customHeight="1">
      <c r="C66" s="588"/>
      <c r="D66" s="592" t="s">
        <v>351</v>
      </c>
      <c r="E66" s="584"/>
      <c r="F66" s="584"/>
      <c r="G66" s="534">
        <f>[2]Adj_NPDC_HCA_Input!C57</f>
        <v>6872620</v>
      </c>
      <c r="H66" s="533"/>
      <c r="I66" s="477"/>
      <c r="J66" s="588"/>
      <c r="K66" s="592" t="s">
        <v>351</v>
      </c>
      <c r="L66" s="584"/>
      <c r="M66" s="584"/>
      <c r="N66" s="534">
        <f>G66-W66</f>
        <v>2521678.9824980814</v>
      </c>
      <c r="O66" s="533"/>
      <c r="P66" s="477"/>
      <c r="Q66" s="588"/>
      <c r="R66" s="592" t="s">
        <v>351</v>
      </c>
      <c r="S66" s="584"/>
      <c r="T66" s="584"/>
      <c r="U66" s="584"/>
      <c r="V66" s="584"/>
      <c r="W66" s="534">
        <f>W59</f>
        <v>4350941.0175019186</v>
      </c>
      <c r="X66" s="533"/>
      <c r="Y66" s="477"/>
      <c r="Z66" s="114"/>
      <c r="AA66" s="114"/>
      <c r="AB66" s="114"/>
      <c r="AC66" s="114"/>
      <c r="AD66" s="114"/>
      <c r="AE66" s="114"/>
      <c r="AF66" s="114"/>
      <c r="AG66" s="511"/>
      <c r="AH66" s="511"/>
      <c r="AL66" t="s">
        <v>51</v>
      </c>
      <c r="AM66">
        <v>120377.24901564899</v>
      </c>
      <c r="AN66" s="543">
        <v>8662.7517820265948</v>
      </c>
    </row>
    <row r="67" spans="3:40" ht="15" customHeight="1">
      <c r="C67" s="589"/>
      <c r="D67" s="585"/>
      <c r="E67" s="586"/>
      <c r="F67" s="586"/>
      <c r="G67" s="539"/>
      <c r="H67" s="533"/>
      <c r="I67" s="477"/>
      <c r="J67" s="589"/>
      <c r="K67" s="585"/>
      <c r="L67" s="586"/>
      <c r="M67" s="586"/>
      <c r="N67" s="539"/>
      <c r="O67" s="533"/>
      <c r="P67" s="477"/>
      <c r="Q67" s="589"/>
      <c r="R67" s="585"/>
      <c r="S67" s="586"/>
      <c r="T67" s="586"/>
      <c r="U67" s="586"/>
      <c r="V67" s="586"/>
      <c r="W67" s="539"/>
      <c r="X67" s="533"/>
      <c r="Y67" s="477"/>
      <c r="Z67" s="114"/>
      <c r="AA67" s="114"/>
      <c r="AB67" s="114"/>
      <c r="AC67" s="114"/>
      <c r="AD67" s="114"/>
      <c r="AE67" s="114"/>
      <c r="AF67" s="114"/>
      <c r="AG67" s="511"/>
      <c r="AH67" s="511"/>
      <c r="AN67" s="543"/>
    </row>
    <row r="68" spans="3:40" ht="15" customHeight="1">
      <c r="C68" s="587" t="s">
        <v>352</v>
      </c>
      <c r="D68" s="590" t="s">
        <v>353</v>
      </c>
      <c r="E68" s="591"/>
      <c r="F68" s="591"/>
      <c r="G68" s="532">
        <f>G60-G54</f>
        <v>-287106.88477792032</v>
      </c>
      <c r="H68" s="537">
        <f>G68/G54</f>
        <v>-1.9885059155012486E-2</v>
      </c>
      <c r="I68" s="477"/>
      <c r="J68" s="587" t="s">
        <v>352</v>
      </c>
      <c r="K68" s="590" t="s">
        <v>353</v>
      </c>
      <c r="L68" s="591"/>
      <c r="M68" s="591"/>
      <c r="N68" s="532">
        <f>N60-N54</f>
        <v>-150707.84400882386</v>
      </c>
      <c r="O68" s="537">
        <f>N68/N54</f>
        <v>-2.3412654453017545E-2</v>
      </c>
      <c r="P68" s="477"/>
      <c r="Q68" s="587" t="s">
        <v>352</v>
      </c>
      <c r="R68" s="590" t="s">
        <v>353</v>
      </c>
      <c r="S68" s="591"/>
      <c r="T68" s="591"/>
      <c r="U68" s="591"/>
      <c r="V68" s="591"/>
      <c r="W68" s="532">
        <f>W60-W54</f>
        <v>-136399.04076909646</v>
      </c>
      <c r="X68" s="537">
        <f>W68/W54</f>
        <v>-1.7047116757920137E-2</v>
      </c>
      <c r="Y68" s="548"/>
      <c r="Z68" s="114"/>
      <c r="AA68" s="114"/>
      <c r="AB68" s="114"/>
      <c r="AC68" s="114"/>
      <c r="AD68" s="114"/>
      <c r="AE68" s="114"/>
      <c r="AF68" s="114"/>
      <c r="AG68" s="511"/>
      <c r="AH68" s="511"/>
      <c r="AN68" s="543"/>
    </row>
    <row r="69" spans="3:40">
      <c r="C69" s="588"/>
      <c r="D69" s="580" t="s">
        <v>354</v>
      </c>
      <c r="E69" s="581"/>
      <c r="F69" s="581"/>
      <c r="G69" s="534">
        <f>G59-G56</f>
        <v>-175927.40380071942</v>
      </c>
      <c r="H69" s="537">
        <f>G69/G56</f>
        <v>-2.495938435568381E-2</v>
      </c>
      <c r="I69" s="477"/>
      <c r="J69" s="588"/>
      <c r="K69" s="580" t="s">
        <v>354</v>
      </c>
      <c r="L69" s="581"/>
      <c r="M69" s="581"/>
      <c r="N69" s="534">
        <f>N59-N56</f>
        <v>-217114.48628514865</v>
      </c>
      <c r="O69" s="537">
        <f>N69/N56</f>
        <v>-7.9273771008956953E-2</v>
      </c>
      <c r="P69" s="477"/>
      <c r="Q69" s="588"/>
      <c r="R69" s="580" t="s">
        <v>354</v>
      </c>
      <c r="S69" s="581"/>
      <c r="T69" s="581"/>
      <c r="U69" s="581"/>
      <c r="V69" s="581"/>
      <c r="W69" s="534">
        <f>W59-W56</f>
        <v>41187.082484428771</v>
      </c>
      <c r="X69" s="537">
        <f>W69/W56</f>
        <v>9.556713238260928E-3</v>
      </c>
      <c r="Y69" s="548"/>
      <c r="Z69" s="114"/>
      <c r="AA69" s="114"/>
      <c r="AB69" s="114"/>
      <c r="AC69" s="114"/>
      <c r="AD69" s="114"/>
      <c r="AE69" s="114"/>
      <c r="AF69" s="114"/>
      <c r="AG69" s="511"/>
      <c r="AH69" s="511"/>
      <c r="AL69" t="s">
        <v>57</v>
      </c>
      <c r="AM69">
        <v>211715.530670426</v>
      </c>
      <c r="AN69" s="543">
        <v>15235.761787175539</v>
      </c>
    </row>
    <row r="70" spans="3:40">
      <c r="C70" s="589"/>
      <c r="D70" s="582" t="s">
        <v>355</v>
      </c>
      <c r="E70" s="583"/>
      <c r="F70" s="583"/>
      <c r="G70" s="539">
        <f>G58-G55</f>
        <v>-111179.48097720183</v>
      </c>
      <c r="H70" s="537">
        <f>G70/G55</f>
        <v>-1.5045043832311889E-2</v>
      </c>
      <c r="I70" s="477"/>
      <c r="J70" s="589"/>
      <c r="K70" s="582" t="s">
        <v>355</v>
      </c>
      <c r="L70" s="583"/>
      <c r="M70" s="583"/>
      <c r="N70" s="539">
        <f>N58-N55</f>
        <v>68163.620647324715</v>
      </c>
      <c r="O70" s="537">
        <f>N70/N55</f>
        <v>1.8431409314015722E-2</v>
      </c>
      <c r="P70" s="477"/>
      <c r="Q70" s="589"/>
      <c r="R70" s="582" t="s">
        <v>355</v>
      </c>
      <c r="S70" s="583"/>
      <c r="T70" s="583"/>
      <c r="U70" s="583"/>
      <c r="V70" s="583"/>
      <c r="W70" s="539">
        <f>W58-W55</f>
        <v>-179343.10162452795</v>
      </c>
      <c r="X70" s="537">
        <f>W70/W55</f>
        <v>-4.8582153362565841E-2</v>
      </c>
      <c r="Y70" s="548"/>
      <c r="Z70" s="114"/>
      <c r="AA70" s="114"/>
      <c r="AB70" s="114"/>
      <c r="AC70" s="114"/>
      <c r="AD70" s="114"/>
      <c r="AE70" s="114"/>
      <c r="AF70" s="114"/>
      <c r="AG70" s="511"/>
      <c r="AH70" s="511"/>
      <c r="AL70" t="s">
        <v>55</v>
      </c>
      <c r="AM70">
        <v>13153.878280778101</v>
      </c>
      <c r="AN70" s="543">
        <v>946.59733005327382</v>
      </c>
    </row>
    <row r="71" spans="3:40">
      <c r="C71" s="512"/>
      <c r="D71" s="584"/>
      <c r="E71" s="584"/>
      <c r="F71" s="584"/>
      <c r="G71" s="114"/>
      <c r="H71" s="477"/>
      <c r="I71" s="477"/>
      <c r="J71" s="512"/>
      <c r="K71" s="584"/>
      <c r="L71" s="584"/>
      <c r="M71" s="584"/>
      <c r="N71" s="114"/>
      <c r="O71" s="477"/>
      <c r="P71" s="477"/>
      <c r="Q71" s="512"/>
      <c r="R71" s="584"/>
      <c r="S71" s="584"/>
      <c r="T71" s="584"/>
      <c r="U71" s="584"/>
      <c r="V71" s="584"/>
      <c r="W71" s="114"/>
      <c r="X71" s="477"/>
      <c r="Y71" s="477"/>
      <c r="Z71" s="114"/>
      <c r="AA71" s="114"/>
      <c r="AB71" s="114"/>
      <c r="AC71" s="114"/>
      <c r="AD71" s="114"/>
      <c r="AE71" s="114"/>
      <c r="AF71" s="114"/>
      <c r="AG71" s="511"/>
      <c r="AH71" s="511"/>
      <c r="AM71">
        <v>628097.37510849407</v>
      </c>
      <c r="AN71">
        <v>45199.999999999993</v>
      </c>
    </row>
    <row r="72" spans="3:40">
      <c r="C72" s="69"/>
      <c r="D72" s="77" t="s">
        <v>356</v>
      </c>
      <c r="E72" s="77"/>
      <c r="F72" s="114"/>
      <c r="G72" s="114"/>
      <c r="H72" s="477"/>
      <c r="I72" s="477"/>
      <c r="J72" s="69"/>
      <c r="K72" s="77" t="s">
        <v>356</v>
      </c>
      <c r="L72" s="77"/>
      <c r="M72" s="114"/>
      <c r="N72" s="114"/>
      <c r="O72" s="477"/>
      <c r="P72" s="477"/>
      <c r="Q72" s="69"/>
      <c r="R72" s="77" t="s">
        <v>356</v>
      </c>
      <c r="S72" s="77"/>
      <c r="T72" s="77"/>
      <c r="U72" s="77"/>
      <c r="V72" s="114"/>
      <c r="W72" s="114"/>
      <c r="X72" s="114"/>
      <c r="Y72" s="114"/>
      <c r="Z72" s="114"/>
      <c r="AA72" s="114"/>
      <c r="AB72" s="114"/>
      <c r="AC72" s="114"/>
      <c r="AD72" s="114"/>
      <c r="AE72" s="114"/>
      <c r="AF72" s="114"/>
      <c r="AG72" s="511"/>
      <c r="AH72" s="511"/>
    </row>
    <row r="73" spans="3:40">
      <c r="C73" s="512" t="s">
        <v>357</v>
      </c>
      <c r="D73" s="78" t="s">
        <v>358</v>
      </c>
      <c r="E73" s="77"/>
      <c r="F73" s="114"/>
      <c r="G73" s="549">
        <f>G56/G54</f>
        <v>0.48818328473698069</v>
      </c>
      <c r="H73" s="533"/>
      <c r="I73" s="477"/>
      <c r="J73" s="512" t="s">
        <v>357</v>
      </c>
      <c r="K73" s="78" t="s">
        <v>358</v>
      </c>
      <c r="L73" s="77"/>
      <c r="M73" s="114"/>
      <c r="N73" s="549">
        <f>N56/N54</f>
        <v>0.42547503432567668</v>
      </c>
      <c r="O73" s="533"/>
      <c r="P73" s="477"/>
      <c r="Q73" s="512" t="s">
        <v>357</v>
      </c>
      <c r="R73" s="78" t="s">
        <v>358</v>
      </c>
      <c r="S73" s="77"/>
      <c r="T73" s="77"/>
      <c r="U73" s="77"/>
      <c r="V73" s="114"/>
      <c r="W73" s="550">
        <f>W56/W54</f>
        <v>0.53863192962273776</v>
      </c>
      <c r="X73" s="477"/>
      <c r="Y73" s="477"/>
      <c r="Z73" s="114"/>
      <c r="AA73" s="114"/>
      <c r="AB73" s="114"/>
      <c r="AC73" s="114"/>
      <c r="AD73" s="114"/>
      <c r="AE73" s="114"/>
      <c r="AF73" s="114"/>
      <c r="AG73" s="511"/>
      <c r="AH73" s="511"/>
    </row>
    <row r="74" spans="3:40">
      <c r="C74" s="512" t="s">
        <v>359</v>
      </c>
      <c r="D74" s="78" t="s">
        <v>360</v>
      </c>
      <c r="E74" s="77"/>
      <c r="F74" s="114"/>
      <c r="G74" s="551">
        <f>G59/G60</f>
        <v>0.48565582531252616</v>
      </c>
      <c r="H74" s="533"/>
      <c r="I74" s="477"/>
      <c r="J74" s="512" t="s">
        <v>359</v>
      </c>
      <c r="K74" s="78" t="s">
        <v>360</v>
      </c>
      <c r="L74" s="77"/>
      <c r="M74" s="114"/>
      <c r="N74" s="551">
        <f>N59/N60</f>
        <v>0.40113772277593829</v>
      </c>
      <c r="O74" s="533"/>
      <c r="P74" s="477"/>
      <c r="Q74" s="512" t="s">
        <v>359</v>
      </c>
      <c r="R74" s="78" t="s">
        <v>360</v>
      </c>
      <c r="S74" s="77"/>
      <c r="T74" s="77"/>
      <c r="U74" s="77"/>
      <c r="V74" s="114"/>
      <c r="W74" s="550">
        <f>W59/W60</f>
        <v>0.5532101179881197</v>
      </c>
      <c r="X74" s="477"/>
      <c r="Y74" s="477"/>
      <c r="Z74" s="114"/>
      <c r="AA74" s="114"/>
      <c r="AB74" s="114"/>
      <c r="AC74" s="114"/>
      <c r="AD74" s="114"/>
      <c r="AE74" s="114"/>
      <c r="AF74" s="114"/>
      <c r="AG74" s="511"/>
      <c r="AH74" s="511"/>
    </row>
    <row r="75" spans="3:40">
      <c r="C75" s="512" t="s">
        <v>361</v>
      </c>
      <c r="D75" s="78" t="s">
        <v>362</v>
      </c>
      <c r="E75" s="77"/>
      <c r="F75" s="114"/>
      <c r="G75" s="549">
        <f>G74*P45</f>
        <v>6923480.068952404</v>
      </c>
      <c r="H75" s="533"/>
      <c r="I75" s="477"/>
      <c r="J75" s="512" t="s">
        <v>361</v>
      </c>
      <c r="K75" s="78" t="s">
        <v>362</v>
      </c>
      <c r="L75" s="77"/>
      <c r="M75" s="114"/>
      <c r="N75" s="549">
        <f>N74*P46</f>
        <v>2545677.3671972752</v>
      </c>
      <c r="O75" s="533"/>
      <c r="P75" s="477"/>
      <c r="Q75" s="512" t="s">
        <v>361</v>
      </c>
      <c r="R75" s="78" t="s">
        <v>362</v>
      </c>
      <c r="S75" s="77"/>
      <c r="T75" s="77"/>
      <c r="U75" s="77"/>
      <c r="V75" s="114"/>
      <c r="W75" s="549">
        <f>W74*P47</f>
        <v>4375779.4395189155</v>
      </c>
      <c r="X75" s="477"/>
      <c r="Y75" s="477"/>
      <c r="Z75" s="114"/>
      <c r="AA75" s="114"/>
      <c r="AB75" s="114"/>
      <c r="AC75" s="114"/>
      <c r="AD75" s="114"/>
      <c r="AE75" s="114"/>
      <c r="AF75" s="114"/>
      <c r="AG75" s="511"/>
      <c r="AH75" s="511"/>
    </row>
    <row r="76" spans="3:40">
      <c r="C76" s="512" t="s">
        <v>363</v>
      </c>
      <c r="D76" s="78" t="s">
        <v>364</v>
      </c>
      <c r="E76" s="77"/>
      <c r="F76" s="114"/>
      <c r="G76" s="549">
        <f>G75-Q45</f>
        <v>-22575.370617079549</v>
      </c>
      <c r="H76" s="533"/>
      <c r="I76" s="477"/>
      <c r="J76" s="512" t="s">
        <v>363</v>
      </c>
      <c r="K76" s="78" t="s">
        <v>364</v>
      </c>
      <c r="L76" s="77"/>
      <c r="M76" s="114"/>
      <c r="N76" s="549">
        <f>N75-Q46</f>
        <v>-157113.32182000857</v>
      </c>
      <c r="O76" s="533"/>
      <c r="P76" s="477"/>
      <c r="Q76" s="512" t="s">
        <v>363</v>
      </c>
      <c r="R76" s="78" t="s">
        <v>364</v>
      </c>
      <c r="S76" s="77"/>
      <c r="T76" s="77"/>
      <c r="U76" s="77"/>
      <c r="V76" s="114"/>
      <c r="W76" s="549">
        <f>W75-Q47</f>
        <v>132514.68896671571</v>
      </c>
      <c r="X76" s="477"/>
      <c r="Y76" s="477"/>
      <c r="Z76" s="114"/>
      <c r="AA76" s="114"/>
      <c r="AB76" s="114"/>
      <c r="AC76" s="114"/>
      <c r="AD76" s="114"/>
      <c r="AE76" s="114"/>
      <c r="AF76" s="114"/>
      <c r="AG76" s="511"/>
      <c r="AH76" s="511"/>
    </row>
    <row r="77" spans="3:40">
      <c r="C77" s="512" t="s">
        <v>365</v>
      </c>
      <c r="D77" s="78" t="s">
        <v>366</v>
      </c>
      <c r="E77" s="77"/>
      <c r="F77" s="114"/>
      <c r="G77" s="549">
        <f ca="1">Q45-Q48</f>
        <v>2636301.5045519937</v>
      </c>
      <c r="H77" s="533"/>
      <c r="I77" s="477"/>
      <c r="J77" s="512" t="s">
        <v>365</v>
      </c>
      <c r="K77" s="78" t="s">
        <v>366</v>
      </c>
      <c r="L77" s="77"/>
      <c r="M77" s="114"/>
      <c r="N77" s="549">
        <f ca="1">Q46-N78</f>
        <v>2702790.6890172837</v>
      </c>
      <c r="O77" s="533"/>
      <c r="P77" s="477"/>
      <c r="Q77" s="512" t="s">
        <v>365</v>
      </c>
      <c r="R77" s="78" t="s">
        <v>366</v>
      </c>
      <c r="S77" s="77"/>
      <c r="T77" s="77"/>
      <c r="U77" s="77"/>
      <c r="V77" s="114"/>
      <c r="W77" s="549">
        <f ca="1">Q47-W78</f>
        <v>0</v>
      </c>
      <c r="X77" s="477"/>
      <c r="Y77" s="477"/>
      <c r="Z77" s="114"/>
      <c r="AA77" s="114"/>
      <c r="AB77" s="114"/>
      <c r="AC77" s="114"/>
      <c r="AD77" s="114"/>
      <c r="AE77" s="114"/>
      <c r="AF77" s="114"/>
      <c r="AG77" s="511"/>
      <c r="AH77" s="511"/>
    </row>
    <row r="78" spans="3:40">
      <c r="C78" s="512" t="s">
        <v>367</v>
      </c>
      <c r="D78" s="78" t="s">
        <v>368</v>
      </c>
      <c r="E78" s="77"/>
      <c r="F78" s="114"/>
      <c r="G78" s="549">
        <f ca="1">Q48</f>
        <v>4309753.9350174898</v>
      </c>
      <c r="H78" s="533"/>
      <c r="I78" s="477"/>
      <c r="J78" s="512" t="s">
        <v>367</v>
      </c>
      <c r="K78" s="78" t="s">
        <v>368</v>
      </c>
      <c r="L78" s="77"/>
      <c r="M78" s="114"/>
      <c r="N78" s="549">
        <f ca="1">SUMIF($B$5:$Q$20,$N$48,$Q$5:$Q$20)</f>
        <v>0</v>
      </c>
      <c r="O78" s="533"/>
      <c r="P78" s="477"/>
      <c r="Q78" s="512" t="s">
        <v>367</v>
      </c>
      <c r="R78" s="78" t="s">
        <v>368</v>
      </c>
      <c r="S78" s="77"/>
      <c r="T78" s="77"/>
      <c r="U78" s="77"/>
      <c r="V78" s="114"/>
      <c r="W78" s="549">
        <f ca="1">SUMIF($B$21:$Q$43,N48,$Q$21:$Q$43)</f>
        <v>4243264.7505521998</v>
      </c>
      <c r="X78" s="477"/>
      <c r="Y78" s="477"/>
      <c r="Z78" s="114"/>
      <c r="AA78" s="114"/>
      <c r="AB78" s="114"/>
      <c r="AC78" s="114"/>
      <c r="AD78" s="114"/>
      <c r="AE78" s="114"/>
      <c r="AF78" s="114"/>
      <c r="AG78" s="511"/>
      <c r="AH78" s="511"/>
    </row>
    <row r="79" spans="3:40">
      <c r="C79" s="512"/>
      <c r="D79" s="78"/>
      <c r="E79" s="77"/>
      <c r="F79" s="114"/>
      <c r="G79" s="549"/>
      <c r="H79" s="533"/>
      <c r="I79" s="477"/>
      <c r="J79" s="512"/>
      <c r="K79" s="78"/>
      <c r="L79" s="77"/>
      <c r="M79" s="114"/>
      <c r="N79" s="549"/>
      <c r="O79" s="533"/>
      <c r="P79" s="477"/>
      <c r="Q79" s="512"/>
      <c r="R79" s="78"/>
      <c r="S79" s="77"/>
      <c r="T79" s="77"/>
      <c r="U79" s="77"/>
      <c r="V79" s="114"/>
      <c r="W79" s="549"/>
      <c r="X79" s="477"/>
      <c r="Y79" s="477"/>
      <c r="Z79" s="114"/>
      <c r="AA79" s="114"/>
      <c r="AB79" s="114"/>
      <c r="AC79" s="114"/>
      <c r="AD79" s="114"/>
      <c r="AE79" s="114"/>
      <c r="AF79" s="114"/>
      <c r="AG79" s="511"/>
      <c r="AH79" s="511"/>
    </row>
    <row r="80" spans="3:40">
      <c r="C80" s="512" t="s">
        <v>369</v>
      </c>
      <c r="D80" s="78" t="s">
        <v>370</v>
      </c>
      <c r="E80" s="77"/>
      <c r="F80" s="114"/>
      <c r="G80" s="549">
        <f ca="1">V45-G58</f>
        <v>31289.071702826768</v>
      </c>
      <c r="H80" s="533"/>
      <c r="I80" s="477"/>
      <c r="J80" s="512" t="s">
        <v>369</v>
      </c>
      <c r="K80" s="78" t="s">
        <v>370</v>
      </c>
      <c r="L80" s="77"/>
      <c r="M80" s="114"/>
      <c r="N80" s="552">
        <f ca="1">V46-N58</f>
        <v>-123042.88607696397</v>
      </c>
      <c r="O80" s="533"/>
      <c r="P80" s="477"/>
      <c r="Q80" s="512" t="s">
        <v>369</v>
      </c>
      <c r="R80" s="78" t="s">
        <v>370</v>
      </c>
      <c r="S80" s="77"/>
      <c r="T80" s="77"/>
      <c r="U80" s="77"/>
      <c r="V80" s="114"/>
      <c r="W80" s="549">
        <f ca="1">V47-W58</f>
        <v>154331.9577797926</v>
      </c>
      <c r="X80" s="477"/>
      <c r="Y80" s="477"/>
      <c r="Z80" s="114"/>
      <c r="AA80" s="114"/>
      <c r="AB80" s="114"/>
      <c r="AC80" s="114"/>
      <c r="AD80" s="114"/>
      <c r="AE80" s="114"/>
      <c r="AF80" s="114"/>
      <c r="AG80" s="511"/>
      <c r="AH80" s="511"/>
    </row>
    <row r="81" spans="3:34">
      <c r="C81" s="512" t="s">
        <v>371</v>
      </c>
      <c r="D81" s="78" t="s">
        <v>372</v>
      </c>
      <c r="E81" s="77"/>
      <c r="F81" s="114"/>
      <c r="G81" s="549">
        <f ca="1">S45-G59</f>
        <v>73435.439569483511</v>
      </c>
      <c r="H81" s="533"/>
      <c r="I81" s="477"/>
      <c r="J81" s="512" t="s">
        <v>371</v>
      </c>
      <c r="K81" s="78" t="s">
        <v>372</v>
      </c>
      <c r="L81" s="77"/>
      <c r="M81" s="114"/>
      <c r="N81" s="549">
        <f ca="1">U46-N59</f>
        <v>181111.70651920233</v>
      </c>
      <c r="O81" s="533"/>
      <c r="P81" s="477"/>
      <c r="Q81" s="512" t="s">
        <v>371</v>
      </c>
      <c r="R81" s="78" t="s">
        <v>372</v>
      </c>
      <c r="S81" s="77"/>
      <c r="T81" s="77"/>
      <c r="U81" s="77"/>
      <c r="V81" s="114"/>
      <c r="W81" s="549">
        <f ca="1">U47-W59</f>
        <v>-107676.26694971882</v>
      </c>
      <c r="X81" s="477"/>
      <c r="Y81" s="477"/>
      <c r="Z81" s="114"/>
      <c r="AA81" s="114"/>
      <c r="AB81" s="114"/>
      <c r="AC81" s="114"/>
      <c r="AD81" s="114"/>
      <c r="AE81" s="114"/>
      <c r="AF81" s="114"/>
      <c r="AG81" s="511"/>
      <c r="AH81" s="511"/>
    </row>
    <row r="82" spans="3:34">
      <c r="C82" s="512"/>
      <c r="D82" s="78"/>
      <c r="E82" s="77"/>
      <c r="F82" s="114"/>
      <c r="G82" s="549"/>
      <c r="H82" s="533"/>
      <c r="I82" s="477"/>
      <c r="J82" s="512"/>
      <c r="K82" s="78"/>
      <c r="L82" s="77"/>
      <c r="M82" s="114"/>
      <c r="N82" s="549"/>
      <c r="O82" s="533"/>
      <c r="P82" s="477"/>
      <c r="Q82" s="512"/>
      <c r="R82" s="78"/>
      <c r="S82" s="77"/>
      <c r="T82" s="77"/>
      <c r="U82" s="77"/>
      <c r="V82" s="114"/>
      <c r="W82" s="549"/>
      <c r="X82" s="477"/>
      <c r="Y82" s="477"/>
      <c r="Z82" s="114"/>
      <c r="AA82" s="114"/>
      <c r="AB82" s="114"/>
      <c r="AC82" s="114"/>
      <c r="AD82" s="114"/>
      <c r="AE82" s="114"/>
      <c r="AF82" s="114"/>
      <c r="AG82" s="511"/>
      <c r="AH82" s="511"/>
    </row>
    <row r="83" spans="3:34">
      <c r="C83" s="512" t="s">
        <v>373</v>
      </c>
      <c r="D83" s="78" t="s">
        <v>374</v>
      </c>
      <c r="E83" s="77"/>
      <c r="F83" s="114"/>
      <c r="G83" s="549">
        <f ca="1">G57</f>
        <v>4309753.9350174898</v>
      </c>
      <c r="H83" s="533"/>
      <c r="I83" s="477"/>
      <c r="J83" s="512" t="s">
        <v>373</v>
      </c>
      <c r="K83" s="78" t="s">
        <v>374</v>
      </c>
      <c r="L83" s="77"/>
      <c r="M83" s="114"/>
      <c r="N83" s="549">
        <f ca="1">N57</f>
        <v>0</v>
      </c>
      <c r="O83" s="533"/>
      <c r="P83" s="477"/>
      <c r="Q83" s="512" t="s">
        <v>373</v>
      </c>
      <c r="R83" s="78" t="s">
        <v>374</v>
      </c>
      <c r="S83" s="77"/>
      <c r="T83" s="77"/>
      <c r="U83" s="77"/>
      <c r="V83" s="114"/>
      <c r="W83" s="549">
        <f ca="1">W57</f>
        <v>4309753.9350174898</v>
      </c>
      <c r="X83" s="477"/>
      <c r="Y83" s="477"/>
      <c r="Z83" s="114"/>
      <c r="AA83" s="114"/>
      <c r="AB83" s="114"/>
      <c r="AC83" s="114"/>
      <c r="AD83" s="114"/>
      <c r="AE83" s="114"/>
      <c r="AF83" s="114"/>
      <c r="AG83" s="511"/>
      <c r="AH83" s="511"/>
    </row>
    <row r="84" spans="3:34">
      <c r="C84" s="512" t="s">
        <v>375</v>
      </c>
      <c r="D84" s="78" t="s">
        <v>376</v>
      </c>
      <c r="E84" s="77"/>
      <c r="F84" s="114"/>
      <c r="G84" s="549">
        <f>G75-G56</f>
        <v>-125067.33484831546</v>
      </c>
      <c r="H84" s="533"/>
      <c r="I84" s="477"/>
      <c r="J84" s="512" t="s">
        <v>375</v>
      </c>
      <c r="K84" s="78" t="s">
        <v>376</v>
      </c>
      <c r="L84" s="77"/>
      <c r="M84" s="114"/>
      <c r="N84" s="549">
        <f>N75-N56</f>
        <v>-193116.10158595489</v>
      </c>
      <c r="O84" s="533"/>
      <c r="P84" s="477"/>
      <c r="Q84" s="512" t="s">
        <v>375</v>
      </c>
      <c r="R84" s="78" t="s">
        <v>376</v>
      </c>
      <c r="S84" s="77"/>
      <c r="T84" s="77"/>
      <c r="U84" s="77"/>
      <c r="V84" s="114"/>
      <c r="W84" s="549">
        <f>W75-W56</f>
        <v>66025.504501425661</v>
      </c>
      <c r="X84" s="477"/>
      <c r="Y84" s="477"/>
      <c r="Z84" s="114"/>
      <c r="AA84" s="114"/>
      <c r="AB84" s="114"/>
      <c r="AC84" s="114"/>
      <c r="AD84" s="114"/>
      <c r="AE84" s="114"/>
      <c r="AF84" s="114"/>
      <c r="AG84" s="511"/>
      <c r="AH84" s="511"/>
    </row>
    <row r="85" spans="3:34">
      <c r="C85" s="512" t="s">
        <v>377</v>
      </c>
      <c r="D85" s="78" t="s">
        <v>378</v>
      </c>
      <c r="E85" s="77"/>
      <c r="F85" s="114"/>
      <c r="G85" s="549">
        <f>G55-G58</f>
        <v>111179.48097720183</v>
      </c>
      <c r="H85" s="533"/>
      <c r="I85" s="477"/>
      <c r="J85" s="512" t="s">
        <v>377</v>
      </c>
      <c r="K85" s="78" t="s">
        <v>378</v>
      </c>
      <c r="L85" s="77"/>
      <c r="M85" s="114"/>
      <c r="N85" s="549">
        <f>N55-N58</f>
        <v>-68163.620647324715</v>
      </c>
      <c r="O85" s="533"/>
      <c r="P85" s="477"/>
      <c r="Q85" s="512" t="s">
        <v>377</v>
      </c>
      <c r="R85" s="78" t="s">
        <v>378</v>
      </c>
      <c r="S85" s="77"/>
      <c r="T85" s="77"/>
      <c r="U85" s="77"/>
      <c r="V85" s="114"/>
      <c r="W85" s="549">
        <f>W55-W58</f>
        <v>179343.10162452795</v>
      </c>
      <c r="X85" s="477"/>
      <c r="Y85" s="477"/>
      <c r="Z85" s="114"/>
      <c r="AA85" s="114"/>
      <c r="AB85" s="114"/>
      <c r="AC85" s="114"/>
      <c r="AD85" s="114"/>
      <c r="AE85" s="114"/>
      <c r="AF85" s="114"/>
      <c r="AG85" s="511"/>
      <c r="AH85" s="511"/>
    </row>
    <row r="86" spans="3:34">
      <c r="C86" s="512" t="s">
        <v>379</v>
      </c>
      <c r="D86" s="138" t="s">
        <v>380</v>
      </c>
      <c r="E86" s="77"/>
      <c r="F86" s="114"/>
      <c r="G86" s="549">
        <f ca="1">V45-G58</f>
        <v>31289.071702826768</v>
      </c>
      <c r="H86" s="553">
        <f ca="1">G86/G85</f>
        <v>0.28142847428153422</v>
      </c>
      <c r="I86" s="477" t="s">
        <v>217</v>
      </c>
      <c r="J86" s="512" t="s">
        <v>379</v>
      </c>
      <c r="K86" s="138" t="s">
        <v>380</v>
      </c>
      <c r="L86" s="77"/>
      <c r="M86" s="114"/>
      <c r="N86" s="552">
        <f ca="1">V46-N58</f>
        <v>-123042.88607696397</v>
      </c>
      <c r="O86" s="553">
        <f ca="1">N86/N85</f>
        <v>1.8051107747574315</v>
      </c>
      <c r="P86" s="477" t="s">
        <v>217</v>
      </c>
      <c r="Q86" s="512" t="s">
        <v>379</v>
      </c>
      <c r="R86" s="138" t="s">
        <v>380</v>
      </c>
      <c r="S86" s="77"/>
      <c r="T86" s="77"/>
      <c r="U86" s="77"/>
      <c r="V86" s="114"/>
      <c r="W86" s="549">
        <f ca="1">V47-W58</f>
        <v>154331.9577797926</v>
      </c>
      <c r="X86" s="553">
        <f ca="1">W86/W85</f>
        <v>0.86054025151690205</v>
      </c>
      <c r="Y86" s="477" t="s">
        <v>217</v>
      </c>
    </row>
    <row r="87" spans="3:34">
      <c r="C87" s="512" t="s">
        <v>381</v>
      </c>
      <c r="D87" s="138" t="s">
        <v>372</v>
      </c>
      <c r="E87" s="77"/>
      <c r="F87" s="114"/>
      <c r="G87" s="549">
        <f ca="1">U45-G59</f>
        <v>73435.439569483511</v>
      </c>
      <c r="H87" s="553">
        <f ca="1">G87/G85</f>
        <v>0.66051252375015124</v>
      </c>
      <c r="I87" s="477" t="s">
        <v>382</v>
      </c>
      <c r="J87" s="512" t="s">
        <v>381</v>
      </c>
      <c r="K87" s="138" t="s">
        <v>383</v>
      </c>
      <c r="L87" s="77"/>
      <c r="M87" s="114"/>
      <c r="N87" s="549">
        <f ca="1">N85-N86</f>
        <v>54879.265429639257</v>
      </c>
      <c r="O87" s="553">
        <f ca="1">N87/N85</f>
        <v>-0.80511077475743154</v>
      </c>
      <c r="P87" s="477" t="s">
        <v>382</v>
      </c>
      <c r="Q87" s="512" t="s">
        <v>381</v>
      </c>
      <c r="R87" s="138" t="s">
        <v>383</v>
      </c>
      <c r="S87" s="77"/>
      <c r="T87" s="77"/>
      <c r="U87" s="77"/>
      <c r="V87" s="114"/>
      <c r="W87" s="549">
        <f ca="1">W85-W86</f>
        <v>25011.143844735343</v>
      </c>
      <c r="X87" s="553">
        <f ca="1">W87/W85</f>
        <v>0.13945974848309795</v>
      </c>
      <c r="Y87" s="477" t="s">
        <v>382</v>
      </c>
    </row>
    <row r="88" spans="3:34">
      <c r="C88" s="512"/>
      <c r="D88" s="554"/>
      <c r="E88" s="77"/>
      <c r="F88" s="114"/>
      <c r="G88" s="477"/>
      <c r="H88" s="477"/>
      <c r="I88" s="477"/>
      <c r="J88" s="512"/>
      <c r="K88" s="554"/>
      <c r="L88" s="77"/>
      <c r="M88" s="114"/>
      <c r="N88" s="533"/>
      <c r="O88" s="533"/>
      <c r="P88" s="477"/>
      <c r="Q88" s="512"/>
      <c r="R88" s="554"/>
      <c r="S88" s="77"/>
      <c r="T88" s="77"/>
      <c r="U88" s="77"/>
      <c r="V88" s="114"/>
      <c r="W88" s="477"/>
      <c r="X88" s="477"/>
      <c r="Y88" s="477"/>
    </row>
    <row r="89" spans="3:34" ht="16" thickBot="1">
      <c r="C89" s="512" t="s">
        <v>384</v>
      </c>
      <c r="D89" s="78" t="s">
        <v>19</v>
      </c>
      <c r="E89" s="77" t="s">
        <v>385</v>
      </c>
      <c r="F89" s="114" t="s">
        <v>386</v>
      </c>
      <c r="G89" s="555">
        <f ca="1">SUMIF(J5:Y43,D89,Y5:Y43)</f>
        <v>17903.507012735565</v>
      </c>
      <c r="H89" s="477"/>
      <c r="I89" s="477"/>
      <c r="J89" s="512" t="s">
        <v>384</v>
      </c>
      <c r="K89" s="78" t="s">
        <v>19</v>
      </c>
      <c r="L89" s="77" t="s">
        <v>385</v>
      </c>
      <c r="M89" s="114"/>
      <c r="N89" s="533">
        <f ca="1">SUMIF($J$5:$Y$20,$K$89,$Y$5:$Y$20)</f>
        <v>0</v>
      </c>
      <c r="O89" s="533"/>
      <c r="P89" s="477"/>
      <c r="Q89" s="512" t="s">
        <v>384</v>
      </c>
      <c r="R89" s="78" t="s">
        <v>19</v>
      </c>
      <c r="S89" s="77" t="s">
        <v>385</v>
      </c>
      <c r="T89" s="77"/>
      <c r="U89" s="77"/>
      <c r="V89" s="114"/>
      <c r="W89" s="556">
        <f ca="1">SUMIF($J$21:$Y$42,$K$89,$Y$21:$Y$42)</f>
        <v>17903.507012735565</v>
      </c>
      <c r="X89" s="477"/>
      <c r="Y89" s="477"/>
    </row>
    <row r="90" spans="3:34">
      <c r="C90" s="512" t="s">
        <v>387</v>
      </c>
      <c r="D90" t="s">
        <v>64</v>
      </c>
      <c r="E90" s="557" t="s">
        <v>388</v>
      </c>
      <c r="F90" s="557"/>
      <c r="G90" s="556">
        <f>SUMIF($B$5:$B$43,D90,$X$5:$X$43)</f>
        <v>66489.184465290076</v>
      </c>
      <c r="J90" s="512" t="s">
        <v>387</v>
      </c>
      <c r="K90" t="s">
        <v>64</v>
      </c>
      <c r="L90" s="557" t="s">
        <v>388</v>
      </c>
      <c r="M90" t="s">
        <v>165</v>
      </c>
      <c r="N90" s="556">
        <f>SUMIF($B$5:$B$20,K90,$X$5:$X$20)</f>
        <v>0</v>
      </c>
      <c r="O90" s="556"/>
      <c r="Q90" s="512" t="s">
        <v>387</v>
      </c>
      <c r="R90" t="s">
        <v>64</v>
      </c>
      <c r="S90" s="557" t="s">
        <v>388</v>
      </c>
      <c r="T90" s="434"/>
      <c r="U90" s="434"/>
      <c r="V90" t="s">
        <v>165</v>
      </c>
      <c r="W90" s="556">
        <f>SUMIF($B$21:$B$42,R90,$X$21:$X$42)</f>
        <v>66489.184465290076</v>
      </c>
    </row>
    <row r="91" spans="3:34">
      <c r="C91" s="558"/>
      <c r="D91" t="s">
        <v>64</v>
      </c>
      <c r="E91" s="559" t="s">
        <v>389</v>
      </c>
      <c r="F91" s="434"/>
      <c r="G91" s="556">
        <f>SUMIF($B$5:$B$43,D91,$U$5:$U$43)</f>
        <v>4243264.7505521998</v>
      </c>
      <c r="J91" s="512"/>
      <c r="K91" s="2" t="s">
        <v>64</v>
      </c>
      <c r="L91" s="560" t="s">
        <v>389</v>
      </c>
      <c r="M91" s="561"/>
      <c r="N91" s="556">
        <f>SUMIF($B$5:$B$20,K91,$U$5:$U$20)</f>
        <v>0</v>
      </c>
      <c r="O91" s="556"/>
      <c r="Q91" s="512"/>
      <c r="R91" s="2" t="s">
        <v>64</v>
      </c>
      <c r="S91" s="560" t="s">
        <v>389</v>
      </c>
      <c r="T91" s="561"/>
      <c r="U91" s="561"/>
      <c r="V91" s="561"/>
      <c r="W91" s="556">
        <f>SUMIF($B$21:$B$42,R91,$U$21:$U$42)</f>
        <v>4243264.7505521998</v>
      </c>
    </row>
    <row r="92" spans="3:34">
      <c r="C92" s="512" t="s">
        <v>390</v>
      </c>
      <c r="D92" t="s">
        <v>29</v>
      </c>
      <c r="E92" s="559" t="s">
        <v>391</v>
      </c>
      <c r="G92" s="556">
        <f>SUMIF($O$5:$O$43,D92,$X$5:$X$43)</f>
        <v>36.938090776778154</v>
      </c>
      <c r="J92" s="512" t="s">
        <v>390</v>
      </c>
      <c r="K92" s="2" t="s">
        <v>29</v>
      </c>
      <c r="L92" s="560" t="s">
        <v>391</v>
      </c>
      <c r="M92" s="2"/>
      <c r="N92" s="556">
        <f>SUMIF($O$5:$O$20,K92,$X$5:$X$20)</f>
        <v>36.938090776778154</v>
      </c>
      <c r="O92" s="556"/>
      <c r="Q92" s="512" t="s">
        <v>390</v>
      </c>
      <c r="R92" s="2" t="s">
        <v>29</v>
      </c>
      <c r="S92" s="560" t="s">
        <v>391</v>
      </c>
      <c r="T92" s="561"/>
      <c r="U92" s="561"/>
      <c r="V92" s="2"/>
      <c r="W92" s="556">
        <f>SUMIF($O$21:$O$42,R92,$X$21:$X$42)</f>
        <v>0</v>
      </c>
    </row>
    <row r="93" spans="3:34">
      <c r="C93" s="512" t="s">
        <v>392</v>
      </c>
      <c r="D93" t="s">
        <v>29</v>
      </c>
      <c r="E93" s="559" t="s">
        <v>393</v>
      </c>
      <c r="G93" s="556">
        <f>SUMIF($O$5:$O$43,$D93,$U$5:$U$43)</f>
        <v>1319.7830866557636</v>
      </c>
      <c r="J93" s="512" t="s">
        <v>392</v>
      </c>
      <c r="K93" s="2" t="s">
        <v>29</v>
      </c>
      <c r="L93" s="560" t="s">
        <v>393</v>
      </c>
      <c r="M93" s="2"/>
      <c r="N93" s="556">
        <f>SUMIF($O$5:$O$20,$D93,$U$5:$U$20)</f>
        <v>1319.7830866557636</v>
      </c>
      <c r="O93" s="556"/>
      <c r="Q93" s="144" t="s">
        <v>392</v>
      </c>
      <c r="R93" s="2" t="s">
        <v>29</v>
      </c>
      <c r="S93" s="560" t="s">
        <v>393</v>
      </c>
      <c r="T93" s="561"/>
      <c r="U93" s="561"/>
      <c r="V93" s="2"/>
      <c r="W93" s="556">
        <f>SUMIF($O$21:$O$42,$D93,$U$21:$U$42)</f>
        <v>0</v>
      </c>
    </row>
    <row r="94" spans="3:34">
      <c r="C94" s="144" t="s">
        <v>394</v>
      </c>
      <c r="D94" t="s">
        <v>64</v>
      </c>
      <c r="E94" t="s">
        <v>395</v>
      </c>
      <c r="G94" s="562">
        <f ca="1">SUMIF($B$5:$Y$43,D94,$X$5:$X$43)</f>
        <v>66489.184465290076</v>
      </c>
      <c r="J94" s="144" t="s">
        <v>394</v>
      </c>
      <c r="K94" s="2" t="s">
        <v>64</v>
      </c>
      <c r="L94" s="2" t="s">
        <v>395</v>
      </c>
      <c r="M94" s="2"/>
      <c r="N94" s="562">
        <f ca="1">SUMIF($B$5:$Y$20,K94,$X$5:$X$20)</f>
        <v>0</v>
      </c>
      <c r="O94" s="556"/>
      <c r="Q94" s="144" t="s">
        <v>394</v>
      </c>
      <c r="R94" s="2" t="s">
        <v>64</v>
      </c>
      <c r="S94" s="2" t="s">
        <v>395</v>
      </c>
      <c r="T94" s="2"/>
      <c r="U94" s="2"/>
      <c r="V94" s="2"/>
      <c r="W94" s="562">
        <f ca="1">SUMIF($B$21:$Y$42,R94,$X$21:$X$42)</f>
        <v>66489.184465290076</v>
      </c>
    </row>
    <row r="95" spans="3:34">
      <c r="C95" s="144" t="s">
        <v>396</v>
      </c>
      <c r="D95" t="s">
        <v>64</v>
      </c>
      <c r="E95" t="s">
        <v>397</v>
      </c>
      <c r="G95" s="562">
        <f ca="1">SUMIF($B$5:$Y$43,D95,$Y$5:$Y$43)</f>
        <v>25011.143844735554</v>
      </c>
      <c r="J95" s="144" t="s">
        <v>396</v>
      </c>
      <c r="K95" s="2" t="s">
        <v>64</v>
      </c>
      <c r="L95" s="2" t="s">
        <v>397</v>
      </c>
      <c r="M95" s="2"/>
      <c r="N95" s="562">
        <f ca="1">SUMIF($B$5:$Y$20,K95,$Y$5:$Y$20)</f>
        <v>0</v>
      </c>
      <c r="O95" s="556"/>
      <c r="Q95" s="144" t="s">
        <v>396</v>
      </c>
      <c r="R95" s="2" t="s">
        <v>64</v>
      </c>
      <c r="S95" s="2" t="s">
        <v>397</v>
      </c>
      <c r="T95" s="2"/>
      <c r="U95" s="2"/>
      <c r="V95" s="2"/>
      <c r="W95" s="562">
        <f ca="1">SUMIF($B$21:$Y$42,R95,$Y$21:$Y$42)</f>
        <v>25011.143844735554</v>
      </c>
    </row>
    <row r="96" spans="3:34">
      <c r="C96" s="144" t="s">
        <v>398</v>
      </c>
      <c r="D96" t="s">
        <v>29</v>
      </c>
      <c r="E96" t="s">
        <v>395</v>
      </c>
      <c r="G96" s="563">
        <f ca="1">SUMIF($O$5:$Y$43,D96,$X$5:$X$43)</f>
        <v>36.938090776778154</v>
      </c>
      <c r="J96" s="144" t="s">
        <v>398</v>
      </c>
      <c r="K96" s="2" t="s">
        <v>29</v>
      </c>
      <c r="L96" s="2" t="s">
        <v>395</v>
      </c>
      <c r="M96" s="2"/>
      <c r="N96" s="564">
        <f ca="1">SUMIF($O$5:$Y$20,K96,$X$5:$X$20)</f>
        <v>36.938090776778154</v>
      </c>
      <c r="O96" s="556"/>
      <c r="Q96" s="144" t="s">
        <v>398</v>
      </c>
      <c r="R96" s="2" t="s">
        <v>29</v>
      </c>
      <c r="S96" s="2" t="s">
        <v>395</v>
      </c>
      <c r="T96" s="2"/>
      <c r="U96" s="2"/>
      <c r="V96" s="2"/>
      <c r="W96" s="564">
        <f ca="1">SUMIF($O$21:$Y$42,R96,$X$21:$X$42)</f>
        <v>0</v>
      </c>
    </row>
    <row r="97" spans="3:23">
      <c r="C97" s="144" t="s">
        <v>399</v>
      </c>
      <c r="D97" t="s">
        <v>29</v>
      </c>
      <c r="E97" t="s">
        <v>400</v>
      </c>
      <c r="G97" s="563">
        <f>SUMIF($O$5:$O$43,D97,$Y$5:$Y$43)</f>
        <v>84.108705223221477</v>
      </c>
      <c r="J97" s="144" t="s">
        <v>399</v>
      </c>
      <c r="K97" s="2" t="s">
        <v>29</v>
      </c>
      <c r="L97" s="2" t="s">
        <v>400</v>
      </c>
      <c r="M97" s="2"/>
      <c r="N97" s="563">
        <f>SUMIF($O$5:$O$20,K97,$Y$5:$Y$20)</f>
        <v>84.108705223221477</v>
      </c>
      <c r="O97" s="562"/>
      <c r="Q97" s="144" t="s">
        <v>399</v>
      </c>
      <c r="R97" s="2" t="s">
        <v>29</v>
      </c>
      <c r="S97" s="2" t="s">
        <v>400</v>
      </c>
      <c r="T97" s="2"/>
      <c r="U97" s="2"/>
      <c r="V97" s="2"/>
      <c r="W97" s="563">
        <f>SUMIF($O$21:$O$42,R97,$Y$21:$Y$42)</f>
        <v>0</v>
      </c>
    </row>
    <row r="98" spans="3:23">
      <c r="C98" s="144"/>
      <c r="D98" s="565" t="s">
        <v>29</v>
      </c>
      <c r="E98" s="559" t="s">
        <v>401</v>
      </c>
      <c r="F98" s="559"/>
      <c r="G98" s="563">
        <f>SUMIF($O$5:$O$43,D98,$V$5:$V$43)</f>
        <v>3005.170117344237</v>
      </c>
      <c r="J98" s="144"/>
      <c r="K98" s="566" t="s">
        <v>29</v>
      </c>
      <c r="L98" s="560" t="s">
        <v>401</v>
      </c>
      <c r="M98" s="560"/>
      <c r="N98" s="563">
        <f>SUMIF($O$5:$O$20,K98,$V$5:$V$20)</f>
        <v>3005.170117344237</v>
      </c>
      <c r="O98" s="562"/>
      <c r="Q98" s="144"/>
      <c r="R98" s="566" t="s">
        <v>29</v>
      </c>
      <c r="S98" s="560" t="s">
        <v>401</v>
      </c>
      <c r="T98" s="560"/>
      <c r="U98" s="560"/>
      <c r="V98" s="560"/>
      <c r="W98" s="563">
        <f>SUMIF($O$21:$O$42,R98,$V$21:$V$42)</f>
        <v>0</v>
      </c>
    </row>
    <row r="99" spans="3:23">
      <c r="C99" s="144"/>
      <c r="D99" t="s">
        <v>19</v>
      </c>
      <c r="E99" t="s">
        <v>385</v>
      </c>
      <c r="F99" t="s">
        <v>386</v>
      </c>
      <c r="G99" s="563">
        <f ca="1">SUMIF($J$5:$Y$43,D99,$Y$5:$Y$43)</f>
        <v>17903.507012735565</v>
      </c>
      <c r="J99" s="144"/>
      <c r="K99" s="2" t="s">
        <v>19</v>
      </c>
      <c r="L99" s="2" t="s">
        <v>385</v>
      </c>
      <c r="M99" s="2" t="s">
        <v>386</v>
      </c>
      <c r="N99" s="563">
        <f ca="1">SUMIF($J$5:$Y$20,K99,$Y$5:$Y$20)</f>
        <v>0</v>
      </c>
      <c r="O99" s="562"/>
      <c r="Q99" s="144"/>
      <c r="R99" s="2" t="s">
        <v>19</v>
      </c>
      <c r="S99" s="2" t="s">
        <v>385</v>
      </c>
      <c r="T99" s="2"/>
      <c r="U99" s="2"/>
      <c r="V99" s="2" t="s">
        <v>386</v>
      </c>
      <c r="W99" s="563">
        <f ca="1">SUMIF($J$21:$Y$42,R99,$Y$21:$Y$42)</f>
        <v>17903.507012735565</v>
      </c>
    </row>
    <row r="100" spans="3:23">
      <c r="C100" s="144" t="s">
        <v>402</v>
      </c>
      <c r="E100" t="s">
        <v>403</v>
      </c>
      <c r="G100" s="567">
        <f ca="1">V45-G93</f>
        <v>7308564.2886161711</v>
      </c>
      <c r="J100" s="144" t="s">
        <v>402</v>
      </c>
      <c r="K100" s="2"/>
      <c r="L100" s="2" t="s">
        <v>404</v>
      </c>
      <c r="M100" s="2"/>
      <c r="N100" s="567">
        <f ca="1">V46-N93</f>
        <v>3642032.5672013015</v>
      </c>
      <c r="O100" s="562"/>
      <c r="Q100" s="144" t="s">
        <v>402</v>
      </c>
      <c r="S100" t="s">
        <v>403</v>
      </c>
      <c r="W100" s="567">
        <f ca="1">V47-W93</f>
        <v>3666531.7214148715</v>
      </c>
    </row>
    <row r="101" spans="3:23">
      <c r="C101" s="144" t="s">
        <v>405</v>
      </c>
      <c r="E101" t="s">
        <v>406</v>
      </c>
      <c r="G101" s="567">
        <f ca="1">V45-G92</f>
        <v>7309847.1336120497</v>
      </c>
      <c r="H101" s="132"/>
      <c r="I101" s="132"/>
      <c r="J101" s="144" t="s">
        <v>405</v>
      </c>
      <c r="L101" t="s">
        <v>406</v>
      </c>
      <c r="N101" s="567">
        <f ca="1">U46-N92</f>
        <v>2702753.7509265072</v>
      </c>
      <c r="O101" s="562"/>
      <c r="Q101" s="144" t="s">
        <v>405</v>
      </c>
      <c r="S101" t="s">
        <v>406</v>
      </c>
      <c r="W101" s="567">
        <f ca="1">U47-W92</f>
        <v>4243264.7505521998</v>
      </c>
    </row>
    <row r="102" spans="3:23">
      <c r="F102" s="132"/>
      <c r="H102" s="132"/>
      <c r="I102" s="132"/>
      <c r="N102" s="562"/>
      <c r="O102" s="562"/>
    </row>
    <row r="103" spans="3:23">
      <c r="F103" s="132"/>
      <c r="H103" s="132"/>
      <c r="I103" s="132"/>
    </row>
    <row r="104" spans="3:23">
      <c r="F104" s="137"/>
      <c r="H104" s="137"/>
      <c r="I104" s="137"/>
    </row>
    <row r="106" spans="3:23">
      <c r="F106" s="151"/>
      <c r="G106" s="151"/>
      <c r="H106" s="151"/>
      <c r="I106" s="151"/>
    </row>
    <row r="107" spans="3:23">
      <c r="F107" s="151"/>
      <c r="G107" s="151"/>
      <c r="H107" s="151"/>
      <c r="I107" s="151"/>
    </row>
    <row r="108" spans="3:23">
      <c r="F108" s="151"/>
      <c r="H108" s="132"/>
      <c r="I108" s="132"/>
    </row>
  </sheetData>
  <mergeCells count="84">
    <mergeCell ref="W2:Y2"/>
    <mergeCell ref="F1:I1"/>
    <mergeCell ref="K1:P1"/>
    <mergeCell ref="F2:I2"/>
    <mergeCell ref="J2:N2"/>
    <mergeCell ref="P2:V2"/>
    <mergeCell ref="CY27:CZ27"/>
    <mergeCell ref="DC27:DD27"/>
    <mergeCell ref="Z2:AB2"/>
    <mergeCell ref="AC2:AE2"/>
    <mergeCell ref="AX3:AZ3"/>
    <mergeCell ref="BA3:BD3"/>
    <mergeCell ref="BE3:BG3"/>
    <mergeCell ref="BZ3:CM3"/>
    <mergeCell ref="CU3:DG3"/>
    <mergeCell ref="DH3:DM3"/>
    <mergeCell ref="C4:D4"/>
    <mergeCell ref="BK4:BN4"/>
    <mergeCell ref="BO4:BR4"/>
    <mergeCell ref="C54:C57"/>
    <mergeCell ref="D54:F54"/>
    <mergeCell ref="J54:J57"/>
    <mergeCell ref="K54:M54"/>
    <mergeCell ref="Q54:Q57"/>
    <mergeCell ref="DC31:DD31"/>
    <mergeCell ref="D45:E45"/>
    <mergeCell ref="C52:G52"/>
    <mergeCell ref="J52:N52"/>
    <mergeCell ref="Q52:W52"/>
    <mergeCell ref="R54:V54"/>
    <mergeCell ref="D55:F55"/>
    <mergeCell ref="K55:M55"/>
    <mergeCell ref="R55:V55"/>
    <mergeCell ref="D57:F57"/>
    <mergeCell ref="K57:M57"/>
    <mergeCell ref="R57:V57"/>
    <mergeCell ref="D62:F62"/>
    <mergeCell ref="K62:M62"/>
    <mergeCell ref="R62:V62"/>
    <mergeCell ref="C58:C67"/>
    <mergeCell ref="D58:F58"/>
    <mergeCell ref="J58:J67"/>
    <mergeCell ref="K58:M58"/>
    <mergeCell ref="Q58:Q67"/>
    <mergeCell ref="R58:V58"/>
    <mergeCell ref="D59:F59"/>
    <mergeCell ref="K59:M59"/>
    <mergeCell ref="R59:V59"/>
    <mergeCell ref="D60:F60"/>
    <mergeCell ref="K60:M60"/>
    <mergeCell ref="R60:V60"/>
    <mergeCell ref="D61:F61"/>
    <mergeCell ref="K61:M61"/>
    <mergeCell ref="R61:V61"/>
    <mergeCell ref="D63:F63"/>
    <mergeCell ref="K63:M63"/>
    <mergeCell ref="R63:V63"/>
    <mergeCell ref="D64:F64"/>
    <mergeCell ref="K64:M64"/>
    <mergeCell ref="R64:V64"/>
    <mergeCell ref="D65:F65"/>
    <mergeCell ref="K65:M65"/>
    <mergeCell ref="R65:V65"/>
    <mergeCell ref="D66:F66"/>
    <mergeCell ref="K66:M66"/>
    <mergeCell ref="R66:V66"/>
    <mergeCell ref="C68:C70"/>
    <mergeCell ref="D68:F68"/>
    <mergeCell ref="J68:J70"/>
    <mergeCell ref="K68:M68"/>
    <mergeCell ref="Q68:Q70"/>
    <mergeCell ref="D69:F69"/>
    <mergeCell ref="D71:F71"/>
    <mergeCell ref="K71:M71"/>
    <mergeCell ref="R71:V71"/>
    <mergeCell ref="D67:F67"/>
    <mergeCell ref="K67:M67"/>
    <mergeCell ref="R67:V67"/>
    <mergeCell ref="R68:V68"/>
    <mergeCell ref="K69:M69"/>
    <mergeCell ref="R69:V69"/>
    <mergeCell ref="D70:F70"/>
    <mergeCell ref="K70:M70"/>
    <mergeCell ref="R70:V70"/>
  </mergeCells>
  <dataValidations count="1">
    <dataValidation type="list" errorStyle="warning" allowBlank="1" showInputMessage="1" showErrorMessage="1" sqref="N44:O44" xr:uid="{7F3E24F6-6356-4855-8E3D-BD2C075BCE8C}">
      <formula1>$C$43:$C$43</formula1>
    </dataValidation>
  </dataValidations>
  <pageMargins left="0.7" right="0.7" top="0.75" bottom="0.75" header="0.3" footer="0.3"/>
  <pageSetup scale="22" orientation="landscape" r:id="rId1"/>
</worksheet>
</file>

<file path=docMetadata/LabelInfo.xml><?xml version="1.0" encoding="utf-8"?>
<clbl:labelList xmlns:clbl="http://schemas.microsoft.com/office/2020/mipLabelMetadata">
  <clbl:label id="{d0cb1e24-a0e2-4a4c-9340-733297c9cd7c}" enabled="1" method="Privileged" siteId="{db1e96a8-a3da-442a-930b-235cac24cd5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NPDC_HCA_Input </vt:lpstr>
      <vt:lpstr>FRM - FOT Terminal DPR</vt:lpstr>
      <vt:lpstr>'FRM - FOT Terminal DPR'!Print_Area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Adesina, Tunji F SPDC-UPC/G/UVT</dc:creator>
  <cp:lastModifiedBy>Nwaghodoh, Ginikanwa F SPDC-UPC/G/CP</cp:lastModifiedBy>
  <dcterms:created xsi:type="dcterms:W3CDTF">2023-03-10T14:22:57Z</dcterms:created>
  <dcterms:modified xsi:type="dcterms:W3CDTF">2023-08-11T12:35:23Z</dcterms:modified>
</cp:coreProperties>
</file>