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banato.Etire\Downloads\Fit4\"/>
    </mc:Choice>
  </mc:AlternateContent>
  <xr:revisionPtr revIDLastSave="0" documentId="8_{3C05B599-B7D6-429C-8ABF-58877FD28597}" xr6:coauthVersionLast="46" xr6:coauthVersionMax="46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8490" windowHeight="110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5" l="1"/>
  <c r="L40" i="5" l="1"/>
  <c r="L39" i="5"/>
  <c r="G40" i="5"/>
  <c r="G43" i="5" l="1"/>
  <c r="E30" i="5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<sst xmlns="http://schemas.openxmlformats.org/spreadsheetml/2006/main" count="314" uniqueCount="143">
  <si>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</si>
  <si>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</si>
  <si>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</si>
  <si>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</si>
  <si>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</si>
  <si>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</si>
  <si>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</si>
  <si>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</si>
  <si>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</si>
  <si>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</si>
  <si>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</si>
  <si>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</si>
  <si>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</si>
  <si>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</si>
  <si>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</si>
  <si>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</si>
  <si>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</si>
  <si>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</si>
  <si>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</si>
  <si>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</si>
  <si>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</si>
  <si>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</si>
  <si>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</si>
  <si>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</si>
  <si>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</si>
  <si>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</si>
  <si>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</si>
  <si>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</si>
  <si>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</si>
  <si>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</si>
  <si>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</si>
  <si>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</si>
  <si>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</si>
  <si>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</si>
  <si>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</si>
  <si>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</si>
  <si>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</si>
  <si>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</si>
  <si>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</si>
  <si>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</si>
  <si>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</si>
  <si>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</si>
  <si>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</si>
  <si>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</si>
  <si>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</si>
  <si>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</si>
  <si>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</si>
  <si>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</si>
  <si>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</si>
  <si>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</si>
  <si>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</si>
  <si>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</si>
  <si>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</si>
  <si>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</si>
  <si>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</si>
  <si>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</si>
  <si>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</si>
  <si>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</si>
  <si>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</si>
  <si>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</si>
  <si>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</si>
  <si>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</si>
  <si>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</si>
  <si>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</si>
  <si>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</si>
  <si>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</si>
  <si>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</si>
  <si>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</si>
  <si>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</si>
  <si>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</si>
  <si>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</si>
  <si>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</si>
  <si>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</si>
  <si>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</si>
  <si>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</si>
  <si>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</si>
  <si>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</si>
  <si>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</si>
  <si>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</si>
  <si>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</si>
  <si>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</si>
  <si>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</si>
  <si>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</si>
  <si>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</si>
  <si>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</si>
  <si>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</si>
  <si>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</si>
  <si>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</si>
  <si>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</si>
  <si>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</si>
  <si>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</si>
  <si>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</si>
  <si>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</si>
  <si>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</si>
  <si>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</si>
  <si>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</si>
  <si>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</si>
  <si>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</si>
  <si>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</si>
  <si>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</si>
  <si>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</si>
  <si>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</si>
  <si>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</si>
  <si>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</si>
  <si>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</si>
  <si>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</si>
  <si>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</si>
  <si>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</si>
  <si>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</si>
  <si>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</si>
  <si>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</si>
  <si>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</si>
  <si>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</si>
  <si>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</si>
  <si>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</si>
  <si>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</si>
  <si>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</si>
  <si>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</si>
  <si>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</si>
  <si>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</si>
  <si>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</si>
  <si>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</si>
  <si>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</si>
  <si>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</si>
  <si>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</si>
  <si>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</si>
  <si>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</si>
  <si>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</si>
  <si>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</si>
  <si>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</si>
  <si>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</si>
  <si>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</si>
  <si>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</si>
  <si>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</si>
  <si>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</si>
  <si>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Oil FCF</t>
  </si>
  <si>
    <t>Incremental value</t>
  </si>
  <si>
    <t>Total</t>
  </si>
  <si>
    <t>Oil (kbopd)</t>
  </si>
  <si>
    <t>Domgas (MMscf/d)</t>
  </si>
  <si>
    <t>Export Gas FCF</t>
  </si>
  <si>
    <t>Projected FCF for 2022 (1/3 of 2023)</t>
  </si>
  <si>
    <t>Projected FCF for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</si>
</sst>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2" fontId="1" fillId="4" borderId="19" xfId="0" applyNumberFormat="1" applyFont="1" applyFill="1" applyBorder="1"/>
    <xf numFmtId="0" fontId="7" fillId="4" borderId="10" xfId="0" applyFont="1" applyFill="1" applyBorder="1" applyAlignment="1">
      <alignment wrapText="1"/>
    </xf>
    <xf numFmtId="0" fontId="7" fillId="4" borderId="13" xfId="0" applyFont="1" applyFill="1" applyBorder="1" applyAlignment="1">
      <alignment wrapText="1"/>
    </xf>
    <xf numFmtId="0" fontId="0" fillId="4" borderId="1" xfId="0" applyFill="1" applyBorder="1"/>
    <xf numFmtId="0" fontId="2" fillId="4" borderId="1" xfId="0" applyFont="1" applyFill="1" applyBorder="1" applyAlignment="1"/>
    <xf numFmtId="164" fontId="1" fillId="4" borderId="1" xfId="1" applyFont="1" applyFill="1" applyBorder="1"/>
    <xf numFmtId="164" fontId="1" fillId="4" borderId="1" xfId="0" quotePrefix="1" applyNumberFormat="1" applyFont="1" applyFill="1" applyBorder="1" applyAlignment="1">
      <alignment horizontal="center"/>
    </xf>
    <xf numFmtId="164" fontId="0" fillId="4" borderId="0" xfId="0" applyNumberFormat="1" applyFill="1" applyBorder="1"/>
    <xf numFmtId="164" fontId="0" fillId="4" borderId="1" xfId="0" applyNumberForma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43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B25" zoomScaleNormal="100" workbookViewId="0">
      <selection activeCell="D42" sqref="D42"/>
    </sheetView>
  </sheetViews>
  <sheetFormatPr defaultRowHeight="14.5" x14ac:dyDescent="0.35"/>
  <cols>
    <col min="1" max="1" width="8.7265625" style="88"/>
    <col min="2" max="2" width="14.453125" style="88" customWidth="1"/>
    <col min="3" max="3" width="68.54296875" style="88" customWidth="1"/>
    <col min="4" max="4" width="30.453125" style="88" customWidth="1"/>
    <col min="5" max="5" width="13" style="88" customWidth="1"/>
    <col min="6" max="6" width="15.1796875" style="88" customWidth="1"/>
    <col min="7" max="7" width="15" style="88" customWidth="1"/>
    <col min="8" max="8" width="9.54296875" style="88" customWidth="1"/>
    <col min="9" max="9" width="4.5429687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54296875" customWidth="1"/>
    <col min="19" max="19" width="11.81640625" customWidth="1"/>
  </cols>
  <sheetData>
    <row r="1" spans="2:22" ht="21.65" customHeight="1" thickBot="1" x14ac:dyDescent="0.4"/>
    <row r="2" spans="2:22" ht="30.65" customHeight="1" thickBot="1" x14ac:dyDescent="0.4">
      <c r="C2" s="155" t="s">
        <v>121</v>
      </c>
      <c r="D2" s="156"/>
      <c r="E2" s="156"/>
      <c r="F2" s="157"/>
      <c r="G2" s="90"/>
      <c r="H2" s="90"/>
      <c r="I2" s="90"/>
      <c r="J2" s="90"/>
    </row>
    <row r="3" spans="2:22" ht="15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99" t="s">
        <v>133</v>
      </c>
      <c r="D15" s="112">
        <v>1</v>
      </c>
      <c r="E15" s="139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thickBot="1" x14ac:dyDescent="0.4">
      <c r="B16" s="89"/>
      <c r="C16" s="99" t="s">
        <v>134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132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52"/>
      <c r="E20" s="153"/>
      <c r="F20" s="154"/>
    </row>
    <row r="21" spans="2:20" ht="15" thickBot="1" x14ac:dyDescent="0.4">
      <c r="C21" s="85" t="s">
        <v>114</v>
      </c>
      <c r="D21" s="134" t="s">
        <v>111</v>
      </c>
      <c r="E21" s="129">
        <f>IF(D21=$K$4,(VLOOKUP(D23,$C$5:$F$16,2,FALSE)),(VLOOKUP(D23,$C$5:$F$16,4,FALSE)))</f>
        <v>0.87</v>
      </c>
      <c r="F21" s="132">
        <v>0</v>
      </c>
    </row>
    <row r="22" spans="2:20" x14ac:dyDescent="0.35">
      <c r="C22" s="86" t="s">
        <v>115</v>
      </c>
      <c r="D22" s="130" t="s">
        <v>112</v>
      </c>
      <c r="E22" s="131"/>
      <c r="F22" s="133">
        <v>0</v>
      </c>
      <c r="H22" s="148" t="s">
        <v>57</v>
      </c>
      <c r="I22" s="149"/>
      <c r="J22" s="122" t="s">
        <v>68</v>
      </c>
    </row>
    <row r="23" spans="2:20" ht="15" thickBot="1" x14ac:dyDescent="0.4">
      <c r="C23" s="85" t="s">
        <v>113</v>
      </c>
      <c r="D23" s="135" t="s">
        <v>99</v>
      </c>
      <c r="E23" s="118">
        <f>VLOOKUP(D23,$C$4:$F$16,3,FALSE)</f>
        <v>0.3</v>
      </c>
      <c r="F23" s="138">
        <f>(F21-F22)*E23*E21</f>
        <v>0</v>
      </c>
      <c r="H23" s="150"/>
      <c r="I23" s="151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4" t="s">
        <v>86</v>
      </c>
      <c r="E27" s="100">
        <f>IF(D27=$K$7,(VLOOKUP(D30,$O$4:$S$16,3,FALSE)),IF(D27=$K$8,(VLOOKUP(D30,$O$4:S$16,4,FALSE)),(VLOOKUP(D30,$O$4:S$16,5,FALSE))))</f>
        <v>0.31</v>
      </c>
      <c r="F27" s="133">
        <v>318</v>
      </c>
    </row>
    <row r="28" spans="2:20" x14ac:dyDescent="0.35">
      <c r="C28" s="85" t="s">
        <v>127</v>
      </c>
      <c r="D28" s="136" t="s">
        <v>123</v>
      </c>
      <c r="E28" s="117">
        <f>(VLOOKUP(D30,$C$5:$F$16,3,FALSE))</f>
        <v>0.3</v>
      </c>
      <c r="F28" s="133">
        <v>1</v>
      </c>
    </row>
    <row r="29" spans="2:20" x14ac:dyDescent="0.35">
      <c r="C29" s="85" t="s">
        <v>128</v>
      </c>
      <c r="D29" s="130" t="s">
        <v>112</v>
      </c>
      <c r="E29" s="117">
        <f>(VLOOKUP(D30,$C$5:$F$16,4,FALSE))</f>
        <v>0.87</v>
      </c>
      <c r="F29" s="133">
        <v>0</v>
      </c>
    </row>
    <row r="30" spans="2:20" ht="27" thickBot="1" x14ac:dyDescent="0.4">
      <c r="C30" s="86" t="s">
        <v>130</v>
      </c>
      <c r="D30" s="135" t="s">
        <v>99</v>
      </c>
      <c r="E30" s="118">
        <f>VLOOKUP(D30,$O$4:$S$16,2,FALSE)</f>
        <v>0.3</v>
      </c>
      <c r="F30" s="137">
        <f>(((F28/366)*F27*E30*E27)*1000)-(F29*E29*E28)</f>
        <v>80.803278688524571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</row>
    <row r="33" spans="3:12" ht="7.5" customHeight="1" x14ac:dyDescent="0.35">
      <c r="D33" s="89"/>
      <c r="E33" s="89"/>
      <c r="F33" s="89"/>
      <c r="G33" s="105"/>
      <c r="H33" s="90"/>
    </row>
    <row r="34" spans="3:12" x14ac:dyDescent="0.35">
      <c r="D34" s="119"/>
      <c r="E34" s="89"/>
      <c r="F34" s="89"/>
      <c r="G34" s="105"/>
      <c r="H34" s="90"/>
    </row>
    <row r="35" spans="3:12" ht="15" thickBot="1" x14ac:dyDescent="0.4">
      <c r="C35" s="90"/>
      <c r="D35" s="107"/>
      <c r="E35" s="89"/>
      <c r="F35" s="89"/>
      <c r="G35" s="110"/>
      <c r="H35" s="90"/>
    </row>
    <row r="36" spans="3:12" ht="26.5" x14ac:dyDescent="0.35">
      <c r="C36" s="140" t="s">
        <v>117</v>
      </c>
    </row>
    <row r="37" spans="3:12" ht="15" thickBot="1" x14ac:dyDescent="0.4">
      <c r="C37" s="141" t="s">
        <v>116</v>
      </c>
    </row>
    <row r="38" spans="3:12" x14ac:dyDescent="0.35">
      <c r="C38" s="90"/>
      <c r="D38" s="89"/>
      <c r="E38" s="89"/>
      <c r="F38" s="89"/>
      <c r="G38" s="105"/>
      <c r="J38" s="90" t="s">
        <v>136</v>
      </c>
    </row>
    <row r="39" spans="3:12" ht="17.25" customHeight="1" x14ac:dyDescent="0.35">
      <c r="C39" s="90"/>
      <c r="D39" s="142"/>
      <c r="E39" s="142" t="s">
        <v>135</v>
      </c>
      <c r="F39" s="142" t="s">
        <v>140</v>
      </c>
      <c r="G39" s="142" t="s">
        <v>137</v>
      </c>
      <c r="J39" s="142" t="s">
        <v>138</v>
      </c>
      <c r="K39" s="142">
        <v>6.5</v>
      </c>
      <c r="L39" s="142">
        <f>K39/4</f>
        <v>1.625</v>
      </c>
    </row>
    <row r="40" spans="3:12" ht="17.25" customHeight="1" x14ac:dyDescent="0.35">
      <c r="C40" s="90"/>
      <c r="D40" s="143" t="s">
        <v>108</v>
      </c>
      <c r="E40" s="144">
        <v>905.57</v>
      </c>
      <c r="F40" s="144">
        <v>80.8</v>
      </c>
      <c r="G40" s="145">
        <f>SUM(E40:F40)</f>
        <v>986.37</v>
      </c>
      <c r="J40" s="142" t="s">
        <v>139</v>
      </c>
      <c r="K40" s="142">
        <v>12</v>
      </c>
      <c r="L40" s="142">
        <f>K40/4</f>
        <v>3</v>
      </c>
    </row>
    <row r="41" spans="3:12" x14ac:dyDescent="0.35">
      <c r="C41" s="90"/>
      <c r="D41" s="90"/>
      <c r="E41" s="90"/>
      <c r="F41" s="90"/>
      <c r="G41" s="147"/>
      <c r="H41" s="90"/>
    </row>
    <row r="42" spans="3:12" x14ac:dyDescent="0.35">
      <c r="C42" s="90"/>
      <c r="D42" s="90"/>
      <c r="E42" s="146"/>
      <c r="F42" s="146"/>
      <c r="H42" s="90"/>
    </row>
    <row r="43" spans="3:12" x14ac:dyDescent="0.35">
      <c r="C43" s="90"/>
      <c r="D43" s="90" t="s">
        <v>142</v>
      </c>
      <c r="E43" s="90"/>
      <c r="F43" s="146"/>
      <c r="G43" s="146">
        <f>G40+E41</f>
        <v>986.37</v>
      </c>
      <c r="H43" s="90"/>
    </row>
    <row r="44" spans="3:12" x14ac:dyDescent="0.35">
      <c r="C44" s="90"/>
      <c r="D44" s="88" t="s">
        <v>141</v>
      </c>
      <c r="G44" s="158">
        <f>G43/3</f>
        <v>328.79</v>
      </c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0" width="5.26953125" style="1" customWidth="1"/>
    <col min="11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.149999999999999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453125" customWidth="1"/>
    <col min="3" max="3" width="31.54296875" customWidth="1"/>
    <col min="4" max="4" width="24.5429687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Etire, Azibanato SPDC-UPC/G/USM</cp:lastModifiedBy>
  <dcterms:created xsi:type="dcterms:W3CDTF">2019-03-08T09:08:42Z</dcterms:created>
  <dcterms:modified xsi:type="dcterms:W3CDTF">2021-12-06T12:16:57Z</dcterms:modified>
</cp:coreProperties>
</file>