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120" windowWidth="24240" windowHeight="13620" tabRatio="704" activeTab="1"/>
  </bookViews>
  <sheets>
    <sheet name="ИТОГО" sheetId="20" r:id="rId1"/>
    <sheet name="Rapidsoft" sheetId="21" r:id="rId2"/>
    <sheet name="WaveAccess" sheetId="19" r:id="rId3"/>
    <sheet name="Ограничения" sheetId="18" r:id="rId4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21" l="1"/>
  <c r="J8" i="21"/>
  <c r="L8" i="21"/>
  <c r="I22" i="21"/>
  <c r="J22" i="21" s="1"/>
  <c r="L13" i="21"/>
  <c r="I13" i="21"/>
  <c r="J13" i="21" s="1"/>
  <c r="I5" i="21"/>
  <c r="J5" i="21" s="1"/>
  <c r="I6" i="21"/>
  <c r="J6" i="21" s="1"/>
  <c r="I7" i="21"/>
  <c r="J7" i="21"/>
  <c r="I21" i="21"/>
  <c r="J21" i="21" s="1"/>
  <c r="B2" i="20"/>
  <c r="I15" i="21"/>
  <c r="J15" i="21" s="1"/>
  <c r="I16" i="21"/>
  <c r="J16" i="21" s="1"/>
  <c r="I17" i="21"/>
  <c r="J17" i="21" s="1"/>
  <c r="I18" i="21"/>
  <c r="I19" i="21"/>
  <c r="J19" i="21" s="1"/>
  <c r="L22" i="21"/>
  <c r="L21" i="21"/>
  <c r="L15" i="21"/>
  <c r="L16" i="21"/>
  <c r="L17" i="21"/>
  <c r="L18" i="21"/>
  <c r="L19" i="21"/>
  <c r="L14" i="21"/>
  <c r="L4" i="21"/>
  <c r="L5" i="21"/>
  <c r="L6" i="21"/>
  <c r="L7" i="21"/>
  <c r="I14" i="21"/>
  <c r="H26" i="21"/>
  <c r="H29" i="21" s="1"/>
  <c r="G26" i="21"/>
  <c r="G29" i="21" s="1"/>
  <c r="F26" i="21"/>
  <c r="F29" i="21" s="1"/>
  <c r="L11" i="21"/>
  <c r="I11" i="21"/>
  <c r="J11" i="21" s="1"/>
  <c r="L10" i="21"/>
  <c r="I10" i="21"/>
  <c r="I4" i="21"/>
  <c r="L3" i="21"/>
  <c r="I3" i="21"/>
  <c r="J18" i="21" l="1"/>
  <c r="L23" i="21"/>
  <c r="J14" i="21"/>
  <c r="L26" i="21"/>
  <c r="L27" i="21" s="1"/>
  <c r="F27" i="21"/>
  <c r="F30" i="21"/>
  <c r="J4" i="21"/>
  <c r="I23" i="21"/>
  <c r="J3" i="21"/>
  <c r="J10" i="21"/>
  <c r="F31" i="21" l="1"/>
  <c r="K8" i="21" s="1"/>
  <c r="J23" i="21"/>
  <c r="G22" i="19"/>
  <c r="F22" i="19"/>
  <c r="E22" i="19"/>
  <c r="H21" i="19"/>
  <c r="G20" i="19"/>
  <c r="H20" i="19" s="1"/>
  <c r="F20" i="19"/>
  <c r="E20" i="19"/>
  <c r="G19" i="19"/>
  <c r="G23" i="19" s="1"/>
  <c r="F19" i="19"/>
  <c r="E19" i="19"/>
  <c r="H19" i="19" s="1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K13" i="21" l="1"/>
  <c r="K22" i="21"/>
  <c r="K6" i="21"/>
  <c r="K7" i="21"/>
  <c r="K5" i="21"/>
  <c r="K21" i="21"/>
  <c r="B3" i="20"/>
  <c r="B4" i="20" s="1"/>
  <c r="K17" i="21"/>
  <c r="K15" i="21"/>
  <c r="K16" i="21"/>
  <c r="K18" i="21"/>
  <c r="K19" i="21"/>
  <c r="K14" i="21"/>
  <c r="K3" i="21"/>
  <c r="K23" i="21"/>
  <c r="K4" i="21"/>
  <c r="K11" i="21"/>
  <c r="K10" i="21"/>
  <c r="L28" i="21"/>
  <c r="H22" i="19"/>
  <c r="E23" i="19"/>
  <c r="G25" i="19"/>
  <c r="F23" i="19"/>
  <c r="F25" i="19" s="1"/>
  <c r="B20" i="21" l="1"/>
  <c r="B12" i="21"/>
  <c r="B2" i="21"/>
  <c r="B9" i="21"/>
  <c r="H23" i="19"/>
  <c r="E25" i="19"/>
  <c r="E26" i="19" s="1"/>
  <c r="E29" i="19" s="1"/>
  <c r="E30" i="19" s="1"/>
</calcChain>
</file>

<file path=xl/comments1.xml><?xml version="1.0" encoding="utf-8"?>
<comments xmlns="http://schemas.openxmlformats.org/spreadsheetml/2006/main">
  <authors>
    <author>Автор</author>
  </authors>
  <commentList>
    <comment ref="E28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<sst xmlns="http://schemas.openxmlformats.org/spreadsheetml/2006/main" count="149" uniqueCount="124">
  <si>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</si>
  <si>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</si>
  <si>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</si>
  <si>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</si>
  <si>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</si>
  <si>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</si>
  <si>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</si>
  <si>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</si>
  <si>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</si>
  <si>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</si>
  <si>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</si>
  <si>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</si>
  <si>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</si>
  <si>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</si>
  <si>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</si>
  <si>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Тестирование</t>
  </si>
  <si>
    <t>Фича</t>
  </si>
  <si>
    <t>Компонент</t>
  </si>
  <si>
    <t>Итого,ч.</t>
  </si>
  <si>
    <t>Статус
вып-я</t>
  </si>
  <si>
    <t>Задача</t>
  </si>
  <si>
    <t>Инфраструктурные работы</t>
  </si>
  <si>
    <t>Структура проекта и репозиторий</t>
  </si>
  <si>
    <t>Разработка</t>
  </si>
  <si>
    <t>Развёртывание окружения</t>
  </si>
  <si>
    <t>КИНОХОД-10</t>
  </si>
  <si>
    <t>ОБЩИЕ РАБОТЫ</t>
  </si>
  <si>
    <t>Аналитическая поддержка команды</t>
  </si>
  <si>
    <t>Аналитика</t>
  </si>
  <si>
    <t>Анализ функционала мобильного приложение concert.ru и сайта, написание и согласование первичных требований</t>
  </si>
  <si>
    <t>Менеджмент</t>
  </si>
  <si>
    <t>—</t>
  </si>
  <si>
    <t>Увеличение кадров из фильма  будет выполняться в новом окне (т.к. в рамках виджета увеличение делать нерационально)</t>
  </si>
  <si>
    <t>Трейлер(ы) фильма будут открываться/воспроизводиться в новом окне. Если стандартный проигрыватель не будет поддерживаться браузером, вместо трейлера будет отображаться ссылка. Страница не будет иметь кастомизированного дизайна - вид будет стандартный для браузера.</t>
  </si>
  <si>
    <t>Технические ограничения (помимо указанных ранее в спецификации)</t>
  </si>
  <si>
    <t>В рамках разработки виджета не оценивалась разработка статических страниц (кроме страницы ошибок). Например, страницы:
• Оферта
• Инструкции по получению билета
• Инструкции по оформлению заказа
Предполагается, что например страница оферты будет верстаться либо Банком в АРМ, либо Рапидсофтом в рамках сервисных работ.</t>
  </si>
  <si>
    <t>Этапы</t>
  </si>
  <si>
    <t>Требование или суммарная задача</t>
  </si>
  <si>
    <t>Описание работ</t>
  </si>
  <si>
    <t>Тип работы</t>
  </si>
  <si>
    <t>Оптимистическая</t>
  </si>
  <si>
    <t>Архитектура</t>
  </si>
  <si>
    <t>2</t>
  </si>
  <si>
    <t>Создание дизайна и граффических элементов</t>
  </si>
  <si>
    <t>Создание макетов экранов, логотипов и иконок</t>
  </si>
  <si>
    <t>3</t>
  </si>
  <si>
    <t>Инициализация виджета</t>
  </si>
  <si>
    <t>Создания шаблона виджета; интеграция с Системой</t>
  </si>
  <si>
    <t>Включая логирование с помоью log4net</t>
  </si>
  <si>
    <t>4.1</t>
  </si>
  <si>
    <t>Сценарий выбора сеанса на заданный фильм</t>
  </si>
  <si>
    <t>Отображение списка фильмов в соответствии с критериями (город, дата, название фильма)</t>
  </si>
  <si>
    <t>Интеграция с Киноход входит в задачи по созданию экранов</t>
  </si>
  <si>
    <t>4.2</t>
  </si>
  <si>
    <t>Отображение подробной информации о выбранном фильме,  списка кинотеатров и доступных сеансов</t>
  </si>
  <si>
    <t>5.1</t>
  </si>
  <si>
    <t>Сценарий выбора сеанса в заданном кинотеатре</t>
  </si>
  <si>
    <t>Отображение списка кинотеатров в соответствии с критериями (город, дата, название кинотеатра)</t>
  </si>
  <si>
    <t>5.2</t>
  </si>
  <si>
    <t>Отображение подробной информации о выбранном кинотеатре, списке фильмов и доступных сеансов</t>
  </si>
  <si>
    <t>5.3</t>
  </si>
  <si>
    <t>Отображение списка сеансов на выбранный фильм в выбранном кинотеатре</t>
  </si>
  <si>
    <t>6.1</t>
  </si>
  <si>
    <t>Сценарий выбора мест и оплата билетов бонусами</t>
  </si>
  <si>
    <t>Отображение зала для выбора места</t>
  </si>
  <si>
    <t>Счетчик времени включен в оценку</t>
  </si>
  <si>
    <t>6.2</t>
  </si>
  <si>
    <t>Шаг подтверждения заказа</t>
  </si>
  <si>
    <t>6.3</t>
  </si>
  <si>
    <t>Обработка заказа; взаимодействие с Системой и Api Кинохода для проведения заказа</t>
  </si>
  <si>
    <t>6.4</t>
  </si>
  <si>
    <t>Отображение страницы  "Спасибо" с деталями заказа</t>
  </si>
  <si>
    <t>7</t>
  </si>
  <si>
    <t>3 страницы со статическим содержанием</t>
  </si>
  <si>
    <t>Верстка страниц в стиле http://kinohod.ru/oferta/pay/</t>
  </si>
  <si>
    <t>8</t>
  </si>
  <si>
    <t>Галерея фильма</t>
  </si>
  <si>
    <t>Для фильма есть возможность открыть Галлерею скриншотов из фильма или открыть трейлер</t>
  </si>
  <si>
    <t>9</t>
  </si>
  <si>
    <t>Маппинг городов Кинохода и Системы</t>
  </si>
  <si>
    <t>Создания списка соответствия городов Кинохода и городов Системы (один к одному)</t>
  </si>
  <si>
    <t>10</t>
  </si>
  <si>
    <t>Поддержка cookie Кинохода</t>
  </si>
  <si>
    <t>Запросы к Киноходу будут проксироваться, и.к. Widget отображается во фрейме</t>
  </si>
  <si>
    <t>11</t>
  </si>
  <si>
    <t>Страницы Ошибок</t>
  </si>
  <si>
    <t>Страница или диалог для отображения информации о произошедшей ошибке</t>
  </si>
  <si>
    <t>12</t>
  </si>
  <si>
    <t>13</t>
  </si>
  <si>
    <t>Юниттесты</t>
  </si>
  <si>
    <t>14</t>
  </si>
  <si>
    <t>Тесткейсы</t>
  </si>
  <si>
    <t>15</t>
  </si>
  <si>
    <t>16</t>
  </si>
  <si>
    <t>Техническое управление</t>
  </si>
  <si>
    <t>Управление</t>
  </si>
  <si>
    <t>Риски Процесса (резервы):</t>
  </si>
  <si>
    <t>СУММА</t>
  </si>
  <si>
    <t>Уже потрачено в рамках https://jira.rapidsoft.ru/browse/PRESALE-336 (там потрачено в сумме 31,5, но это с оценкой и встречами).</t>
  </si>
  <si>
    <t>Разработка ТЗ для постановки задачи внешним разработчикам</t>
  </si>
  <si>
    <t>Элементы оценки</t>
  </si>
  <si>
    <t>Оценка Rapidsoft на общие задачи</t>
  </si>
  <si>
    <t>Оценка внешних разработчиков WaveAccess на dev-часть</t>
  </si>
  <si>
    <t>ИТОГО:</t>
  </si>
  <si>
    <t>Трудоемкость, ч.</t>
  </si>
  <si>
    <t>Обновление спецификации по завершении работ</t>
  </si>
  <si>
    <t>Управление проектом
- инициация проекта (заведение задач в jira, создание проекта в реестре, отчетность),
- контроль трудозатрат,
- контроль исполнения требований (scope),
- планирование ресурсов,
- отчеты для взаиморасчетов с внешними разработчиками,</t>
  </si>
  <si>
    <t>КИНОХОД-20</t>
  </si>
  <si>
    <t>КИНОХОД-30</t>
  </si>
  <si>
    <t>КИНОХОД-40</t>
  </si>
  <si>
    <t>Тестирование и приемка виджета</t>
  </si>
  <si>
    <t>Внедрение виджета на тестовый сайт "Коллекция" (настройки)</t>
  </si>
  <si>
    <t>Клидрификация географии Киноход, актуализация контента перед релизом</t>
  </si>
  <si>
    <t>Тестирование функционала разработанного виджета (приемо-сдача у внешних разработчиков):
- проверка кроссбраузерности (по согласованным браузерам),
- проверка функциональности (согласно спецификации),
- проверка корректности взаимодействия Киноход,
- проверка корректности взаимодействия с системой "Коллекция".</t>
  </si>
  <si>
    <t>Внедрение виджета на боевой сайт "Коллекция" (настройки)</t>
  </si>
  <si>
    <t>Тестовое окружение, дев – локальный</t>
  </si>
  <si>
    <t>Деплой на тестовый и боевой контуры
- настроить сайт,
- настроить сертификаты,
- настроить логирование,
- настроить автоматический деплой.</t>
  </si>
  <si>
    <t>Приемо-сдача с ВТБ24 (приемка на тестовом окружении, исправлени небольших замечаний заказчика по контенту)</t>
  </si>
  <si>
    <t>Приемка дизайна у внешних разработчиков, согласование дизайна с Заказчиком</t>
  </si>
  <si>
    <t>Оформление спецификации к договору (на основании ТЗ), согласование с заказчиком</t>
  </si>
  <si>
    <t>Техническое руководство (тех. описание реализации, ежедневные митинги, ревью кода, консультации по тех. реализации, коммуникации с командой внешних разработчиков)</t>
  </si>
  <si>
    <t>Ознакомление с задачей нового аналитика</t>
  </si>
  <si>
    <t>Коммуникации с Киноходом, Заказчиком по вопросам согласования API и реализации (в т.ч. согласование API с партнером Киноход, получение/проверка тестового стенда и пр.)</t>
  </si>
  <si>
    <t>Ориентировочное время на ознакомление с задачей аналитика, если выполнять будет не Чжан 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</si>
</sst>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00B05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0070C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7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1">
    <xf numFmtId="0" fontId="0" fillId="0" borderId="0" xfId="0"/>
    <xf numFmtId="0" fontId="9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top" wrapText="1"/>
    </xf>
    <xf numFmtId="1" fontId="10" fillId="3" borderId="5" xfId="0" applyNumberFormat="1" applyFont="1" applyFill="1" applyBorder="1" applyAlignment="1">
      <alignment horizontal="center" vertical="top" wrapText="1"/>
    </xf>
    <xf numFmtId="0" fontId="13" fillId="0" borderId="0" xfId="0" applyFont="1" applyAlignment="1">
      <alignment vertical="top" wrapText="1"/>
    </xf>
    <xf numFmtId="1" fontId="8" fillId="0" borderId="1" xfId="0" applyNumberFormat="1" applyFont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wrapText="1"/>
    </xf>
    <xf numFmtId="0" fontId="13" fillId="0" borderId="0" xfId="0" applyFont="1" applyFill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1" fontId="8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1" fontId="8" fillId="0" borderId="0" xfId="0" applyNumberFormat="1" applyFont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center" wrapText="1"/>
    </xf>
    <xf numFmtId="2" fontId="8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1" fontId="10" fillId="2" borderId="5" xfId="0" applyNumberFormat="1" applyFont="1" applyFill="1" applyBorder="1" applyAlignment="1">
      <alignment horizontal="center" vertical="center" wrapText="1"/>
    </xf>
    <xf numFmtId="1" fontId="11" fillId="0" borderId="4" xfId="0" applyNumberFormat="1" applyFont="1" applyBorder="1" applyAlignment="1">
      <alignment vertical="top" wrapText="1"/>
    </xf>
    <xf numFmtId="1" fontId="10" fillId="0" borderId="0" xfId="0" applyNumberFormat="1" applyFont="1" applyAlignment="1">
      <alignment horizontal="center" vertical="top" wrapText="1"/>
    </xf>
    <xf numFmtId="1" fontId="13" fillId="0" borderId="0" xfId="0" applyNumberFormat="1" applyFont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1" fontId="11" fillId="0" borderId="6" xfId="0" applyNumberFormat="1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" fillId="0" borderId="0" xfId="0" applyFont="1"/>
    <xf numFmtId="0" fontId="18" fillId="2" borderId="1" xfId="0" applyFont="1" applyFill="1" applyBorder="1" applyAlignment="1">
      <alignment horizontal="center"/>
    </xf>
    <xf numFmtId="0" fontId="2" fillId="0" borderId="1" xfId="0" applyFont="1" applyBorder="1"/>
    <xf numFmtId="0" fontId="16" fillId="4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18" fillId="0" borderId="1" xfId="0" applyNumberFormat="1" applyFont="1" applyBorder="1" applyAlignment="1">
      <alignment horizontal="center" vertical="center" wrapText="1"/>
    </xf>
    <xf numFmtId="49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1" xfId="0" applyFont="1" applyBorder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49" fontId="21" fillId="0" borderId="0" xfId="0" applyNumberFormat="1" applyFont="1" applyAlignment="1">
      <alignment wrapText="1"/>
    </xf>
    <xf numFmtId="49" fontId="18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right" wrapText="1"/>
    </xf>
    <xf numFmtId="0" fontId="1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right" wrapText="1"/>
    </xf>
    <xf numFmtId="49" fontId="25" fillId="0" borderId="0" xfId="0" applyNumberFormat="1" applyFont="1" applyBorder="1" applyAlignment="1">
      <alignment horizontal="right" wrapText="1"/>
    </xf>
    <xf numFmtId="0" fontId="20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wrapText="1"/>
    </xf>
    <xf numFmtId="0" fontId="1" fillId="5" borderId="0" xfId="0" applyFont="1" applyFill="1"/>
    <xf numFmtId="49" fontId="25" fillId="0" borderId="0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horizontal="center" vertical="center" wrapText="1"/>
    </xf>
    <xf numFmtId="0" fontId="18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1" fontId="18" fillId="0" borderId="0" xfId="0" applyNumberFormat="1" applyFont="1" applyAlignment="1">
      <alignment horizontal="left" wrapText="1"/>
    </xf>
    <xf numFmtId="0" fontId="18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18" fillId="0" borderId="0" xfId="0" applyNumberFormat="1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1" fontId="1" fillId="5" borderId="0" xfId="0" applyNumberFormat="1" applyFont="1" applyFill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1" fontId="2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1" fontId="22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49" fontId="1" fillId="0" borderId="7" xfId="0" applyNumberFormat="1" applyFont="1" applyBorder="1" applyAlignment="1">
      <alignment horizontal="center" vertical="top" wrapText="1"/>
    </xf>
    <xf numFmtId="1" fontId="22" fillId="0" borderId="3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11" fontId="1" fillId="0" borderId="8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1" fontId="10" fillId="3" borderId="4" xfId="0" applyNumberFormat="1" applyFont="1" applyFill="1" applyBorder="1" applyAlignment="1">
      <alignment horizontal="center" vertical="top" wrapText="1"/>
    </xf>
    <xf numFmtId="0" fontId="15" fillId="6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left" vertical="top" wrapText="1"/>
    </xf>
    <xf numFmtId="1" fontId="8" fillId="6" borderId="1" xfId="0" applyNumberFormat="1" applyFont="1" applyFill="1" applyBorder="1" applyAlignment="1">
      <alignment horizontal="center" vertical="top" wrapText="1"/>
    </xf>
    <xf numFmtId="1" fontId="10" fillId="6" borderId="1" xfId="0" applyNumberFormat="1" applyFont="1" applyFill="1" applyBorder="1" applyAlignment="1">
      <alignment horizontal="center" vertical="top" wrapText="1"/>
    </xf>
    <xf numFmtId="0" fontId="19" fillId="6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1" fontId="12" fillId="3" borderId="1" xfId="0" applyNumberFormat="1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1" fontId="20" fillId="0" borderId="1" xfId="0" applyNumberFormat="1" applyFont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</cellXfs>
  <cellStyles count="278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1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  <cellStyle name="Открывавшаяся гиперссылка" xfId="235" builtinId="9" hidden="1"/>
    <cellStyle name="Открывавшаяся гиперссылка" xfId="236" builtinId="9" hidden="1"/>
    <cellStyle name="Открывавшаяся гиперссылка" xfId="237" builtinId="9" hidden="1"/>
    <cellStyle name="Открывавшаяся гиперссылка" xfId="238" builtinId="9" hidden="1"/>
    <cellStyle name="Открывавшаяся гиперссылка" xfId="239" builtinId="9" hidden="1"/>
    <cellStyle name="Открывавшаяся гиперссылка" xfId="240" builtinId="9" hidden="1"/>
    <cellStyle name="Открывавшаяся гиперссылка" xfId="241" builtinId="9" hidden="1"/>
    <cellStyle name="Открывавшаяся гиперссылка" xfId="242" builtinId="9" hidden="1"/>
    <cellStyle name="Открывавшаяся гиперссылка" xfId="243" builtinId="9" hidden="1"/>
    <cellStyle name="Открывавшаяся гиперссылка" xfId="244" builtinId="9" hidden="1"/>
    <cellStyle name="Открывавшаяся гиперссылка" xfId="245" builtinId="9" hidden="1"/>
    <cellStyle name="Открывавшаяся гиперссылка" xfId="246" builtinId="9" hidden="1"/>
    <cellStyle name="Открывавшаяся гиперссылка" xfId="247" builtinId="9" hidden="1"/>
    <cellStyle name="Открывавшаяся гиперссылка" xfId="248" builtinId="9" hidden="1"/>
    <cellStyle name="Открывавшаяся гиперссылка" xfId="249" builtinId="9" hidden="1"/>
    <cellStyle name="Открывавшаяся гиперссылка" xfId="250" builtinId="9" hidden="1"/>
    <cellStyle name="Открывавшаяся гиперссылка" xfId="251" builtinId="9" hidden="1"/>
    <cellStyle name="Открывавшаяся гиперссылка" xfId="252" builtinId="9" hidden="1"/>
    <cellStyle name="Открывавшаяся гиперссылка" xfId="253" builtinId="9" hidden="1"/>
    <cellStyle name="Открывавшаяся гиперссылка" xfId="254" builtinId="9" hidden="1"/>
    <cellStyle name="Открывавшаяся гиперссылка" xfId="255" builtinId="9" hidden="1"/>
    <cellStyle name="Открывавшаяся гиперссылка" xfId="256" builtinId="9" hidden="1"/>
    <cellStyle name="Открывавшаяся гиперссылка" xfId="257" builtinId="9" hidden="1"/>
    <cellStyle name="Открывавшаяся гиперссылка" xfId="258" builtinId="9" hidden="1"/>
    <cellStyle name="Открывавшаяся гиперссылка" xfId="259" builtinId="9" hidden="1"/>
    <cellStyle name="Открывавшаяся гиперссылка" xfId="260" builtinId="9" hidden="1"/>
    <cellStyle name="Открывавшаяся гиперссылка" xfId="261" builtinId="9" hidden="1"/>
    <cellStyle name="Открывавшаяся гиперссылка" xfId="262" builtinId="9" hidden="1"/>
    <cellStyle name="Открывавшаяся гиперссылка" xfId="263" builtinId="9" hidden="1"/>
    <cellStyle name="Открывавшаяся гиперссылка" xfId="264" builtinId="9" hidden="1"/>
    <cellStyle name="Открывавшаяся гиперссылка" xfId="265" builtinId="9" hidden="1"/>
    <cellStyle name="Открывавшаяся гиперссылка" xfId="266" builtinId="9" hidden="1"/>
    <cellStyle name="Открывавшаяся гиперссылка" xfId="267" builtinId="9" hidden="1"/>
    <cellStyle name="Открывавшаяся гиперссылка" xfId="268" builtinId="9" hidden="1"/>
    <cellStyle name="Открывавшаяся гиперссылка" xfId="269" builtinId="9" hidden="1"/>
    <cellStyle name="Открывавшаяся гиперссылка" xfId="270" builtinId="9" hidden="1"/>
    <cellStyle name="Открывавшаяся гиперссылка" xfId="271" builtinId="9" hidden="1"/>
    <cellStyle name="Открывавшаяся гиперссылка" xfId="272" builtinId="9" hidden="1"/>
    <cellStyle name="Открывавшаяся гиперссылка" xfId="273" builtinId="9" hidden="1"/>
    <cellStyle name="Открывавшаяся гиперссылка" xfId="274" builtinId="9" hidden="1"/>
    <cellStyle name="Открывавшаяся гиперссылка" xfId="275" builtinId="9" hidden="1"/>
    <cellStyle name="Открывавшаяся гиперссылка" xfId="276" builtinId="9" hidden="1"/>
    <cellStyle name="Открывавшаяся гиперссылка" xfId="277" builtinId="9" hidden="1"/>
  </cellStyles>
  <dxfs count="0"/>
  <tableStyles count="0" defaultTableStyle="TableStyleMedium9" defaultPivotStyle="PivotStyleLight16"/>
  <colors>
    <mruColors>
      <color rgb="FFFF7C80"/>
      <color rgb="FFFFFF99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9" sqref="A29"/>
    </sheetView>
  </sheetViews>
  <sheetFormatPr defaultRowHeight="12.75" x14ac:dyDescent="0.2"/>
  <cols>
    <col min="1" max="1" width="52.42578125" style="49" bestFit="1" customWidth="1"/>
    <col min="2" max="2" width="17.28515625" style="49" customWidth="1"/>
    <col min="3" max="16384" width="9.140625" style="49"/>
  </cols>
  <sheetData>
    <row r="1" spans="1:2" x14ac:dyDescent="0.2">
      <c r="A1" s="50" t="s">
        <v>100</v>
      </c>
      <c r="B1" s="50" t="s">
        <v>104</v>
      </c>
    </row>
    <row r="2" spans="1:2" x14ac:dyDescent="0.2">
      <c r="A2" s="51" t="s">
        <v>102</v>
      </c>
      <c r="B2" s="128">
        <f>WaveAccess!E30</f>
        <v>521.26666666666665</v>
      </c>
    </row>
    <row r="3" spans="1:2" x14ac:dyDescent="0.2">
      <c r="A3" s="51" t="s">
        <v>101</v>
      </c>
      <c r="B3" s="128">
        <f>Rapidsoft!F31</f>
        <v>293.70823881999337</v>
      </c>
    </row>
    <row r="4" spans="1:2" x14ac:dyDescent="0.2">
      <c r="A4" s="130" t="s">
        <v>103</v>
      </c>
      <c r="B4" s="129">
        <f>SUM(B2:B3)</f>
        <v>814.97490548665996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E17" sqref="E17"/>
    </sheetView>
  </sheetViews>
  <sheetFormatPr defaultColWidth="11.42578125" defaultRowHeight="15" x14ac:dyDescent="0.25"/>
  <cols>
    <col min="1" max="1" width="8" hidden="1" customWidth="1"/>
    <col min="2" max="2" width="7.85546875" customWidth="1"/>
    <col min="3" max="3" width="12.85546875" style="45" bestFit="1" customWidth="1"/>
    <col min="4" max="4" width="12.42578125" bestFit="1" customWidth="1"/>
    <col min="5" max="5" width="67.5703125" bestFit="1" customWidth="1"/>
    <col min="6" max="6" width="7.28515625" customWidth="1"/>
    <col min="7" max="7" width="8" customWidth="1"/>
    <col min="8" max="8" width="7.7109375" customWidth="1"/>
    <col min="9" max="9" width="8" customWidth="1"/>
    <col min="10" max="10" width="7" customWidth="1"/>
    <col min="11" max="11" width="6.7109375" customWidth="1"/>
    <col min="12" max="12" width="7.140625" customWidth="1"/>
    <col min="13" max="13" width="46.7109375" customWidth="1"/>
  </cols>
  <sheetData>
    <row r="1" spans="1:13" s="7" customFormat="1" ht="72" x14ac:dyDescent="0.25">
      <c r="A1" s="2" t="s">
        <v>19</v>
      </c>
      <c r="B1" s="32" t="s">
        <v>18</v>
      </c>
      <c r="C1" s="3" t="s">
        <v>16</v>
      </c>
      <c r="D1" s="3" t="s">
        <v>17</v>
      </c>
      <c r="E1" s="4" t="s">
        <v>20</v>
      </c>
      <c r="F1" s="5" t="s">
        <v>1</v>
      </c>
      <c r="G1" s="5" t="s">
        <v>2</v>
      </c>
      <c r="H1" s="5" t="s">
        <v>0</v>
      </c>
      <c r="I1" s="5" t="s">
        <v>7</v>
      </c>
      <c r="J1" s="5" t="s">
        <v>8</v>
      </c>
      <c r="K1" s="6" t="s">
        <v>9</v>
      </c>
      <c r="L1" s="5" t="s">
        <v>10</v>
      </c>
      <c r="M1" s="29" t="s">
        <v>4</v>
      </c>
    </row>
    <row r="2" spans="1:13" s="125" customFormat="1" ht="12" x14ac:dyDescent="0.25">
      <c r="A2" s="8"/>
      <c r="B2" s="9">
        <f>SUM(K3:K7)</f>
        <v>68.818666836483814</v>
      </c>
      <c r="C2" s="40" t="s">
        <v>25</v>
      </c>
      <c r="D2" s="40"/>
      <c r="E2" s="122" t="s">
        <v>28</v>
      </c>
      <c r="F2" s="123"/>
      <c r="G2" s="123"/>
      <c r="H2" s="123"/>
      <c r="I2" s="123"/>
      <c r="J2" s="123"/>
      <c r="K2" s="123"/>
      <c r="L2" s="123"/>
      <c r="M2" s="124"/>
    </row>
    <row r="3" spans="1:13" s="10" customFormat="1" ht="33.75" x14ac:dyDescent="0.25">
      <c r="A3" s="33"/>
      <c r="B3" s="33"/>
      <c r="C3" s="41"/>
      <c r="D3" s="117" t="s">
        <v>28</v>
      </c>
      <c r="E3" s="118" t="s">
        <v>29</v>
      </c>
      <c r="F3" s="119">
        <v>10</v>
      </c>
      <c r="G3" s="119">
        <v>12</v>
      </c>
      <c r="H3" s="119">
        <v>16</v>
      </c>
      <c r="I3" s="119">
        <f t="shared" ref="I3:I4" si="0">(F3+4*G3+H3)/6</f>
        <v>12.333333333333334</v>
      </c>
      <c r="J3" s="119">
        <f>I3/$F$28</f>
        <v>17.61904761904762</v>
      </c>
      <c r="K3" s="120">
        <f>I3*$F$31/$F$27</f>
        <v>18.18779052107072</v>
      </c>
      <c r="L3" s="119">
        <f>(H3-F3)/6</f>
        <v>1</v>
      </c>
      <c r="M3" s="121" t="s">
        <v>98</v>
      </c>
    </row>
    <row r="4" spans="1:13" s="10" customFormat="1" ht="12" x14ac:dyDescent="0.25">
      <c r="A4" s="33"/>
      <c r="B4" s="38"/>
      <c r="C4" s="41"/>
      <c r="D4" s="39" t="s">
        <v>28</v>
      </c>
      <c r="E4" s="36" t="s">
        <v>99</v>
      </c>
      <c r="F4" s="12">
        <v>14</v>
      </c>
      <c r="G4" s="12">
        <v>18</v>
      </c>
      <c r="H4" s="12">
        <v>24</v>
      </c>
      <c r="I4" s="11">
        <f t="shared" si="0"/>
        <v>18.333333333333332</v>
      </c>
      <c r="J4" s="11">
        <f>I4/$F$28</f>
        <v>26.19047619047619</v>
      </c>
      <c r="K4" s="13">
        <f>I4*$F$31/$F$27</f>
        <v>27.035904828618637</v>
      </c>
      <c r="L4" s="11">
        <f t="shared" ref="L4:L8" si="1">(H4-F4)/6</f>
        <v>1.6666666666666667</v>
      </c>
      <c r="M4" s="48"/>
    </row>
    <row r="5" spans="1:13" s="10" customFormat="1" ht="24" x14ac:dyDescent="0.25">
      <c r="A5" s="33"/>
      <c r="B5" s="38"/>
      <c r="C5" s="41"/>
      <c r="D5" s="39" t="s">
        <v>28</v>
      </c>
      <c r="E5" s="36" t="s">
        <v>119</v>
      </c>
      <c r="F5" s="12">
        <v>1</v>
      </c>
      <c r="G5" s="12">
        <v>2</v>
      </c>
      <c r="H5" s="12">
        <v>3</v>
      </c>
      <c r="I5" s="11">
        <f t="shared" ref="I5:I8" si="2">(F5+4*G5+H5)/6</f>
        <v>2</v>
      </c>
      <c r="J5" s="11">
        <f>I5/$F$28</f>
        <v>2.8571428571428572</v>
      </c>
      <c r="K5" s="13">
        <f>I5*$F$31/$F$27</f>
        <v>2.9493714358493057</v>
      </c>
      <c r="L5" s="11">
        <f t="shared" si="1"/>
        <v>0.33333333333333331</v>
      </c>
      <c r="M5" s="1"/>
    </row>
    <row r="6" spans="1:13" s="10" customFormat="1" ht="12" x14ac:dyDescent="0.25">
      <c r="A6" s="33"/>
      <c r="B6" s="38"/>
      <c r="C6" s="41"/>
      <c r="D6" s="39" t="s">
        <v>28</v>
      </c>
      <c r="E6" s="36" t="s">
        <v>105</v>
      </c>
      <c r="F6" s="12">
        <v>1</v>
      </c>
      <c r="G6" s="12">
        <v>2</v>
      </c>
      <c r="H6" s="12">
        <v>3</v>
      </c>
      <c r="I6" s="11">
        <f t="shared" si="2"/>
        <v>2</v>
      </c>
      <c r="J6" s="11">
        <f>I6/$F$28</f>
        <v>2.8571428571428572</v>
      </c>
      <c r="K6" s="13">
        <f>I6*$F$31/$F$27</f>
        <v>2.9493714358493057</v>
      </c>
      <c r="L6" s="11">
        <f t="shared" si="1"/>
        <v>0.33333333333333331</v>
      </c>
      <c r="M6" s="1"/>
    </row>
    <row r="7" spans="1:13" s="10" customFormat="1" ht="12" x14ac:dyDescent="0.25">
      <c r="A7" s="33"/>
      <c r="B7" s="38"/>
      <c r="C7" s="41"/>
      <c r="D7" s="39" t="s">
        <v>28</v>
      </c>
      <c r="E7" s="36" t="s">
        <v>27</v>
      </c>
      <c r="F7" s="12">
        <v>8</v>
      </c>
      <c r="G7" s="12">
        <v>12</v>
      </c>
      <c r="H7" s="12">
        <v>16</v>
      </c>
      <c r="I7" s="11">
        <f t="shared" si="2"/>
        <v>12</v>
      </c>
      <c r="J7" s="11">
        <f>I7/$F$28</f>
        <v>17.142857142857142</v>
      </c>
      <c r="K7" s="13">
        <f>I7*$F$31/$F$27</f>
        <v>17.696228615095837</v>
      </c>
      <c r="L7" s="11">
        <f t="shared" si="1"/>
        <v>1.3333333333333333</v>
      </c>
      <c r="M7" s="1"/>
    </row>
    <row r="8" spans="1:13" s="10" customFormat="1" ht="22.5" x14ac:dyDescent="0.25">
      <c r="A8" s="33"/>
      <c r="B8" s="38"/>
      <c r="C8" s="41"/>
      <c r="D8" s="117" t="s">
        <v>28</v>
      </c>
      <c r="E8" s="118" t="s">
        <v>121</v>
      </c>
      <c r="F8" s="119">
        <v>6</v>
      </c>
      <c r="G8" s="119">
        <v>8</v>
      </c>
      <c r="H8" s="119">
        <v>12</v>
      </c>
      <c r="I8" s="119">
        <f t="shared" si="2"/>
        <v>8.3333333333333339</v>
      </c>
      <c r="J8" s="119">
        <f>I8/$F$28</f>
        <v>11.904761904761907</v>
      </c>
      <c r="K8" s="120">
        <f>I8*$F$31/$F$27</f>
        <v>12.289047649372108</v>
      </c>
      <c r="L8" s="119">
        <f t="shared" si="1"/>
        <v>1</v>
      </c>
      <c r="M8" s="121" t="s">
        <v>123</v>
      </c>
    </row>
    <row r="9" spans="1:13" s="127" customFormat="1" ht="12" x14ac:dyDescent="0.25">
      <c r="A9" s="8"/>
      <c r="B9" s="9">
        <f>SUM(K10:K11)</f>
        <v>21.628723862894908</v>
      </c>
      <c r="C9" s="40" t="s">
        <v>107</v>
      </c>
      <c r="D9" s="40"/>
      <c r="E9" s="126" t="s">
        <v>21</v>
      </c>
      <c r="F9" s="123"/>
      <c r="G9" s="123"/>
      <c r="H9" s="123"/>
      <c r="I9" s="123"/>
      <c r="J9" s="123"/>
      <c r="K9" s="8"/>
      <c r="L9" s="123"/>
      <c r="M9" s="124"/>
    </row>
    <row r="10" spans="1:13" s="10" customFormat="1" ht="12" x14ac:dyDescent="0.25">
      <c r="A10" s="33"/>
      <c r="B10" s="33"/>
      <c r="C10" s="41"/>
      <c r="D10" s="37" t="s">
        <v>23</v>
      </c>
      <c r="E10" s="36" t="s">
        <v>22</v>
      </c>
      <c r="F10" s="12">
        <v>4</v>
      </c>
      <c r="G10" s="12">
        <v>8</v>
      </c>
      <c r="H10" s="12">
        <v>12</v>
      </c>
      <c r="I10" s="11">
        <f t="shared" ref="I10:I11" si="3">(F10+4*G10+H10)/6</f>
        <v>8</v>
      </c>
      <c r="J10" s="11">
        <f>I10/$F$28</f>
        <v>11.428571428571429</v>
      </c>
      <c r="K10" s="13">
        <f>I10*$F$31/$F$27</f>
        <v>11.797485743397223</v>
      </c>
      <c r="L10" s="11">
        <f>(H10-F10)/6</f>
        <v>1.3333333333333333</v>
      </c>
      <c r="M10" s="1"/>
    </row>
    <row r="11" spans="1:13" s="10" customFormat="1" ht="12" x14ac:dyDescent="0.25">
      <c r="A11" s="33"/>
      <c r="B11" s="38"/>
      <c r="C11" s="41"/>
      <c r="D11" s="37" t="s">
        <v>23</v>
      </c>
      <c r="E11" s="36" t="s">
        <v>24</v>
      </c>
      <c r="F11" s="12">
        <v>4</v>
      </c>
      <c r="G11" s="12">
        <v>6</v>
      </c>
      <c r="H11" s="12">
        <v>12</v>
      </c>
      <c r="I11" s="11">
        <f t="shared" si="3"/>
        <v>6.666666666666667</v>
      </c>
      <c r="J11" s="11">
        <f>I11/$F$28</f>
        <v>9.5238095238095255</v>
      </c>
      <c r="K11" s="13">
        <f>I11*$F$31/$F$27</f>
        <v>9.8312381194976872</v>
      </c>
      <c r="L11" s="11">
        <f t="shared" ref="L11" si="4">(H11-F11)/6</f>
        <v>1.3333333333333333</v>
      </c>
      <c r="M11" s="1" t="s">
        <v>115</v>
      </c>
    </row>
    <row r="12" spans="1:13" s="127" customFormat="1" ht="12" x14ac:dyDescent="0.25">
      <c r="A12" s="8"/>
      <c r="B12" s="9">
        <f>SUM(K13:K19)</f>
        <v>85.777552592617312</v>
      </c>
      <c r="C12" s="40" t="s">
        <v>108</v>
      </c>
      <c r="D12" s="40"/>
      <c r="E12" s="126" t="s">
        <v>110</v>
      </c>
      <c r="F12" s="123"/>
      <c r="G12" s="123"/>
      <c r="H12" s="123"/>
      <c r="I12" s="123"/>
      <c r="J12" s="123"/>
      <c r="K12" s="8"/>
      <c r="L12" s="123"/>
      <c r="M12" s="124"/>
    </row>
    <row r="13" spans="1:13" s="127" customFormat="1" ht="24" x14ac:dyDescent="0.25">
      <c r="A13" s="116"/>
      <c r="B13" s="38"/>
      <c r="C13" s="41"/>
      <c r="D13" s="39" t="s">
        <v>31</v>
      </c>
      <c r="E13" s="36" t="s">
        <v>118</v>
      </c>
      <c r="F13" s="12">
        <v>4</v>
      </c>
      <c r="G13" s="12">
        <v>5</v>
      </c>
      <c r="H13" s="12">
        <v>6</v>
      </c>
      <c r="I13" s="11">
        <f t="shared" ref="I13" si="5">(F13+4*G13+H13)/6</f>
        <v>5</v>
      </c>
      <c r="J13" s="11">
        <f>I13/$F$28</f>
        <v>7.1428571428571432</v>
      </c>
      <c r="K13" s="13">
        <f>I13*$F$31/$F$27</f>
        <v>7.3734285896232645</v>
      </c>
      <c r="L13" s="11">
        <f t="shared" ref="L13" si="6">(H13-F13)/6</f>
        <v>0.33333333333333331</v>
      </c>
      <c r="M13" s="1"/>
    </row>
    <row r="14" spans="1:13" s="10" customFormat="1" ht="12" x14ac:dyDescent="0.25">
      <c r="A14" s="33"/>
      <c r="B14" s="38"/>
      <c r="C14" s="41"/>
      <c r="D14" s="39" t="s">
        <v>31</v>
      </c>
      <c r="E14" s="36" t="s">
        <v>111</v>
      </c>
      <c r="F14" s="12">
        <v>1</v>
      </c>
      <c r="G14" s="12">
        <v>2</v>
      </c>
      <c r="H14" s="12">
        <v>3</v>
      </c>
      <c r="I14" s="11">
        <f t="shared" ref="I14" si="7">(F14+4*G14+H14)/6</f>
        <v>2</v>
      </c>
      <c r="J14" s="11">
        <f>I14/$F$28</f>
        <v>2.8571428571428572</v>
      </c>
      <c r="K14" s="13">
        <f>I14*$F$31/$F$27</f>
        <v>2.9493714358493057</v>
      </c>
      <c r="L14" s="11">
        <f t="shared" ref="L14:L23" si="8">(H14-F14)/6</f>
        <v>0.33333333333333331</v>
      </c>
      <c r="M14" s="1"/>
    </row>
    <row r="15" spans="1:13" s="10" customFormat="1" ht="72" x14ac:dyDescent="0.25">
      <c r="A15" s="33"/>
      <c r="B15" s="38"/>
      <c r="C15" s="41"/>
      <c r="D15" s="37" t="s">
        <v>15</v>
      </c>
      <c r="E15" s="36" t="s">
        <v>113</v>
      </c>
      <c r="F15" s="12">
        <v>20</v>
      </c>
      <c r="G15" s="12">
        <v>24</v>
      </c>
      <c r="H15" s="12">
        <v>28</v>
      </c>
      <c r="I15" s="11">
        <f t="shared" ref="I15:I19" si="9">(F15+4*G15+H15)/6</f>
        <v>24</v>
      </c>
      <c r="J15" s="11">
        <f t="shared" ref="J15:J22" si="10">I15/$F$28</f>
        <v>34.285714285714285</v>
      </c>
      <c r="K15" s="13">
        <f t="shared" ref="K15:K19" si="11">I15*$F$31/$F$27</f>
        <v>35.392457230191674</v>
      </c>
      <c r="L15" s="11">
        <f t="shared" si="8"/>
        <v>1.3333333333333333</v>
      </c>
      <c r="M15" s="1"/>
    </row>
    <row r="16" spans="1:13" s="10" customFormat="1" ht="12" x14ac:dyDescent="0.25">
      <c r="A16" s="33"/>
      <c r="B16" s="38"/>
      <c r="C16" s="41"/>
      <c r="D16" s="39" t="s">
        <v>31</v>
      </c>
      <c r="E16" s="36" t="s">
        <v>112</v>
      </c>
      <c r="F16" s="12">
        <v>3</v>
      </c>
      <c r="G16" s="12">
        <v>4</v>
      </c>
      <c r="H16" s="12">
        <v>5</v>
      </c>
      <c r="I16" s="11">
        <f t="shared" si="9"/>
        <v>4</v>
      </c>
      <c r="J16" s="11">
        <f t="shared" si="10"/>
        <v>5.7142857142857144</v>
      </c>
      <c r="K16" s="13">
        <f t="shared" si="11"/>
        <v>5.8987428716986114</v>
      </c>
      <c r="L16" s="11">
        <f t="shared" si="8"/>
        <v>0.33333333333333331</v>
      </c>
      <c r="M16" s="1"/>
    </row>
    <row r="17" spans="1:13" s="10" customFormat="1" ht="12" x14ac:dyDescent="0.25">
      <c r="A17" s="33"/>
      <c r="B17" s="38"/>
      <c r="C17" s="41"/>
      <c r="D17" s="39" t="s">
        <v>31</v>
      </c>
      <c r="E17" s="36" t="s">
        <v>114</v>
      </c>
      <c r="F17" s="12">
        <v>1</v>
      </c>
      <c r="G17" s="12">
        <v>1</v>
      </c>
      <c r="H17" s="12">
        <v>2</v>
      </c>
      <c r="I17" s="11">
        <f t="shared" si="9"/>
        <v>1.1666666666666667</v>
      </c>
      <c r="J17" s="11">
        <f t="shared" si="10"/>
        <v>1.666666666666667</v>
      </c>
      <c r="K17" s="13">
        <f t="shared" si="11"/>
        <v>1.7204666709120953</v>
      </c>
      <c r="L17" s="11">
        <f t="shared" si="8"/>
        <v>0.16666666666666666</v>
      </c>
      <c r="M17" s="1"/>
    </row>
    <row r="18" spans="1:13" s="10" customFormat="1" ht="24" x14ac:dyDescent="0.25">
      <c r="A18" s="33"/>
      <c r="B18" s="38"/>
      <c r="C18" s="41"/>
      <c r="D18" s="39" t="s">
        <v>31</v>
      </c>
      <c r="E18" s="36" t="s">
        <v>117</v>
      </c>
      <c r="F18" s="12">
        <v>4</v>
      </c>
      <c r="G18" s="12">
        <v>6</v>
      </c>
      <c r="H18" s="12">
        <v>8</v>
      </c>
      <c r="I18" s="11">
        <f t="shared" si="9"/>
        <v>6</v>
      </c>
      <c r="J18" s="11">
        <f t="shared" si="10"/>
        <v>8.5714285714285712</v>
      </c>
      <c r="K18" s="13">
        <f t="shared" si="11"/>
        <v>8.8481143075479185</v>
      </c>
      <c r="L18" s="11">
        <f t="shared" si="8"/>
        <v>0.66666666666666663</v>
      </c>
      <c r="M18" s="1"/>
    </row>
    <row r="19" spans="1:13" s="10" customFormat="1" ht="60" x14ac:dyDescent="0.25">
      <c r="A19" s="33"/>
      <c r="B19" s="38"/>
      <c r="C19" s="41"/>
      <c r="D19" s="39" t="s">
        <v>31</v>
      </c>
      <c r="E19" s="36" t="s">
        <v>116</v>
      </c>
      <c r="F19" s="12">
        <v>8</v>
      </c>
      <c r="G19" s="12">
        <v>16</v>
      </c>
      <c r="H19" s="12">
        <v>24</v>
      </c>
      <c r="I19" s="11">
        <f t="shared" si="9"/>
        <v>16</v>
      </c>
      <c r="J19" s="11">
        <f t="shared" si="10"/>
        <v>22.857142857142858</v>
      </c>
      <c r="K19" s="13">
        <f t="shared" si="11"/>
        <v>23.594971486794446</v>
      </c>
      <c r="L19" s="11">
        <f t="shared" si="8"/>
        <v>2.6666666666666665</v>
      </c>
      <c r="M19" s="1"/>
    </row>
    <row r="20" spans="1:13" s="125" customFormat="1" ht="12" x14ac:dyDescent="0.25">
      <c r="A20" s="8"/>
      <c r="B20" s="9">
        <f>SUM(K21:K23)</f>
        <v>105.19424787862525</v>
      </c>
      <c r="C20" s="40" t="s">
        <v>109</v>
      </c>
      <c r="D20" s="40"/>
      <c r="E20" s="122" t="s">
        <v>26</v>
      </c>
      <c r="F20" s="123"/>
      <c r="G20" s="123"/>
      <c r="H20" s="123"/>
      <c r="I20" s="123"/>
      <c r="J20" s="123"/>
      <c r="K20" s="123"/>
      <c r="L20" s="123"/>
      <c r="M20" s="124"/>
    </row>
    <row r="21" spans="1:13" s="14" customFormat="1" ht="36" x14ac:dyDescent="0.25">
      <c r="A21" s="15"/>
      <c r="B21" s="42"/>
      <c r="C21" s="42"/>
      <c r="D21" s="39" t="s">
        <v>30</v>
      </c>
      <c r="E21" s="36" t="s">
        <v>122</v>
      </c>
      <c r="F21" s="12">
        <v>8</v>
      </c>
      <c r="G21" s="12">
        <v>12</v>
      </c>
      <c r="H21" s="12">
        <v>16</v>
      </c>
      <c r="I21" s="11">
        <f t="shared" ref="I21" si="12">(F21+4*G21+H21)/6</f>
        <v>12</v>
      </c>
      <c r="J21" s="11">
        <f t="shared" si="10"/>
        <v>17.142857142857142</v>
      </c>
      <c r="K21" s="13">
        <f t="shared" ref="K21" si="13">I21*$F$31/$F$27</f>
        <v>17.696228615095837</v>
      </c>
      <c r="L21" s="11">
        <f t="shared" si="8"/>
        <v>1.3333333333333333</v>
      </c>
      <c r="M21" s="30"/>
    </row>
    <row r="22" spans="1:13" s="14" customFormat="1" ht="36" x14ac:dyDescent="0.25">
      <c r="A22" s="15"/>
      <c r="B22" s="42"/>
      <c r="C22" s="42"/>
      <c r="D22" s="39" t="s">
        <v>30</v>
      </c>
      <c r="E22" s="36" t="s">
        <v>120</v>
      </c>
      <c r="F22" s="12">
        <v>24</v>
      </c>
      <c r="G22" s="12">
        <v>40</v>
      </c>
      <c r="H22" s="12">
        <v>64</v>
      </c>
      <c r="I22" s="11">
        <f t="shared" ref="I22" si="14">(F22+4*G22+H22)/6</f>
        <v>41.333333333333336</v>
      </c>
      <c r="J22" s="11">
        <f t="shared" si="10"/>
        <v>59.047619047619058</v>
      </c>
      <c r="K22" s="13">
        <f t="shared" ref="K22" si="15">I22*$F$31/$F$27</f>
        <v>60.953676340885664</v>
      </c>
      <c r="L22" s="11">
        <f t="shared" si="8"/>
        <v>6.666666666666667</v>
      </c>
      <c r="M22" s="30"/>
    </row>
    <row r="23" spans="1:13" s="14" customFormat="1" ht="84" x14ac:dyDescent="0.25">
      <c r="A23" s="15"/>
      <c r="B23" s="43"/>
      <c r="C23" s="43"/>
      <c r="D23" s="39" t="s">
        <v>30</v>
      </c>
      <c r="E23" s="36" t="s">
        <v>106</v>
      </c>
      <c r="F23" s="12">
        <v>16</v>
      </c>
      <c r="G23" s="12">
        <v>18</v>
      </c>
      <c r="H23" s="12">
        <v>20</v>
      </c>
      <c r="I23" s="11">
        <f t="shared" ref="I23" si="16">(F23+4*G23+H23)/6</f>
        <v>18</v>
      </c>
      <c r="J23" s="11">
        <f>I23/$F$28</f>
        <v>25.714285714285715</v>
      </c>
      <c r="K23" s="13">
        <f>I23*$F$31/$F$27</f>
        <v>26.544342922643754</v>
      </c>
      <c r="L23" s="11">
        <f t="shared" si="8"/>
        <v>0.66666666666666663</v>
      </c>
      <c r="M23" s="30"/>
    </row>
    <row r="24" spans="1:13" s="10" customFormat="1" ht="12" x14ac:dyDescent="0.25">
      <c r="A24" s="16"/>
      <c r="B24" s="34"/>
      <c r="C24" s="44"/>
      <c r="D24" s="7"/>
      <c r="E24" s="17"/>
      <c r="F24" s="18"/>
      <c r="G24" s="18"/>
      <c r="H24" s="18"/>
      <c r="I24" s="18"/>
      <c r="J24" s="18"/>
      <c r="K24" s="19"/>
      <c r="L24" s="18"/>
      <c r="M24" s="31"/>
    </row>
    <row r="25" spans="1:13" s="10" customFormat="1" ht="12" x14ac:dyDescent="0.25">
      <c r="A25" s="16"/>
      <c r="B25" s="34"/>
      <c r="C25" s="44"/>
      <c r="D25" s="7"/>
      <c r="E25" s="17"/>
      <c r="F25" s="18"/>
      <c r="G25" s="18"/>
      <c r="H25" s="18"/>
      <c r="I25" s="18"/>
      <c r="J25" s="18"/>
      <c r="K25" s="19"/>
      <c r="L25" s="18"/>
      <c r="M25" s="31"/>
    </row>
    <row r="26" spans="1:13" s="10" customFormat="1" ht="12" x14ac:dyDescent="0.25">
      <c r="A26" s="16"/>
      <c r="B26" s="34"/>
      <c r="C26" s="44"/>
      <c r="D26" s="7"/>
      <c r="E26" s="20" t="s">
        <v>6</v>
      </c>
      <c r="F26" s="21">
        <f>SUM(F2:F23)</f>
        <v>137</v>
      </c>
      <c r="G26" s="21">
        <f>SUM(G2:G23)</f>
        <v>196</v>
      </c>
      <c r="H26" s="21">
        <f>SUM(H2:H23)</f>
        <v>274</v>
      </c>
      <c r="I26" s="18"/>
      <c r="J26" s="18"/>
      <c r="K26" s="19"/>
      <c r="L26" s="26">
        <f>SQRT(SUMSQ(L2:L11))</f>
        <v>3.214550253664318</v>
      </c>
      <c r="M26" s="31"/>
    </row>
    <row r="27" spans="1:13" s="10" customFormat="1" ht="12" x14ac:dyDescent="0.25">
      <c r="A27" s="16"/>
      <c r="B27" s="34"/>
      <c r="C27" s="44"/>
      <c r="D27" s="7"/>
      <c r="E27" s="20" t="s">
        <v>13</v>
      </c>
      <c r="F27" s="21">
        <f>(F26+4*G26+H26)/6</f>
        <v>199.16666666666666</v>
      </c>
      <c r="G27" s="22"/>
      <c r="H27" s="21"/>
      <c r="I27" s="18"/>
      <c r="J27" s="18"/>
      <c r="K27" s="19"/>
      <c r="L27" s="26">
        <f>2*L26/F28</f>
        <v>9.184429296183767</v>
      </c>
      <c r="M27" s="31"/>
    </row>
    <row r="28" spans="1:13" s="10" customFormat="1" ht="12" x14ac:dyDescent="0.25">
      <c r="A28" s="16"/>
      <c r="B28" s="34"/>
      <c r="C28" s="44"/>
      <c r="D28" s="7"/>
      <c r="E28" s="20" t="s">
        <v>5</v>
      </c>
      <c r="F28" s="23">
        <v>0.7</v>
      </c>
      <c r="G28" s="22"/>
      <c r="H28" s="21"/>
      <c r="I28" s="18"/>
      <c r="J28" s="18"/>
      <c r="K28" s="19"/>
      <c r="L28" s="27">
        <f>L27/F31</f>
        <v>3.1270587890497276E-2</v>
      </c>
      <c r="M28" s="31"/>
    </row>
    <row r="29" spans="1:13" s="10" customFormat="1" ht="12" x14ac:dyDescent="0.25">
      <c r="B29" s="35"/>
      <c r="C29" s="28"/>
      <c r="D29" s="28"/>
      <c r="E29" s="20" t="s">
        <v>3</v>
      </c>
      <c r="F29" s="21">
        <f>F26/F28</f>
        <v>195.71428571428572</v>
      </c>
      <c r="G29" s="22">
        <f>G26/F28</f>
        <v>280</v>
      </c>
      <c r="H29" s="21">
        <f>H26/F28</f>
        <v>391.42857142857144</v>
      </c>
      <c r="I29" s="18"/>
      <c r="J29" s="18"/>
      <c r="K29" s="19"/>
      <c r="L29" s="26"/>
      <c r="M29" s="31"/>
    </row>
    <row r="30" spans="1:13" s="10" customFormat="1" ht="12" x14ac:dyDescent="0.25">
      <c r="B30" s="35"/>
      <c r="C30" s="28"/>
      <c r="D30" s="28"/>
      <c r="E30" s="24" t="s">
        <v>12</v>
      </c>
      <c r="F30" s="21">
        <f>(F29+4*G29+H29)/6</f>
        <v>284.52380952380958</v>
      </c>
      <c r="G30" s="22"/>
      <c r="H30" s="21"/>
      <c r="I30" s="18"/>
      <c r="J30" s="18"/>
      <c r="K30" s="19"/>
      <c r="L30" s="26"/>
      <c r="M30" s="31"/>
    </row>
    <row r="31" spans="1:13" s="10" customFormat="1" ht="12" x14ac:dyDescent="0.25">
      <c r="B31" s="35"/>
      <c r="C31" s="28"/>
      <c r="D31" s="28"/>
      <c r="E31" s="25" t="s">
        <v>11</v>
      </c>
      <c r="F31" s="21">
        <f>F30+L26*2/F28</f>
        <v>293.70823881999337</v>
      </c>
      <c r="G31" s="22"/>
      <c r="H31" s="21"/>
      <c r="I31" s="18"/>
      <c r="J31" s="18"/>
      <c r="K31" s="19"/>
      <c r="L31" s="2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7" workbookViewId="0">
      <selection activeCell="C3" sqref="C3"/>
    </sheetView>
  </sheetViews>
  <sheetFormatPr defaultColWidth="8.85546875" defaultRowHeight="12.75" x14ac:dyDescent="0.2"/>
  <cols>
    <col min="1" max="1" width="7" style="63" bestFit="1" customWidth="1"/>
    <col min="2" max="2" width="45.85546875" style="61" bestFit="1" customWidth="1"/>
    <col min="3" max="3" width="67" style="61" customWidth="1"/>
    <col min="4" max="4" width="12.7109375" style="80" bestFit="1" customWidth="1"/>
    <col min="5" max="5" width="8.7109375" style="61" customWidth="1"/>
    <col min="6" max="6" width="10.28515625" style="61" bestFit="1" customWidth="1"/>
    <col min="7" max="7" width="10.42578125" style="61" customWidth="1"/>
    <col min="8" max="8" width="11.42578125" style="61" customWidth="1"/>
    <col min="9" max="9" width="32.28515625" style="84" bestFit="1" customWidth="1"/>
    <col min="10" max="16384" width="8.85546875" style="60"/>
  </cols>
  <sheetData>
    <row r="1" spans="1:10" ht="38.25" x14ac:dyDescent="0.2">
      <c r="A1" s="56" t="s">
        <v>36</v>
      </c>
      <c r="B1" s="57" t="s">
        <v>37</v>
      </c>
      <c r="C1" s="57" t="s">
        <v>38</v>
      </c>
      <c r="D1" s="57" t="s">
        <v>39</v>
      </c>
      <c r="E1" s="57" t="s">
        <v>0</v>
      </c>
      <c r="F1" s="57" t="s">
        <v>2</v>
      </c>
      <c r="G1" s="57" t="s">
        <v>40</v>
      </c>
      <c r="H1" s="57" t="s">
        <v>7</v>
      </c>
      <c r="I1" s="58" t="s">
        <v>4</v>
      </c>
      <c r="J1" s="59"/>
    </row>
    <row r="2" spans="1:10" s="100" customFormat="1" x14ac:dyDescent="0.25">
      <c r="A2" s="93">
        <v>1</v>
      </c>
      <c r="B2" s="94" t="s">
        <v>41</v>
      </c>
      <c r="C2" s="94"/>
      <c r="D2" s="95"/>
      <c r="E2" s="96">
        <v>32</v>
      </c>
      <c r="F2" s="96">
        <v>24</v>
      </c>
      <c r="G2" s="96">
        <v>16</v>
      </c>
      <c r="H2" s="97">
        <f t="shared" ref="H2:H14" si="0">(G2+4*F2+E2)/6</f>
        <v>24</v>
      </c>
      <c r="I2" s="98"/>
      <c r="J2" s="99"/>
    </row>
    <row r="3" spans="1:10" s="100" customFormat="1" x14ac:dyDescent="0.25">
      <c r="A3" s="93" t="s">
        <v>42</v>
      </c>
      <c r="B3" s="94" t="s">
        <v>43</v>
      </c>
      <c r="C3" s="94" t="s">
        <v>44</v>
      </c>
      <c r="D3" s="95"/>
      <c r="E3" s="96">
        <v>32</v>
      </c>
      <c r="F3" s="96">
        <v>24</v>
      </c>
      <c r="G3" s="96">
        <v>16</v>
      </c>
      <c r="H3" s="97">
        <f t="shared" si="0"/>
        <v>24</v>
      </c>
      <c r="I3" s="62"/>
      <c r="J3" s="99"/>
    </row>
    <row r="4" spans="1:10" s="100" customFormat="1" ht="25.5" x14ac:dyDescent="0.25">
      <c r="A4" s="93" t="s">
        <v>45</v>
      </c>
      <c r="B4" s="94" t="s">
        <v>46</v>
      </c>
      <c r="C4" s="94" t="s">
        <v>47</v>
      </c>
      <c r="D4" s="95"/>
      <c r="E4" s="96">
        <v>24</v>
      </c>
      <c r="F4" s="96">
        <v>16</v>
      </c>
      <c r="G4" s="96">
        <v>12</v>
      </c>
      <c r="H4" s="97">
        <f t="shared" si="0"/>
        <v>16.666666666666668</v>
      </c>
      <c r="I4" s="101" t="s">
        <v>48</v>
      </c>
      <c r="J4" s="99"/>
    </row>
    <row r="5" spans="1:10" s="105" customFormat="1" ht="25.5" x14ac:dyDescent="0.25">
      <c r="A5" s="102" t="s">
        <v>49</v>
      </c>
      <c r="B5" s="103" t="s">
        <v>50</v>
      </c>
      <c r="C5" s="94" t="s">
        <v>51</v>
      </c>
      <c r="D5" s="104"/>
      <c r="E5" s="97">
        <v>16</v>
      </c>
      <c r="F5" s="97">
        <v>12</v>
      </c>
      <c r="G5" s="97">
        <v>8</v>
      </c>
      <c r="H5" s="97">
        <f t="shared" si="0"/>
        <v>12</v>
      </c>
      <c r="I5" s="101" t="s">
        <v>52</v>
      </c>
    </row>
    <row r="6" spans="1:10" s="109" customFormat="1" ht="25.5" x14ac:dyDescent="0.25">
      <c r="A6" s="93" t="s">
        <v>53</v>
      </c>
      <c r="B6" s="106"/>
      <c r="C6" s="94" t="s">
        <v>54</v>
      </c>
      <c r="D6" s="95"/>
      <c r="E6" s="97">
        <v>16</v>
      </c>
      <c r="F6" s="97">
        <v>12</v>
      </c>
      <c r="G6" s="97">
        <v>8</v>
      </c>
      <c r="H6" s="107">
        <f t="shared" si="0"/>
        <v>12</v>
      </c>
      <c r="I6" s="108"/>
    </row>
    <row r="7" spans="1:10" s="109" customFormat="1" ht="25.5" x14ac:dyDescent="0.25">
      <c r="A7" s="93" t="s">
        <v>55</v>
      </c>
      <c r="B7" s="101" t="s">
        <v>56</v>
      </c>
      <c r="C7" s="94" t="s">
        <v>57</v>
      </c>
      <c r="D7" s="95"/>
      <c r="E7" s="97">
        <v>16</v>
      </c>
      <c r="F7" s="97">
        <v>12</v>
      </c>
      <c r="G7" s="107">
        <v>8</v>
      </c>
      <c r="H7" s="107">
        <f t="shared" si="0"/>
        <v>12</v>
      </c>
      <c r="I7" s="108"/>
    </row>
    <row r="8" spans="1:10" s="109" customFormat="1" ht="25.5" x14ac:dyDescent="0.25">
      <c r="A8" s="93" t="s">
        <v>58</v>
      </c>
      <c r="C8" s="94" t="s">
        <v>59</v>
      </c>
      <c r="D8" s="95"/>
      <c r="E8" s="97">
        <v>24</v>
      </c>
      <c r="F8" s="97">
        <v>16</v>
      </c>
      <c r="G8" s="107">
        <v>12</v>
      </c>
      <c r="H8" s="107">
        <f t="shared" si="0"/>
        <v>16.666666666666668</v>
      </c>
      <c r="I8" s="108"/>
    </row>
    <row r="9" spans="1:10" s="109" customFormat="1" ht="25.5" x14ac:dyDescent="0.25">
      <c r="A9" s="93" t="s">
        <v>60</v>
      </c>
      <c r="B9" s="101"/>
      <c r="C9" s="94" t="s">
        <v>61</v>
      </c>
      <c r="D9" s="95"/>
      <c r="E9" s="107">
        <v>24</v>
      </c>
      <c r="F9" s="107">
        <v>16</v>
      </c>
      <c r="G9" s="107">
        <v>12</v>
      </c>
      <c r="H9" s="107">
        <f t="shared" si="0"/>
        <v>16.666666666666668</v>
      </c>
      <c r="I9" s="108"/>
    </row>
    <row r="10" spans="1:10" s="109" customFormat="1" x14ac:dyDescent="0.25">
      <c r="A10" s="93" t="s">
        <v>62</v>
      </c>
      <c r="B10" s="101" t="s">
        <v>63</v>
      </c>
      <c r="C10" s="94" t="s">
        <v>64</v>
      </c>
      <c r="D10" s="95"/>
      <c r="E10" s="107">
        <v>40</v>
      </c>
      <c r="F10" s="107">
        <v>24</v>
      </c>
      <c r="G10" s="107">
        <v>20</v>
      </c>
      <c r="H10" s="107">
        <f t="shared" si="0"/>
        <v>26</v>
      </c>
      <c r="I10" s="101" t="s">
        <v>65</v>
      </c>
    </row>
    <row r="11" spans="1:10" s="109" customFormat="1" x14ac:dyDescent="0.25">
      <c r="A11" s="93" t="s">
        <v>66</v>
      </c>
      <c r="B11" s="101"/>
      <c r="C11" s="94" t="s">
        <v>67</v>
      </c>
      <c r="D11" s="95"/>
      <c r="E11" s="107">
        <v>16</v>
      </c>
      <c r="F11" s="107">
        <v>12</v>
      </c>
      <c r="G11" s="107">
        <v>8</v>
      </c>
      <c r="H11" s="107">
        <f t="shared" si="0"/>
        <v>12</v>
      </c>
      <c r="I11" s="108"/>
    </row>
    <row r="12" spans="1:10" s="109" customFormat="1" ht="25.5" x14ac:dyDescent="0.25">
      <c r="A12" s="93" t="s">
        <v>68</v>
      </c>
      <c r="B12" s="101"/>
      <c r="C12" s="94" t="s">
        <v>69</v>
      </c>
      <c r="D12" s="95"/>
      <c r="E12" s="107">
        <v>24</v>
      </c>
      <c r="F12" s="107">
        <v>16</v>
      </c>
      <c r="G12" s="107">
        <v>12</v>
      </c>
      <c r="H12" s="107">
        <f t="shared" si="0"/>
        <v>16.666666666666668</v>
      </c>
      <c r="I12" s="108"/>
    </row>
    <row r="13" spans="1:10" s="109" customFormat="1" x14ac:dyDescent="0.25">
      <c r="A13" s="93" t="s">
        <v>70</v>
      </c>
      <c r="B13" s="101"/>
      <c r="C13" s="94" t="s">
        <v>71</v>
      </c>
      <c r="D13" s="95"/>
      <c r="E13" s="107">
        <v>12</v>
      </c>
      <c r="F13" s="107">
        <v>8</v>
      </c>
      <c r="G13" s="107">
        <v>4</v>
      </c>
      <c r="H13" s="107">
        <f t="shared" si="0"/>
        <v>8</v>
      </c>
      <c r="I13" s="108"/>
    </row>
    <row r="14" spans="1:10" s="109" customFormat="1" x14ac:dyDescent="0.25">
      <c r="A14" s="93" t="s">
        <v>72</v>
      </c>
      <c r="B14" s="101" t="s">
        <v>73</v>
      </c>
      <c r="C14" s="94" t="s">
        <v>74</v>
      </c>
      <c r="D14" s="95"/>
      <c r="E14" s="107">
        <v>20</v>
      </c>
      <c r="F14" s="107">
        <v>12</v>
      </c>
      <c r="G14" s="107">
        <v>8</v>
      </c>
      <c r="H14" s="107">
        <f t="shared" si="0"/>
        <v>12.666666666666666</v>
      </c>
      <c r="I14" s="108"/>
    </row>
    <row r="15" spans="1:10" s="109" customFormat="1" ht="25.5" x14ac:dyDescent="0.25">
      <c r="A15" s="93" t="s">
        <v>75</v>
      </c>
      <c r="B15" s="101" t="s">
        <v>76</v>
      </c>
      <c r="C15" s="94" t="s">
        <v>77</v>
      </c>
      <c r="D15" s="95"/>
      <c r="E15" s="107">
        <v>16</v>
      </c>
      <c r="F15" s="107">
        <v>12</v>
      </c>
      <c r="G15" s="107">
        <v>8</v>
      </c>
      <c r="H15" s="107">
        <f t="shared" ref="H15:H23" si="1">(E15+4*F15+G15)/6</f>
        <v>12</v>
      </c>
      <c r="I15" s="108"/>
    </row>
    <row r="16" spans="1:10" s="109" customFormat="1" ht="25.5" x14ac:dyDescent="0.25">
      <c r="A16" s="93" t="s">
        <v>78</v>
      </c>
      <c r="B16" s="101" t="s">
        <v>79</v>
      </c>
      <c r="C16" s="94" t="s">
        <v>80</v>
      </c>
      <c r="D16" s="95"/>
      <c r="E16" s="107">
        <v>8</v>
      </c>
      <c r="F16" s="107">
        <v>4</v>
      </c>
      <c r="G16" s="107">
        <v>2</v>
      </c>
      <c r="H16" s="107">
        <f t="shared" si="1"/>
        <v>4.333333333333333</v>
      </c>
      <c r="I16" s="108"/>
    </row>
    <row r="17" spans="1:9" s="109" customFormat="1" ht="25.5" x14ac:dyDescent="0.25">
      <c r="A17" s="93" t="s">
        <v>81</v>
      </c>
      <c r="B17" s="101" t="s">
        <v>82</v>
      </c>
      <c r="C17" s="94" t="s">
        <v>83</v>
      </c>
      <c r="D17" s="95"/>
      <c r="E17" s="107">
        <v>12</v>
      </c>
      <c r="F17" s="107">
        <v>8</v>
      </c>
      <c r="G17" s="107">
        <v>6</v>
      </c>
      <c r="H17" s="107">
        <f t="shared" si="1"/>
        <v>8.3333333333333339</v>
      </c>
      <c r="I17" s="108"/>
    </row>
    <row r="18" spans="1:9" s="109" customFormat="1" ht="25.5" x14ac:dyDescent="0.25">
      <c r="A18" s="93" t="s">
        <v>84</v>
      </c>
      <c r="B18" s="101" t="s">
        <v>85</v>
      </c>
      <c r="C18" s="94" t="s">
        <v>86</v>
      </c>
      <c r="D18" s="95"/>
      <c r="E18" s="107">
        <v>8</v>
      </c>
      <c r="F18" s="107">
        <v>6</v>
      </c>
      <c r="G18" s="107">
        <v>4</v>
      </c>
      <c r="H18" s="107">
        <f t="shared" si="1"/>
        <v>6</v>
      </c>
      <c r="I18" s="108"/>
    </row>
    <row r="19" spans="1:9" s="109" customFormat="1" x14ac:dyDescent="0.25">
      <c r="A19" s="93" t="s">
        <v>87</v>
      </c>
      <c r="B19" s="101" t="s">
        <v>14</v>
      </c>
      <c r="C19" s="94"/>
      <c r="D19" s="95" t="s">
        <v>23</v>
      </c>
      <c r="E19" s="107">
        <f>SUM(E2:E18)*0.3</f>
        <v>102</v>
      </c>
      <c r="F19" s="107">
        <f>SUM(F2:F18)*0.3</f>
        <v>70.2</v>
      </c>
      <c r="G19" s="107">
        <f>SUM(G2:G18)*0.3</f>
        <v>49.199999999999996</v>
      </c>
      <c r="H19" s="107">
        <f t="shared" si="1"/>
        <v>72</v>
      </c>
      <c r="I19" s="108"/>
    </row>
    <row r="20" spans="1:9" s="109" customFormat="1" x14ac:dyDescent="0.25">
      <c r="A20" s="93" t="s">
        <v>88</v>
      </c>
      <c r="B20" s="101" t="s">
        <v>89</v>
      </c>
      <c r="C20" s="94"/>
      <c r="D20" s="95" t="s">
        <v>23</v>
      </c>
      <c r="E20" s="107">
        <f>0.1*SUM(E2:E18)</f>
        <v>34</v>
      </c>
      <c r="F20" s="107">
        <f>0.1*SUM(F2:F18)</f>
        <v>23.400000000000002</v>
      </c>
      <c r="G20" s="107">
        <f>0.1*SUM(G2:G18)</f>
        <v>16.400000000000002</v>
      </c>
      <c r="H20" s="107">
        <f t="shared" si="1"/>
        <v>24</v>
      </c>
      <c r="I20" s="108"/>
    </row>
    <row r="21" spans="1:9" s="109" customFormat="1" x14ac:dyDescent="0.25">
      <c r="A21" s="93" t="s">
        <v>90</v>
      </c>
      <c r="B21" s="101" t="s">
        <v>91</v>
      </c>
      <c r="C21" s="94"/>
      <c r="D21" s="110" t="s">
        <v>15</v>
      </c>
      <c r="E21" s="111">
        <v>24</v>
      </c>
      <c r="F21" s="111">
        <v>16</v>
      </c>
      <c r="G21" s="111">
        <v>12</v>
      </c>
      <c r="H21" s="111">
        <f t="shared" si="1"/>
        <v>16.666666666666668</v>
      </c>
      <c r="I21" s="108"/>
    </row>
    <row r="22" spans="1:9" s="114" customFormat="1" x14ac:dyDescent="0.25">
      <c r="A22" s="93" t="s">
        <v>92</v>
      </c>
      <c r="B22" s="101" t="s">
        <v>15</v>
      </c>
      <c r="C22" s="112"/>
      <c r="D22" s="93" t="s">
        <v>15</v>
      </c>
      <c r="E22" s="107">
        <f>SUM(E2:E18)*0.2</f>
        <v>68</v>
      </c>
      <c r="F22" s="107">
        <f>SUM(F2:F18)*0.2</f>
        <v>46.800000000000004</v>
      </c>
      <c r="G22" s="107">
        <f>SUM(G2:G18)*0.2</f>
        <v>32.800000000000004</v>
      </c>
      <c r="H22" s="107">
        <f t="shared" si="1"/>
        <v>48</v>
      </c>
      <c r="I22" s="113"/>
    </row>
    <row r="23" spans="1:9" s="100" customFormat="1" x14ac:dyDescent="0.25">
      <c r="A23" s="93" t="s">
        <v>93</v>
      </c>
      <c r="B23" s="62" t="s">
        <v>94</v>
      </c>
      <c r="C23" s="91"/>
      <c r="D23" s="93" t="s">
        <v>95</v>
      </c>
      <c r="E23" s="107">
        <f>SUM(E2:E20)*0.1</f>
        <v>47.6</v>
      </c>
      <c r="F23" s="107">
        <f>SUM(F2:F20)*0.1</f>
        <v>32.76</v>
      </c>
      <c r="G23" s="107">
        <f>SUM(G2:G20)*0.1</f>
        <v>22.96</v>
      </c>
      <c r="H23" s="107">
        <f t="shared" si="1"/>
        <v>33.6</v>
      </c>
      <c r="I23" s="115"/>
    </row>
    <row r="24" spans="1:9" x14ac:dyDescent="0.2">
      <c r="B24" s="64"/>
      <c r="C24" s="64"/>
      <c r="D24" s="65"/>
      <c r="E24" s="90"/>
      <c r="F24" s="90"/>
      <c r="G24" s="90"/>
      <c r="H24" s="90"/>
      <c r="I24" s="66"/>
    </row>
    <row r="25" spans="1:9" x14ac:dyDescent="0.2">
      <c r="B25" s="67"/>
      <c r="C25" s="68" t="s">
        <v>6</v>
      </c>
      <c r="D25" s="68"/>
      <c r="E25" s="69">
        <f>SUM(E2:E23)</f>
        <v>615.6</v>
      </c>
      <c r="F25" s="69">
        <f>SUM(F2:F23)</f>
        <v>423.15999999999997</v>
      </c>
      <c r="G25" s="69">
        <f>SUM(G2:G23)</f>
        <v>297.35999999999996</v>
      </c>
      <c r="H25" s="70"/>
      <c r="I25" s="71"/>
    </row>
    <row r="26" spans="1:9" x14ac:dyDescent="0.2">
      <c r="C26" s="68" t="s">
        <v>13</v>
      </c>
      <c r="D26" s="68"/>
      <c r="E26" s="72">
        <f>(E25+4*F25+G25)/6</f>
        <v>434.26666666666665</v>
      </c>
      <c r="F26" s="70"/>
      <c r="G26" s="70"/>
      <c r="H26" s="70"/>
      <c r="I26" s="71"/>
    </row>
    <row r="27" spans="1:9" x14ac:dyDescent="0.2">
      <c r="C27" s="68"/>
      <c r="D27" s="68"/>
      <c r="E27" s="73"/>
      <c r="F27" s="70"/>
      <c r="G27" s="70"/>
      <c r="H27" s="70"/>
      <c r="I27" s="74"/>
    </row>
    <row r="28" spans="1:9" x14ac:dyDescent="0.2">
      <c r="C28" s="75"/>
      <c r="D28" s="75"/>
      <c r="E28" s="76"/>
      <c r="F28" s="77"/>
      <c r="G28" s="77"/>
      <c r="H28" s="77"/>
      <c r="I28" s="77"/>
    </row>
    <row r="29" spans="1:9" x14ac:dyDescent="0.2">
      <c r="C29" s="89" t="s">
        <v>96</v>
      </c>
      <c r="D29" s="89"/>
      <c r="E29" s="88">
        <f>ROUND(E26*0.2, 0)</f>
        <v>87</v>
      </c>
      <c r="F29" s="77"/>
      <c r="G29" s="77"/>
      <c r="H29" s="77"/>
      <c r="I29" s="77"/>
    </row>
    <row r="30" spans="1:9" x14ac:dyDescent="0.2">
      <c r="C30" s="64"/>
      <c r="D30" s="78" t="s">
        <v>97</v>
      </c>
      <c r="E30" s="92">
        <f>E29+E26</f>
        <v>521.26666666666665</v>
      </c>
      <c r="F30" s="77"/>
      <c r="G30" s="77"/>
      <c r="H30" s="77"/>
      <c r="I30" s="77"/>
    </row>
    <row r="31" spans="1:9" x14ac:dyDescent="0.2">
      <c r="C31" s="64"/>
      <c r="D31" s="65"/>
      <c r="E31" s="77"/>
      <c r="F31" s="77"/>
      <c r="G31" s="77"/>
      <c r="H31" s="77"/>
      <c r="I31" s="77"/>
    </row>
    <row r="32" spans="1:9" x14ac:dyDescent="0.2">
      <c r="C32" s="79"/>
      <c r="F32" s="77"/>
      <c r="G32" s="77"/>
      <c r="H32" s="77"/>
      <c r="I32" s="77"/>
    </row>
    <row r="33" spans="4:9" x14ac:dyDescent="0.2">
      <c r="D33" s="79"/>
      <c r="E33" s="81"/>
      <c r="F33" s="82"/>
      <c r="G33" s="82"/>
      <c r="H33" s="82"/>
      <c r="I33" s="82"/>
    </row>
    <row r="35" spans="4:9" x14ac:dyDescent="0.2">
      <c r="D35" s="83"/>
      <c r="E35" s="82"/>
    </row>
    <row r="36" spans="4:9" x14ac:dyDescent="0.2">
      <c r="D36" s="85"/>
      <c r="E36" s="86"/>
      <c r="F36" s="82"/>
    </row>
    <row r="37" spans="4:9" x14ac:dyDescent="0.2">
      <c r="D37" s="85"/>
      <c r="E37" s="86"/>
    </row>
    <row r="38" spans="4:9" x14ac:dyDescent="0.2">
      <c r="D38" s="85"/>
      <c r="E38" s="87"/>
    </row>
    <row r="39" spans="4:9" x14ac:dyDescent="0.2">
      <c r="D39" s="83"/>
      <c r="E39" s="87"/>
    </row>
    <row r="40" spans="4:9" x14ac:dyDescent="0.2">
      <c r="D40" s="85"/>
      <c r="E40" s="86"/>
    </row>
    <row r="41" spans="4:9" x14ac:dyDescent="0.2">
      <c r="D41" s="85"/>
      <c r="E41" s="86"/>
    </row>
    <row r="42" spans="4:9" x14ac:dyDescent="0.2">
      <c r="D42" s="85"/>
      <c r="E42" s="87"/>
    </row>
    <row r="43" spans="4:9" x14ac:dyDescent="0.2">
      <c r="D43" s="83"/>
      <c r="E43" s="87"/>
    </row>
    <row r="44" spans="4:9" x14ac:dyDescent="0.2">
      <c r="D44" s="85"/>
      <c r="E44" s="87"/>
    </row>
    <row r="45" spans="4:9" x14ac:dyDescent="0.2">
      <c r="D45" s="85"/>
      <c r="E45" s="87"/>
    </row>
    <row r="46" spans="4:9" x14ac:dyDescent="0.2">
      <c r="E46" s="82"/>
    </row>
  </sheetData>
  <mergeCells count="6">
    <mergeCell ref="C29:D29"/>
    <mergeCell ref="E24:H24"/>
    <mergeCell ref="C25:D25"/>
    <mergeCell ref="C26:D26"/>
    <mergeCell ref="C27:D27"/>
    <mergeCell ref="C28:D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2"/>
    </sheetView>
  </sheetViews>
  <sheetFormatPr defaultColWidth="8.85546875" defaultRowHeight="12.75" x14ac:dyDescent="0.2"/>
  <cols>
    <col min="1" max="1" width="4" style="46" customWidth="1"/>
    <col min="2" max="2" width="88.7109375" style="46" customWidth="1"/>
    <col min="3" max="16384" width="8.85546875" style="46"/>
  </cols>
  <sheetData>
    <row r="1" spans="1:2" x14ac:dyDescent="0.2">
      <c r="A1" s="52" t="s">
        <v>34</v>
      </c>
      <c r="B1" s="52"/>
    </row>
    <row r="2" spans="1:2" s="47" customFormat="1" ht="91.5" customHeight="1" x14ac:dyDescent="0.25">
      <c r="A2" s="53" t="s">
        <v>35</v>
      </c>
      <c r="B2" s="54"/>
    </row>
    <row r="3" spans="1:2" s="47" customFormat="1" ht="27.75" customHeight="1" x14ac:dyDescent="0.25">
      <c r="A3" s="53" t="s">
        <v>32</v>
      </c>
      <c r="B3" s="54"/>
    </row>
    <row r="4" spans="1:2" s="47" customFormat="1" ht="39" customHeight="1" x14ac:dyDescent="0.25">
      <c r="A4" s="55" t="s">
        <v>33</v>
      </c>
      <c r="B4" s="54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85DE1AA-8A51-4E1D-817E-88E3F1D77B6A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ИТОГО</vt:lpstr>
      <vt:lpstr>Rapidsoft</vt:lpstr>
      <vt:lpstr>WaveAccess</vt:lpstr>
      <vt:lpstr>Ограничения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