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20" windowWidth="24240" windowHeight="13620" tabRatio="704"/>
  </bookViews>
  <sheets>
    <sheet name="МОНИТОРИНГ-40" sheetId="19" r:id="rId1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9" l="1"/>
  <c r="I11" i="19"/>
  <c r="G11" i="19"/>
  <c r="H10" i="19"/>
  <c r="I10" i="19"/>
  <c r="G10" i="19"/>
  <c r="I8" i="19"/>
  <c r="H8" i="19"/>
  <c r="G8" i="19"/>
  <c r="M8" i="19" s="1"/>
  <c r="I7" i="19"/>
  <c r="J7" i="19" s="1"/>
  <c r="K7" i="19" s="1"/>
  <c r="H7" i="19"/>
  <c r="G7" i="19"/>
  <c r="M7" i="19" s="1"/>
  <c r="I6" i="19"/>
  <c r="H6" i="19"/>
  <c r="J6" i="19" s="1"/>
  <c r="K6" i="19" s="1"/>
  <c r="G6" i="19"/>
  <c r="J5" i="19"/>
  <c r="K5" i="19" s="1"/>
  <c r="M5" i="19"/>
  <c r="M6" i="19"/>
  <c r="J8" i="19" l="1"/>
  <c r="K8" i="19" s="1"/>
  <c r="M13" i="19"/>
  <c r="J4" i="19"/>
  <c r="K4" i="19" s="1"/>
  <c r="J12" i="19"/>
  <c r="K12" i="19" s="1"/>
  <c r="J13" i="19"/>
  <c r="K13" i="19" s="1"/>
  <c r="J10" i="19" l="1"/>
  <c r="K10" i="19" s="1"/>
  <c r="M4" i="19"/>
  <c r="M12" i="19" l="1"/>
  <c r="J11" i="19" l="1"/>
  <c r="K11" i="19" s="1"/>
  <c r="M10" i="19"/>
  <c r="M11" i="19"/>
  <c r="I16" i="19"/>
  <c r="I19" i="19" s="1"/>
  <c r="G16" i="19"/>
  <c r="G19" i="19" s="1"/>
  <c r="H16" i="19"/>
  <c r="H19" i="19" s="1"/>
  <c r="M3" i="19"/>
  <c r="J3" i="19"/>
  <c r="K3" i="19" s="1"/>
  <c r="M16" i="19" l="1"/>
  <c r="M17" i="19" s="1"/>
  <c r="G17" i="19"/>
  <c r="G20" i="19"/>
  <c r="G21" i="19" l="1"/>
  <c r="L6" i="19" l="1"/>
  <c r="L8" i="19"/>
  <c r="L7" i="19"/>
  <c r="L5" i="19"/>
  <c r="L10" i="19"/>
  <c r="L13" i="19"/>
  <c r="L11" i="19"/>
  <c r="L12" i="19"/>
  <c r="L4" i="19"/>
  <c r="L3" i="19"/>
  <c r="M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<sst xmlns="http://schemas.openxmlformats.org/spreadsheetml/2006/main" count="46" uniqueCount="40">
  <si>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</si>
  <si>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</si>
  <si>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</si>
  <si>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</si>
  <si>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</si>
  <si>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</si>
  <si>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</si>
  <si>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</si>
  <si>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</si>
  <si>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</si>
  <si>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</si>
  <si>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</si>
  <si>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</si>
  <si>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</si>
  <si>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</si>
  <si>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</si>
  <si>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</si>
  <si>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</si>
  <si>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</si>
  <si>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</si>
  <si>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Бэк</t>
  </si>
  <si>
    <t>Деплой</t>
  </si>
  <si>
    <t>Компонент
(тип работ)</t>
  </si>
  <si>
    <t>Тестирвание</t>
  </si>
  <si>
    <t>Менеджмент</t>
  </si>
  <si>
    <t>Аналитика</t>
  </si>
  <si>
    <t>Управление проектом (менеджмент + тех. руководство проектом)</t>
  </si>
  <si>
    <t>Деплой (на обоих окружениях)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</si>
  <si>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спецификация,
- актуализация спецификации после релиза.</t>
    </r>
  </si>
  <si>
    <t>МОНИТОРИНГ-40 Отчетность по реестровым взаимодействиям с ИС Банка</t>
  </si>
  <si>
    <t>Тестирвание формирования отчетности, проверка корректности (на обоих окружениях)</t>
  </si>
  <si>
    <t>Доработка шагов импорта/экспорта ETL, чтобы количество записей записывалось в счетчики в базу</t>
  </si>
  <si>
    <t>Установка и настройка Reporting Services</t>
  </si>
  <si>
    <t>SQL запросы для формирования отчетов по всем взаимодействиям - взаимодействия по двум файлам</t>
  </si>
  <si>
    <t>SQL запросы для формирования отчетов по всем взаимодействиям - взаимодействия по трем файлам</t>
  </si>
  <si>
    <t>Настройка рассылки (периодичность, список адресатов)</t>
  </si>
  <si>
    <t>Необходимо на регулярной основе по реестровым взаимодействиям с ИС Банка отправлять отчет за период по e-mail.
В отчете должны фигурировать исходные файлы, файлы-ответы, время их получения/отправки системой "Коллекция".
Список взаимодействий для подключения формирования отчетности:
1. По двум файлам
- 3.2. Регистрация клиентов на стороне Банка (ВТБ24-Коллекция)
- 3.3. Активация клиентов в Системе лояльности (ВТБ24-Коллекция)
- 3.5. Изменение анкетных данных клиентов Банком (ВТБ24-Коллекция)
- 3.6. Начисление бонусов на бонусные счета клиентов (ВТБ24-Коллекция)
- 3.7. Формирование кампаний (Коллекция-ВТБ24)
- 3.8. Формирование списка участников целевых кампаний (ВТБ24-Коллекция)
- 3.9. Формирование персональных сообщений (ВТБ24-Коллекция)
- 3.12. Изменение номера мобильного телефона клиента Банком (ВТБ24-Коллекция)
- 3.13.  Сброс пароля клиента (ВТБ24-Коллекция)
2. По трем файлам
- 3.1. Регистрация клиентов в Системе лояльности (Коллекция-ВТБ24-Коллекция)
- 3.4. Отключение клиентов от Системы лояльности (Коллекция-ВТБ24-Коллекция)
- 3.10. Отправка реестра совершенных заказов (Коллекция-ВТБ24-Коллекция)</t>
  </si>
  <si>
    <t>Взаимодействия:
- 3.2. Регистрация клиентов на стороне Банка (ВТБ24-Коллекция)
- 3.3. Активация клиентов в Системе лояльности (ВТБ24-Коллекция)
- 3.5. Изменение анкетных данных клиентов Банком (ВТБ24-Коллекция)
- 3.6. Начисление бонусов на бонусные счета клиентов (ВТБ24-Коллекция)
- 3.7. Формирование кампаний (Коллекция-ВТБ24)
- 3.8. Формирование списка участников целевых кампаний (ВТБ24-Коллекция)
- 3.9. Формирование персональных сообщений (ВТБ24-Коллекция)
- 3.12. Изменение номера мобильного телефона клиента Банком (ВТБ24-Коллекция)
- 3.13.  Сброс пароля клиента (ВТБ24-Коллекция)</t>
  </si>
  <si>
    <t>Взаимодействия
- 3.1. Регистрация клиентов в Системе лояльности (Коллекция-ВТБ24-Коллекция)
- 3.4. Отключение клиентов от Системы лояльности (Коллекция-ВТБ24-Коллекция)
- 3.10. Отправка реестра совершенных заказов (Коллекция-ВТБ24-Коллекция)</t>
  </si>
  <si>
    <t>Подготовка отчетов по шаблону в e-mail, по каждому взаимодействию (12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</si>
</sst>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abSelected="1" workbookViewId="0">
      <pane ySplit="1" topLeftCell="A2" activePane="bottomLeft" state="frozen"/>
      <selection activeCell="C1" sqref="C1"/>
      <selection pane="bottomLeft" activeCell="F2" sqref="F2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5.7109375" style="22" bestFit="1" customWidth="1"/>
    <col min="5" max="5" width="12.85546875" style="7" bestFit="1" customWidth="1"/>
    <col min="6" max="6" width="49.8554687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92.5703125" style="41" bestFit="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225" x14ac:dyDescent="0.25">
      <c r="A2" s="34"/>
      <c r="B2" s="35"/>
      <c r="C2" s="9">
        <f>SUM(L3:L13)</f>
        <v>96.954733813859377</v>
      </c>
      <c r="D2" s="10" t="s">
        <v>29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36</v>
      </c>
    </row>
    <row r="3" spans="1:14" s="18" customFormat="1" ht="45.75" x14ac:dyDescent="0.25">
      <c r="A3" s="19"/>
      <c r="B3" s="19"/>
      <c r="C3" s="49"/>
      <c r="D3" s="47"/>
      <c r="E3" s="37" t="s">
        <v>25</v>
      </c>
      <c r="F3" s="16" t="s">
        <v>28</v>
      </c>
      <c r="G3" s="14">
        <v>1</v>
      </c>
      <c r="H3" s="14">
        <v>2</v>
      </c>
      <c r="I3" s="14">
        <v>2</v>
      </c>
      <c r="J3" s="13">
        <f>(G3+4*H3+I3)/6</f>
        <v>1.8333333333333333</v>
      </c>
      <c r="K3" s="13">
        <f>J3/$G$18</f>
        <v>2.4444444444444442</v>
      </c>
      <c r="L3" s="15">
        <f>J3*$G$21/$G$17</f>
        <v>2.7955493367036777</v>
      </c>
      <c r="M3" s="13">
        <f>(I3-G3)/6</f>
        <v>0.16666666666666666</v>
      </c>
      <c r="N3" s="1"/>
    </row>
    <row r="4" spans="1:14" s="18" customFormat="1" ht="24" x14ac:dyDescent="0.25">
      <c r="A4" s="19"/>
      <c r="B4" s="19"/>
      <c r="C4" s="43"/>
      <c r="D4" s="20"/>
      <c r="E4" s="37" t="s">
        <v>20</v>
      </c>
      <c r="F4" s="16" t="s">
        <v>31</v>
      </c>
      <c r="G4" s="14">
        <v>1</v>
      </c>
      <c r="H4" s="14">
        <v>2</v>
      </c>
      <c r="I4" s="14">
        <v>3</v>
      </c>
      <c r="J4" s="13">
        <f t="shared" ref="J4:J13" si="0">(G4+4*H4+I4)/6</f>
        <v>2</v>
      </c>
      <c r="K4" s="13">
        <f>J4/$G$18</f>
        <v>2.6666666666666665</v>
      </c>
      <c r="L4" s="15">
        <f>J4*$G$21/$G$17</f>
        <v>3.0496901854949212</v>
      </c>
      <c r="M4" s="13">
        <f t="shared" ref="M4" si="1">(I4-G4)/6</f>
        <v>0.33333333333333331</v>
      </c>
      <c r="N4" s="1"/>
    </row>
    <row r="5" spans="1:14" s="18" customFormat="1" x14ac:dyDescent="0.25">
      <c r="A5" s="19"/>
      <c r="B5" s="19"/>
      <c r="C5" s="43"/>
      <c r="D5" s="20"/>
      <c r="E5" s="46" t="s">
        <v>20</v>
      </c>
      <c r="F5" s="16" t="s">
        <v>32</v>
      </c>
      <c r="G5" s="14">
        <v>2</v>
      </c>
      <c r="H5" s="14">
        <v>4</v>
      </c>
      <c r="I5" s="14">
        <v>8</v>
      </c>
      <c r="J5" s="13">
        <f t="shared" ref="J5:J8" si="2">(G5+4*H5+I5)/6</f>
        <v>4.333333333333333</v>
      </c>
      <c r="K5" s="13">
        <f t="shared" ref="K5:K8" si="3">J5/$G$18</f>
        <v>5.7777777777777777</v>
      </c>
      <c r="L5" s="15">
        <f>J5*$G$21/$G$17</f>
        <v>6.6076620685723295</v>
      </c>
      <c r="M5" s="13">
        <f t="shared" ref="M5:M8" si="4">(I5-G5)/6</f>
        <v>1</v>
      </c>
      <c r="N5" s="1"/>
    </row>
    <row r="6" spans="1:14" s="18" customFormat="1" ht="112.5" x14ac:dyDescent="0.25">
      <c r="A6" s="19"/>
      <c r="B6" s="19"/>
      <c r="C6" s="43"/>
      <c r="D6" s="20"/>
      <c r="E6" s="46" t="s">
        <v>20</v>
      </c>
      <c r="F6" s="16" t="s">
        <v>33</v>
      </c>
      <c r="G6" s="14">
        <f>0.5*9</f>
        <v>4.5</v>
      </c>
      <c r="H6" s="14">
        <f>1*9</f>
        <v>9</v>
      </c>
      <c r="I6" s="14">
        <f>2*9</f>
        <v>18</v>
      </c>
      <c r="J6" s="13">
        <f t="shared" si="2"/>
        <v>9.75</v>
      </c>
      <c r="K6" s="13">
        <f t="shared" si="3"/>
        <v>13</v>
      </c>
      <c r="L6" s="15">
        <f>J6*$G$21/$G$17</f>
        <v>14.86723965428774</v>
      </c>
      <c r="M6" s="13">
        <f t="shared" si="4"/>
        <v>2.25</v>
      </c>
      <c r="N6" s="1" t="s">
        <v>37</v>
      </c>
    </row>
    <row r="7" spans="1:14" s="18" customFormat="1" ht="45" x14ac:dyDescent="0.25">
      <c r="A7" s="19"/>
      <c r="B7" s="19"/>
      <c r="C7" s="43"/>
      <c r="D7" s="20"/>
      <c r="E7" s="46" t="s">
        <v>20</v>
      </c>
      <c r="F7" s="16" t="s">
        <v>34</v>
      </c>
      <c r="G7" s="14">
        <f>0.5*3</f>
        <v>1.5</v>
      </c>
      <c r="H7" s="14">
        <f>1*3</f>
        <v>3</v>
      </c>
      <c r="I7" s="14">
        <f>3*3</f>
        <v>9</v>
      </c>
      <c r="J7" s="13">
        <f t="shared" si="2"/>
        <v>3.75</v>
      </c>
      <c r="K7" s="13">
        <f t="shared" si="3"/>
        <v>5</v>
      </c>
      <c r="L7" s="15">
        <f>J7*$G$21/$G$17</f>
        <v>5.7181690978029778</v>
      </c>
      <c r="M7" s="13">
        <f t="shared" si="4"/>
        <v>1.25</v>
      </c>
      <c r="N7" s="1" t="s">
        <v>38</v>
      </c>
    </row>
    <row r="8" spans="1:14" s="18" customFormat="1" ht="24" x14ac:dyDescent="0.25">
      <c r="A8" s="19"/>
      <c r="B8" s="19"/>
      <c r="C8" s="43"/>
      <c r="D8" s="20"/>
      <c r="E8" s="46" t="s">
        <v>20</v>
      </c>
      <c r="F8" s="16" t="s">
        <v>39</v>
      </c>
      <c r="G8" s="14">
        <f>0.5*12</f>
        <v>6</v>
      </c>
      <c r="H8" s="14">
        <f>1*12</f>
        <v>12</v>
      </c>
      <c r="I8" s="14">
        <f>1.5*12</f>
        <v>18</v>
      </c>
      <c r="J8" s="13">
        <f t="shared" si="2"/>
        <v>12</v>
      </c>
      <c r="K8" s="13">
        <f t="shared" si="3"/>
        <v>16</v>
      </c>
      <c r="L8" s="15">
        <f>J8*$G$21/$G$17</f>
        <v>18.298141112969528</v>
      </c>
      <c r="M8" s="13">
        <f t="shared" si="4"/>
        <v>2</v>
      </c>
      <c r="N8" s="1"/>
    </row>
    <row r="9" spans="1:14" s="18" customFormat="1" x14ac:dyDescent="0.25">
      <c r="A9" s="19"/>
      <c r="B9" s="19"/>
      <c r="C9" s="43"/>
      <c r="D9" s="20"/>
      <c r="E9" s="46" t="s">
        <v>20</v>
      </c>
      <c r="F9" s="16" t="s">
        <v>35</v>
      </c>
      <c r="G9" s="14">
        <v>1</v>
      </c>
      <c r="H9" s="14">
        <v>2</v>
      </c>
      <c r="I9" s="14">
        <v>3</v>
      </c>
      <c r="J9" s="13"/>
      <c r="K9" s="13"/>
      <c r="L9" s="15"/>
      <c r="M9" s="13"/>
      <c r="N9" s="1"/>
    </row>
    <row r="10" spans="1:14" s="18" customFormat="1" ht="24" x14ac:dyDescent="0.25">
      <c r="A10" s="19"/>
      <c r="B10" s="19"/>
      <c r="C10" s="43"/>
      <c r="D10" s="20"/>
      <c r="E10" s="46" t="s">
        <v>23</v>
      </c>
      <c r="F10" s="51" t="s">
        <v>30</v>
      </c>
      <c r="G10" s="14">
        <f>SUM(G4:G9)*0.25</f>
        <v>4</v>
      </c>
      <c r="H10" s="14">
        <f t="shared" ref="H10:I10" si="5">SUM(H4:H9)*0.25</f>
        <v>8</v>
      </c>
      <c r="I10" s="14">
        <f t="shared" si="5"/>
        <v>14.75</v>
      </c>
      <c r="J10" s="13">
        <f t="shared" si="0"/>
        <v>8.4583333333333339</v>
      </c>
      <c r="K10" s="13">
        <f>J10/$G$18</f>
        <v>11.277777777777779</v>
      </c>
      <c r="L10" s="15">
        <f>J10*$G$21/$G$17</f>
        <v>12.897648076155606</v>
      </c>
      <c r="M10" s="13">
        <f t="shared" ref="M10:M13" si="6">(I10-G10)/6</f>
        <v>1.7916666666666667</v>
      </c>
      <c r="N10" s="1"/>
    </row>
    <row r="11" spans="1:14" s="18" customFormat="1" x14ac:dyDescent="0.25">
      <c r="A11" s="19"/>
      <c r="B11" s="19"/>
      <c r="C11" s="43"/>
      <c r="D11" s="20"/>
      <c r="E11" s="46" t="s">
        <v>14</v>
      </c>
      <c r="F11" s="51" t="s">
        <v>14</v>
      </c>
      <c r="G11" s="14">
        <f>SUM(G4:G9)*0.25</f>
        <v>4</v>
      </c>
      <c r="H11" s="14">
        <f t="shared" ref="H11:I11" si="7">SUM(H4:H9)*0.25</f>
        <v>8</v>
      </c>
      <c r="I11" s="14">
        <f t="shared" si="7"/>
        <v>14.75</v>
      </c>
      <c r="J11" s="13">
        <f t="shared" si="0"/>
        <v>8.4583333333333339</v>
      </c>
      <c r="K11" s="13">
        <f>J11/$G$18</f>
        <v>11.277777777777779</v>
      </c>
      <c r="L11" s="15">
        <f>J11*$G$21/$G$17</f>
        <v>12.897648076155606</v>
      </c>
      <c r="M11" s="13">
        <f t="shared" si="6"/>
        <v>1.7916666666666667</v>
      </c>
      <c r="N11" s="1"/>
    </row>
    <row r="12" spans="1:14" s="18" customFormat="1" ht="24" x14ac:dyDescent="0.25">
      <c r="A12" s="19"/>
      <c r="B12" s="19"/>
      <c r="C12" s="43"/>
      <c r="D12" s="20"/>
      <c r="E12" s="46" t="s">
        <v>24</v>
      </c>
      <c r="F12" s="16" t="s">
        <v>26</v>
      </c>
      <c r="G12" s="14">
        <v>6</v>
      </c>
      <c r="H12" s="14">
        <v>12</v>
      </c>
      <c r="I12" s="14">
        <v>18</v>
      </c>
      <c r="J12" s="13">
        <f t="shared" si="0"/>
        <v>12</v>
      </c>
      <c r="K12" s="13">
        <f>J12/$G$18</f>
        <v>16</v>
      </c>
      <c r="L12" s="15">
        <f>J12*$G$21/$G$17</f>
        <v>18.298141112969528</v>
      </c>
      <c r="M12" s="13">
        <f t="shared" si="6"/>
        <v>2</v>
      </c>
      <c r="N12" s="1"/>
    </row>
    <row r="13" spans="1:14" s="18" customFormat="1" x14ac:dyDescent="0.25">
      <c r="A13" s="19"/>
      <c r="B13" s="19"/>
      <c r="C13" s="50"/>
      <c r="D13" s="48"/>
      <c r="E13" s="46" t="s">
        <v>21</v>
      </c>
      <c r="F13" s="51" t="s">
        <v>27</v>
      </c>
      <c r="G13" s="14">
        <v>1</v>
      </c>
      <c r="H13" s="14">
        <v>1</v>
      </c>
      <c r="I13" s="14">
        <v>1</v>
      </c>
      <c r="J13" s="13">
        <f t="shared" si="0"/>
        <v>1</v>
      </c>
      <c r="K13" s="13">
        <f>J13/$G$18</f>
        <v>1.3333333333333333</v>
      </c>
      <c r="L13" s="15">
        <f>J13*$G$21/$G$17</f>
        <v>1.5248450927474606</v>
      </c>
      <c r="M13" s="13">
        <f t="shared" si="6"/>
        <v>0</v>
      </c>
      <c r="N13" s="1"/>
    </row>
    <row r="16" spans="1:14" x14ac:dyDescent="0.25">
      <c r="F16" s="26" t="s">
        <v>6</v>
      </c>
      <c r="G16" s="27">
        <f>SUM(G2:G13)</f>
        <v>32</v>
      </c>
      <c r="H16" s="27">
        <f>SUM(H2:H13)</f>
        <v>63</v>
      </c>
      <c r="I16" s="27">
        <f>SUM(I2:I13)</f>
        <v>109.5</v>
      </c>
      <c r="M16" s="32">
        <f>SQRT(SUMSQ(M2:M13))</f>
        <v>4.709992333091189</v>
      </c>
    </row>
    <row r="17" spans="1:14" x14ac:dyDescent="0.25">
      <c r="F17" s="26" t="s">
        <v>13</v>
      </c>
      <c r="G17" s="27">
        <f>(G16+4*H16+I16)/6</f>
        <v>65.583333333333329</v>
      </c>
      <c r="H17" s="28"/>
      <c r="I17" s="27"/>
      <c r="M17" s="32">
        <f>2*M16/G18</f>
        <v>12.559979554909837</v>
      </c>
    </row>
    <row r="18" spans="1:14" x14ac:dyDescent="0.25">
      <c r="F18" s="26" t="s">
        <v>5</v>
      </c>
      <c r="G18" s="29">
        <v>0.75</v>
      </c>
      <c r="H18" s="28"/>
      <c r="I18" s="27"/>
      <c r="M18" s="33">
        <f>M17/G21</f>
        <v>0.12559423926076446</v>
      </c>
    </row>
    <row r="19" spans="1:14" x14ac:dyDescent="0.25">
      <c r="A19" s="12"/>
      <c r="B19" s="12"/>
      <c r="C19" s="45"/>
      <c r="D19" s="12"/>
      <c r="E19" s="38"/>
      <c r="F19" s="26" t="s">
        <v>3</v>
      </c>
      <c r="G19" s="27">
        <f>G16/G18</f>
        <v>42.666666666666664</v>
      </c>
      <c r="H19" s="28">
        <f>H16/G18</f>
        <v>84</v>
      </c>
      <c r="I19" s="27">
        <f>I16/G18</f>
        <v>146</v>
      </c>
      <c r="M19" s="32"/>
    </row>
    <row r="20" spans="1:14" x14ac:dyDescent="0.25">
      <c r="A20" s="12"/>
      <c r="B20" s="12"/>
      <c r="C20" s="45"/>
      <c r="D20" s="12"/>
      <c r="E20" s="38"/>
      <c r="F20" s="30" t="s">
        <v>12</v>
      </c>
      <c r="G20" s="27">
        <f>(G19+4*H19+I19)/6</f>
        <v>87.444444444444457</v>
      </c>
      <c r="H20" s="28"/>
      <c r="I20" s="27"/>
      <c r="M20" s="32"/>
    </row>
    <row r="21" spans="1:14" x14ac:dyDescent="0.25">
      <c r="A21" s="12"/>
      <c r="B21" s="12"/>
      <c r="C21" s="45"/>
      <c r="D21" s="12"/>
      <c r="E21" s="38"/>
      <c r="F21" s="31" t="s">
        <v>11</v>
      </c>
      <c r="G21" s="27">
        <f>G20+M16*2/G18</f>
        <v>100.00442399935429</v>
      </c>
      <c r="H21" s="28"/>
      <c r="I21" s="27"/>
      <c r="M21" s="3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МОНИТОРИНГ-40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2014-04-08T09:53:42Z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