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75" yWindow="180" windowWidth="24240" windowHeight="13560" tabRatio="704"/>
  </bookViews>
  <sheets>
    <sheet name="ИТОГО" sheetId="21" r:id="rId1"/>
    <sheet name="САЙТ-310 Коллекция" sheetId="19" r:id="rId2"/>
    <sheet name="САЙТ-310 Лояльность" sheetId="20" r:id="rId3"/>
    <sheet name="Допущения" sheetId="22" r:id="rId4"/>
  </sheets>
  <definedNames>
    <definedName name="apf">#REF!</definedName>
    <definedName name="oth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21" l="1"/>
  <c r="B3" i="21"/>
  <c r="B2" i="21"/>
  <c r="H7" i="20"/>
  <c r="I7" i="20"/>
  <c r="G7" i="20"/>
  <c r="H6" i="20"/>
  <c r="I6" i="20"/>
  <c r="G6" i="20"/>
  <c r="J4" i="20"/>
  <c r="K4" i="20" s="1"/>
  <c r="M4" i="20"/>
  <c r="J5" i="20"/>
  <c r="M5" i="20"/>
  <c r="K5" i="20" l="1"/>
  <c r="H8" i="19"/>
  <c r="I8" i="19"/>
  <c r="G8" i="19"/>
  <c r="K7" i="20" l="1"/>
  <c r="M7" i="20"/>
  <c r="M8" i="20"/>
  <c r="K8" i="20"/>
  <c r="J8" i="20"/>
  <c r="M3" i="20"/>
  <c r="J3" i="20"/>
  <c r="K3" i="20" s="1"/>
  <c r="G11" i="20" l="1"/>
  <c r="G14" i="20" s="1"/>
  <c r="H11" i="20"/>
  <c r="H14" i="20" s="1"/>
  <c r="I11" i="20"/>
  <c r="I14" i="20" s="1"/>
  <c r="J7" i="20"/>
  <c r="M6" i="20"/>
  <c r="M11" i="20" s="1"/>
  <c r="M12" i="20" s="1"/>
  <c r="J6" i="20"/>
  <c r="K6" i="20"/>
  <c r="J10" i="19"/>
  <c r="K10" i="19"/>
  <c r="M10" i="19"/>
  <c r="J11" i="19"/>
  <c r="K11" i="19"/>
  <c r="M11" i="19"/>
  <c r="J12" i="19"/>
  <c r="K12" i="19"/>
  <c r="M12" i="19"/>
  <c r="J13" i="19"/>
  <c r="K13" i="19"/>
  <c r="M13" i="19"/>
  <c r="G15" i="20" l="1"/>
  <c r="G16" i="20" s="1"/>
  <c r="G12" i="20"/>
  <c r="H9" i="19"/>
  <c r="I9" i="19"/>
  <c r="G9" i="19"/>
  <c r="L4" i="20" l="1"/>
  <c r="L5" i="20"/>
  <c r="L8" i="20"/>
  <c r="L3" i="20"/>
  <c r="L7" i="20"/>
  <c r="L6" i="20"/>
  <c r="M13" i="20"/>
  <c r="J5" i="19"/>
  <c r="K5" i="19"/>
  <c r="M5" i="19"/>
  <c r="J6" i="19"/>
  <c r="K6" i="19"/>
  <c r="M6" i="19"/>
  <c r="C2" i="20" l="1"/>
  <c r="M4" i="19" l="1"/>
  <c r="K4" i="19"/>
  <c r="J4" i="19"/>
  <c r="K9" i="19"/>
  <c r="J9" i="19"/>
  <c r="K8" i="19"/>
  <c r="J8" i="19"/>
  <c r="M8" i="19" l="1"/>
  <c r="M9" i="19"/>
  <c r="I16" i="19"/>
  <c r="I19" i="19" s="1"/>
  <c r="G16" i="19"/>
  <c r="G19" i="19" s="1"/>
  <c r="H16" i="19"/>
  <c r="H19" i="19" s="1"/>
  <c r="M3" i="19"/>
  <c r="M7" i="19"/>
  <c r="J7" i="19"/>
  <c r="K7" i="19"/>
  <c r="J3" i="19"/>
  <c r="K3" i="19" s="1"/>
  <c r="M16" i="19" l="1"/>
  <c r="M17" i="19" s="1"/>
  <c r="G17" i="19"/>
  <c r="G20" i="19"/>
  <c r="G21" i="19" l="1"/>
  <c r="L11" i="19" l="1"/>
  <c r="L10" i="19"/>
  <c r="L13" i="19"/>
  <c r="L12" i="19"/>
  <c r="L6" i="19"/>
  <c r="L5" i="19"/>
  <c r="L4" i="19"/>
  <c r="L7" i="19"/>
  <c r="L8" i="19"/>
  <c r="L9" i="19"/>
  <c r="L3" i="19"/>
  <c r="M18" i="19"/>
  <c r="C2" i="19" l="1"/>
</calcChain>
</file>

<file path=xl/comments1.xml><?xml version="1.0" encoding="utf-8"?>
<comments xmlns="http://schemas.openxmlformats.org/spreadsheetml/2006/main">
  <authors>
    <author>Автор</author>
  </authors>
  <commentList>
    <comment ref="F18" author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F13" author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<sst xmlns="http://schemas.openxmlformats.org/spreadsheetml/2006/main" count="89" uniqueCount="58">
  <si>
    <t>Пессемистическая</t>
  </si>
  <si>
    <t>Оптмистическая</t>
  </si>
  <si>
    <t>Наиболее вероятная</t>
  </si>
  <si>
    <t>С поправкой на фокус фактор</t>
  </si>
  <si>
    <t>Комментарии, принятые допущения и ограничения</t>
  </si>
  <si>
    <t>Принятый фокус фактор</t>
  </si>
  <si>
    <t>Сумма идеальных трудозатрат</t>
  </si>
  <si>
    <t>Ожидаемое время</t>
  </si>
  <si>
    <t>С фокус фактором</t>
  </si>
  <si>
    <t>Оценка трудозатрат для КП</t>
  </si>
  <si>
    <t>σ</t>
  </si>
  <si>
    <t>Финальная оценка для компреда</t>
  </si>
  <si>
    <t>PERT с фокус фактором</t>
  </si>
  <si>
    <t>PERT идеальных трудозатрат</t>
  </si>
  <si>
    <t>Стабилизация</t>
  </si>
  <si>
    <t>Фича</t>
  </si>
  <si>
    <t>Итого,ч.</t>
  </si>
  <si>
    <t>Задача
Jira</t>
  </si>
  <si>
    <t>Статус
вып-я</t>
  </si>
  <si>
    <t>Задача</t>
  </si>
  <si>
    <t>Фронт</t>
  </si>
  <si>
    <t>Бэк</t>
  </si>
  <si>
    <t>Компонент
(тип работ)</t>
  </si>
  <si>
    <t>Проектирование и постановка задач</t>
  </si>
  <si>
    <t>Тестирвание</t>
  </si>
  <si>
    <t>Тестирвание (на обоих окружениях)</t>
  </si>
  <si>
    <t>Менеджмент</t>
  </si>
  <si>
    <t>Аналитика</t>
  </si>
  <si>
    <t>Архитектура</t>
  </si>
  <si>
    <t>Управление проектом (менеджмент + тех. руководство проектом)</t>
  </si>
  <si>
    <t>Деплой (на обоих окружениях)</t>
  </si>
  <si>
    <t>Приемка</t>
  </si>
  <si>
    <t>Типизация выписки (с добавлением поля PayLoad в Процессинг)
Вариант без костылей. Информацию о типах начислений сохраняем в процессинг</t>
  </si>
  <si>
    <t>1. Придумать и описать формат хранения метаданных
2. Постановка задач</t>
  </si>
  <si>
    <t>Доработка раздела Выписка</t>
  </si>
  <si>
    <t>1. Вёрстка
2. Подсветка акционных начислений
3. Отображения картинок-информеров
4. Интеграция с процессингом (получить метаданные и извлечь данные о типе начисления)</t>
  </si>
  <si>
    <t>Доработка Коннектора к Банку</t>
  </si>
  <si>
    <t>1. Сохранять в процессинг информацию о начислениях
2. Интеграция с процессингом (упаковать в метаданные информацию о типе начисления и передать в процессинг)</t>
  </si>
  <si>
    <t>Реализация справочника картинок-информеров</t>
  </si>
  <si>
    <t>Обновление процессинга на продакшн окружении</t>
  </si>
  <si>
    <t>Релиз доработки и процессинга должен быть синхронным</t>
  </si>
  <si>
    <t>САЙТ-310 Типизация начислений в выписке</t>
  </si>
  <si>
    <r>
      <t xml:space="preserve">Аналитика 
</t>
    </r>
    <r>
      <rPr>
        <sz val="8"/>
        <color theme="1"/>
        <rFont val="Arial"/>
        <family val="2"/>
        <charset val="204"/>
      </rPr>
      <t>- предварительное согласование требований,
- написание спецификации,
- обновление спецификации после окончания работ.</t>
    </r>
  </si>
  <si>
    <t>Тестирование (на обоих окружениях)</t>
  </si>
  <si>
    <t>Аналитическая поддержка (при возникновении вопросов в ходе разработки - решение их с заказчиком, ответы на вопросы заказчика по функционалу)</t>
  </si>
  <si>
    <t>Уже потрачено ок. 16 часов</t>
  </si>
  <si>
    <t>Типизация выписки (с добавлением поля PayLoad в Процессинг)
Вариант без "костылей". Информацию о типах начислений сохраняем в процессинг.</t>
  </si>
  <si>
    <t>Добавить поле PayLoad в метод пакетного начисления</t>
  </si>
  <si>
    <t>Процессинг</t>
  </si>
  <si>
    <t>Добавить поле PayLoad в историю операций</t>
  </si>
  <si>
    <t>Обновить существующие транзакции</t>
  </si>
  <si>
    <t>Прописать всем начислениям «дефольтный» PayLoad</t>
  </si>
  <si>
    <t>Доработки в системе "Коллекция"</t>
  </si>
  <si>
    <t xml:space="preserve">Доработки в процессинге </t>
  </si>
  <si>
    <t>ИТОГО, ч.:</t>
  </si>
  <si>
    <t>Допущения и ограничения</t>
  </si>
  <si>
    <t>1.1. Для всех начислений, загруженных до доработки, считаем Type равный 1.
1.2. Оценка не учитывает заполнение справочника картинок-информеров.
1.3. Формат хранения метаданных не описан ни в одном документе, т.к. пока он является деталями реализации, и нет документа, в котором мы могли бы его описать.
1.4. Должен быть согласован совместный релиз Процессинга и Сайта</t>
  </si>
  <si>
    <t>1. Инфраструктура хранения спаврочника
1.1. Справочник храним в базе Content
1.2. Поля таблицы справочника:
- описание
- ссылка на картинку
- хэш описания (будет использоваться для сравнения)
1.3. Картинки храним на сайте в папочке Content/pics/mypoints/*
2. Сервис для получения картинок по описаниям (батчевый)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</si>
</sst>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8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70C0"/>
      <name val="Arial"/>
      <family val="2"/>
      <charset val="204"/>
    </font>
    <font>
      <b/>
      <sz val="10"/>
      <color rgb="FF0070C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7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top" wrapText="1"/>
    </xf>
    <xf numFmtId="1" fontId="8" fillId="3" borderId="3" xfId="0" applyNumberFormat="1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vertical="top" wrapText="1"/>
    </xf>
    <xf numFmtId="1" fontId="6" fillId="3" borderId="1" xfId="0" applyNumberFormat="1" applyFont="1" applyFill="1" applyBorder="1" applyAlignment="1">
      <alignment horizontal="center" vertical="top" wrapText="1"/>
    </xf>
    <xf numFmtId="0" fontId="11" fillId="0" borderId="0" xfId="0" applyFont="1" applyAlignment="1">
      <alignment vertical="top" wrapText="1"/>
    </xf>
    <xf numFmtId="1" fontId="6" fillId="0" borderId="1" xfId="0" applyNumberFormat="1" applyFont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1" fillId="3" borderId="1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center" wrapText="1"/>
    </xf>
    <xf numFmtId="1" fontId="6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0" fontId="9" fillId="0" borderId="0" xfId="0" applyFont="1" applyFill="1" applyBorder="1" applyAlignment="1">
      <alignment horizontal="right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2" fontId="6" fillId="0" borderId="0" xfId="0" applyNumberFormat="1" applyFont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0" fontId="12" fillId="4" borderId="1" xfId="231" applyFont="1" applyFill="1" applyBorder="1" applyAlignment="1">
      <alignment horizontal="center" vertical="top" wrapText="1"/>
    </xf>
    <xf numFmtId="1" fontId="8" fillId="4" borderId="1" xfId="0" applyNumberFormat="1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1" fontId="8" fillId="2" borderId="3" xfId="0" applyNumberFormat="1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vertical="top" wrapText="1"/>
    </xf>
    <xf numFmtId="1" fontId="8" fillId="0" borderId="0" xfId="0" applyNumberFormat="1" applyFont="1" applyAlignment="1">
      <alignment horizontal="center" vertical="top" wrapText="1"/>
    </xf>
    <xf numFmtId="1" fontId="11" fillId="0" borderId="0" xfId="0" applyNumberFormat="1" applyFont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9" fillId="0" borderId="4" xfId="0" applyFont="1" applyFill="1" applyBorder="1" applyAlignment="1">
      <alignment vertical="top" wrapText="1"/>
    </xf>
    <xf numFmtId="0" fontId="9" fillId="0" borderId="5" xfId="0" applyFont="1" applyFill="1" applyBorder="1" applyAlignment="1">
      <alignment vertical="top" wrapText="1"/>
    </xf>
    <xf numFmtId="1" fontId="8" fillId="0" borderId="4" xfId="0" applyNumberFormat="1" applyFont="1" applyFill="1" applyBorder="1" applyAlignment="1">
      <alignment vertical="top" wrapText="1"/>
    </xf>
    <xf numFmtId="1" fontId="8" fillId="0" borderId="5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0" applyFont="1" applyBorder="1"/>
    <xf numFmtId="0" fontId="16" fillId="0" borderId="1" xfId="0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1" fontId="18" fillId="0" borderId="1" xfId="0" applyNumberFormat="1" applyFont="1" applyBorder="1" applyAlignment="1">
      <alignment horizontal="center"/>
    </xf>
    <xf numFmtId="0" fontId="1" fillId="0" borderId="0" xfId="0" applyFont="1"/>
    <xf numFmtId="0" fontId="15" fillId="5" borderId="1" xfId="0" applyFont="1" applyFill="1" applyBorder="1"/>
    <xf numFmtId="0" fontId="1" fillId="0" borderId="1" xfId="0" applyFont="1" applyBorder="1" applyAlignment="1">
      <alignment wrapText="1"/>
    </xf>
    <xf numFmtId="0" fontId="15" fillId="5" borderId="1" xfId="0" applyFont="1" applyFill="1" applyBorder="1" applyAlignment="1">
      <alignment horizontal="left"/>
    </xf>
  </cellXfs>
  <cellStyles count="2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</cellStyles>
  <dxfs count="0"/>
  <tableStyles count="0" defaultTableStyle="TableStyleMedium9" defaultPivotStyle="PivotStyleLight16"/>
  <colors>
    <mruColors>
      <color rgb="FFFFFF99"/>
      <color rgb="FFFF7C8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2" sqref="G12"/>
    </sheetView>
  </sheetViews>
  <sheetFormatPr defaultRowHeight="12.75" x14ac:dyDescent="0.2"/>
  <cols>
    <col min="1" max="1" width="41.28515625" style="53" customWidth="1"/>
    <col min="2" max="2" width="12.5703125" style="53" customWidth="1"/>
    <col min="3" max="16384" width="9.140625" style="53"/>
  </cols>
  <sheetData>
    <row r="1" spans="1:2" x14ac:dyDescent="0.2">
      <c r="A1" s="61" t="s">
        <v>41</v>
      </c>
      <c r="B1" s="61"/>
    </row>
    <row r="2" spans="1:2" x14ac:dyDescent="0.2">
      <c r="A2" s="54" t="s">
        <v>52</v>
      </c>
      <c r="B2" s="56">
        <f>'САЙТ-310 Коллекция'!G21</f>
        <v>128.70936958820417</v>
      </c>
    </row>
    <row r="3" spans="1:2" x14ac:dyDescent="0.2">
      <c r="A3" s="54" t="s">
        <v>53</v>
      </c>
      <c r="B3" s="56">
        <f>'САЙТ-310 Лояльность'!G16</f>
        <v>118.1227078708739</v>
      </c>
    </row>
    <row r="4" spans="1:2" x14ac:dyDescent="0.2">
      <c r="A4" s="55" t="s">
        <v>54</v>
      </c>
      <c r="B4" s="57">
        <f>SUM(B2:B3)</f>
        <v>246.83207745907805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9"/>
  <sheetViews>
    <sheetView workbookViewId="0">
      <pane ySplit="1" topLeftCell="A2" activePane="bottomLeft" state="frozen"/>
      <selection activeCell="C1" sqref="C1"/>
      <selection pane="bottomLeft" activeCell="D19" sqref="D19"/>
    </sheetView>
  </sheetViews>
  <sheetFormatPr defaultColWidth="8.85546875" defaultRowHeight="12" x14ac:dyDescent="0.25"/>
  <cols>
    <col min="1" max="1" width="12.28515625" style="21" hidden="1" customWidth="1"/>
    <col min="2" max="2" width="7.140625" style="21" hidden="1" customWidth="1"/>
    <col min="3" max="3" width="7.42578125" style="44" bestFit="1" customWidth="1"/>
    <col min="4" max="4" width="26" style="22" bestFit="1" customWidth="1"/>
    <col min="5" max="5" width="12.85546875" style="7" bestFit="1" customWidth="1"/>
    <col min="6" max="6" width="45.28515625" style="23" customWidth="1"/>
    <col min="7" max="7" width="7.85546875" style="24" customWidth="1"/>
    <col min="8" max="8" width="10" style="24" customWidth="1"/>
    <col min="9" max="9" width="9.42578125" style="24" customWidth="1"/>
    <col min="10" max="10" width="9" style="24" customWidth="1"/>
    <col min="11" max="11" width="9.28515625" style="24" bestFit="1" customWidth="1"/>
    <col min="12" max="12" width="11.42578125" style="25" bestFit="1" customWidth="1"/>
    <col min="13" max="13" width="8" style="24" customWidth="1"/>
    <col min="14" max="14" width="102.28515625" style="41" customWidth="1"/>
    <col min="15" max="16384" width="8.85546875" style="12"/>
  </cols>
  <sheetData>
    <row r="1" spans="1:14" s="7" customFormat="1" ht="36" x14ac:dyDescent="0.25">
      <c r="A1" s="2" t="s">
        <v>17</v>
      </c>
      <c r="B1" s="2" t="s">
        <v>18</v>
      </c>
      <c r="C1" s="42" t="s">
        <v>16</v>
      </c>
      <c r="D1" s="3" t="s">
        <v>15</v>
      </c>
      <c r="E1" s="3" t="s">
        <v>22</v>
      </c>
      <c r="F1" s="4" t="s">
        <v>19</v>
      </c>
      <c r="G1" s="5" t="s">
        <v>1</v>
      </c>
      <c r="H1" s="5" t="s">
        <v>2</v>
      </c>
      <c r="I1" s="5" t="s">
        <v>0</v>
      </c>
      <c r="J1" s="5" t="s">
        <v>7</v>
      </c>
      <c r="K1" s="5" t="s">
        <v>8</v>
      </c>
      <c r="L1" s="6" t="s">
        <v>9</v>
      </c>
      <c r="M1" s="5" t="s">
        <v>10</v>
      </c>
      <c r="N1" s="39" t="s">
        <v>4</v>
      </c>
    </row>
    <row r="2" spans="1:14" s="18" customFormat="1" ht="24" x14ac:dyDescent="0.25">
      <c r="A2" s="34"/>
      <c r="B2" s="35"/>
      <c r="C2" s="9">
        <f>SUM(L3:L13)</f>
        <v>128.70936958820414</v>
      </c>
      <c r="D2" s="10" t="s">
        <v>41</v>
      </c>
      <c r="E2" s="36"/>
      <c r="F2" s="17"/>
      <c r="G2" s="11"/>
      <c r="H2" s="11"/>
      <c r="I2" s="11"/>
      <c r="J2" s="11"/>
      <c r="K2" s="11"/>
      <c r="L2" s="8"/>
      <c r="M2" s="11"/>
      <c r="N2" s="40" t="s">
        <v>46</v>
      </c>
    </row>
    <row r="3" spans="1:14" s="18" customFormat="1" ht="45.75" x14ac:dyDescent="0.25">
      <c r="A3" s="19"/>
      <c r="B3" s="19"/>
      <c r="C3" s="49"/>
      <c r="D3" s="47"/>
      <c r="E3" s="37" t="s">
        <v>27</v>
      </c>
      <c r="F3" s="16" t="s">
        <v>42</v>
      </c>
      <c r="G3" s="14">
        <v>16</v>
      </c>
      <c r="H3" s="14">
        <v>18</v>
      </c>
      <c r="I3" s="14">
        <v>22</v>
      </c>
      <c r="J3" s="13">
        <f>(G3+4*H3+I3)/6</f>
        <v>18.333333333333332</v>
      </c>
      <c r="K3" s="13">
        <f>J3/$G$18</f>
        <v>26.960784313725487</v>
      </c>
      <c r="L3" s="15">
        <f t="shared" ref="L3:L11" si="0">J3*$G$21/$G$17</f>
        <v>30.252202253637726</v>
      </c>
      <c r="M3" s="13">
        <f>(I3-G3)/6</f>
        <v>1</v>
      </c>
      <c r="N3" s="1" t="s">
        <v>45</v>
      </c>
    </row>
    <row r="4" spans="1:14" s="18" customFormat="1" ht="22.5" x14ac:dyDescent="0.25">
      <c r="A4" s="19"/>
      <c r="B4" s="19"/>
      <c r="C4" s="43"/>
      <c r="D4" s="20"/>
      <c r="E4" s="46" t="s">
        <v>28</v>
      </c>
      <c r="F4" s="16" t="s">
        <v>23</v>
      </c>
      <c r="G4" s="14">
        <v>2</v>
      </c>
      <c r="H4" s="14">
        <v>3</v>
      </c>
      <c r="I4" s="14">
        <v>5</v>
      </c>
      <c r="J4" s="13">
        <f>(G4+4*H4+I4)/6</f>
        <v>3.1666666666666665</v>
      </c>
      <c r="K4" s="13">
        <f t="shared" ref="K4:K11" si="1">I4/$G$18</f>
        <v>7.3529411764705879</v>
      </c>
      <c r="L4" s="15">
        <f t="shared" si="0"/>
        <v>5.2253803892646991</v>
      </c>
      <c r="M4" s="13">
        <f>(I4-G4)/6</f>
        <v>0.5</v>
      </c>
      <c r="N4" s="52" t="s">
        <v>33</v>
      </c>
    </row>
    <row r="5" spans="1:14" s="18" customFormat="1" ht="45" x14ac:dyDescent="0.25">
      <c r="A5" s="19"/>
      <c r="B5" s="19"/>
      <c r="C5" s="43"/>
      <c r="D5" s="20"/>
      <c r="E5" s="46" t="s">
        <v>20</v>
      </c>
      <c r="F5" s="16" t="s">
        <v>34</v>
      </c>
      <c r="G5" s="14">
        <v>5</v>
      </c>
      <c r="H5" s="14">
        <v>9</v>
      </c>
      <c r="I5" s="14">
        <v>20</v>
      </c>
      <c r="J5" s="13">
        <f t="shared" ref="J5:J6" si="2">(G5+4*H5+I5)/6</f>
        <v>10.166666666666666</v>
      </c>
      <c r="K5" s="13">
        <f t="shared" si="1"/>
        <v>29.411764705882351</v>
      </c>
      <c r="L5" s="15">
        <f t="shared" si="0"/>
        <v>16.776221249744559</v>
      </c>
      <c r="M5" s="13">
        <f t="shared" ref="M5:M6" si="3">(I5-G5)/6</f>
        <v>2.5</v>
      </c>
      <c r="N5" s="1" t="s">
        <v>35</v>
      </c>
    </row>
    <row r="6" spans="1:14" s="18" customFormat="1" ht="22.5" x14ac:dyDescent="0.25">
      <c r="A6" s="19"/>
      <c r="B6" s="19"/>
      <c r="C6" s="43"/>
      <c r="D6" s="20"/>
      <c r="E6" s="37" t="s">
        <v>21</v>
      </c>
      <c r="F6" s="16" t="s">
        <v>36</v>
      </c>
      <c r="G6" s="14">
        <v>4</v>
      </c>
      <c r="H6" s="14">
        <v>8</v>
      </c>
      <c r="I6" s="14">
        <v>16</v>
      </c>
      <c r="J6" s="13">
        <f t="shared" si="2"/>
        <v>8.6666666666666661</v>
      </c>
      <c r="K6" s="13">
        <f t="shared" si="1"/>
        <v>23.52941176470588</v>
      </c>
      <c r="L6" s="15">
        <f t="shared" si="0"/>
        <v>14.301041065356017</v>
      </c>
      <c r="M6" s="13">
        <f t="shared" si="3"/>
        <v>2</v>
      </c>
      <c r="N6" s="1" t="s">
        <v>37</v>
      </c>
    </row>
    <row r="7" spans="1:14" s="18" customFormat="1" ht="90" x14ac:dyDescent="0.25">
      <c r="A7" s="19"/>
      <c r="B7" s="19"/>
      <c r="C7" s="43"/>
      <c r="D7" s="20"/>
      <c r="E7" s="37" t="s">
        <v>21</v>
      </c>
      <c r="F7" s="16" t="s">
        <v>38</v>
      </c>
      <c r="G7" s="14">
        <v>3</v>
      </c>
      <c r="H7" s="14">
        <v>6</v>
      </c>
      <c r="I7" s="14">
        <v>10</v>
      </c>
      <c r="J7" s="13">
        <f t="shared" ref="J7" si="4">(G7+4*H7+I7)/6</f>
        <v>6.166666666666667</v>
      </c>
      <c r="K7" s="13">
        <f t="shared" si="1"/>
        <v>14.705882352941176</v>
      </c>
      <c r="L7" s="15">
        <f t="shared" si="0"/>
        <v>10.175740758041783</v>
      </c>
      <c r="M7" s="13">
        <f t="shared" ref="M7" si="5">(I7-G7)/6</f>
        <v>1.1666666666666667</v>
      </c>
      <c r="N7" s="1" t="s">
        <v>57</v>
      </c>
    </row>
    <row r="8" spans="1:14" s="18" customFormat="1" x14ac:dyDescent="0.25">
      <c r="A8" s="19"/>
      <c r="B8" s="19"/>
      <c r="C8" s="43"/>
      <c r="D8" s="20"/>
      <c r="E8" s="46" t="s">
        <v>24</v>
      </c>
      <c r="F8" s="51" t="s">
        <v>43</v>
      </c>
      <c r="G8" s="14">
        <f>SUM(G5:G7)*0.3</f>
        <v>3.5999999999999996</v>
      </c>
      <c r="H8" s="14">
        <f t="shared" ref="H8:I8" si="6">SUM(H5:H7)*0.3</f>
        <v>6.8999999999999995</v>
      </c>
      <c r="I8" s="14">
        <f t="shared" si="6"/>
        <v>13.799999999999999</v>
      </c>
      <c r="J8" s="13">
        <f t="shared" ref="J8:J9" si="7">(G8+4*H8+I8)/6</f>
        <v>7.4999999999999991</v>
      </c>
      <c r="K8" s="13">
        <f t="shared" si="1"/>
        <v>20.294117647058819</v>
      </c>
      <c r="L8" s="15">
        <f t="shared" si="0"/>
        <v>12.375900921942707</v>
      </c>
      <c r="M8" s="13">
        <f t="shared" ref="M8:M9" si="8">(I8-G8)/6</f>
        <v>1.7</v>
      </c>
      <c r="N8" s="1"/>
    </row>
    <row r="9" spans="1:14" s="18" customFormat="1" x14ac:dyDescent="0.25">
      <c r="A9" s="19"/>
      <c r="B9" s="19"/>
      <c r="C9" s="43"/>
      <c r="D9" s="20"/>
      <c r="E9" s="46" t="s">
        <v>14</v>
      </c>
      <c r="F9" s="51" t="s">
        <v>14</v>
      </c>
      <c r="G9" s="14">
        <f>SUM(G5:G7)*0.3</f>
        <v>3.5999999999999996</v>
      </c>
      <c r="H9" s="14">
        <f>SUM(H5:H7)*0.3</f>
        <v>6.8999999999999995</v>
      </c>
      <c r="I9" s="14">
        <f>SUM(I5:I7)*0.3</f>
        <v>13.799999999999999</v>
      </c>
      <c r="J9" s="13">
        <f t="shared" si="7"/>
        <v>7.4999999999999991</v>
      </c>
      <c r="K9" s="13">
        <f t="shared" si="1"/>
        <v>20.294117647058819</v>
      </c>
      <c r="L9" s="15">
        <f t="shared" si="0"/>
        <v>12.375900921942707</v>
      </c>
      <c r="M9" s="13">
        <f t="shared" si="8"/>
        <v>1.7</v>
      </c>
      <c r="N9" s="1"/>
    </row>
    <row r="10" spans="1:14" s="18" customFormat="1" ht="48" x14ac:dyDescent="0.25">
      <c r="A10" s="19"/>
      <c r="B10" s="19"/>
      <c r="C10" s="43"/>
      <c r="D10" s="20"/>
      <c r="E10" s="46" t="s">
        <v>27</v>
      </c>
      <c r="F10" s="51" t="s">
        <v>44</v>
      </c>
      <c r="G10" s="14">
        <v>2</v>
      </c>
      <c r="H10" s="14">
        <v>4</v>
      </c>
      <c r="I10" s="14">
        <v>6</v>
      </c>
      <c r="J10" s="13">
        <f t="shared" ref="J10:J11" si="9">(G10+4*H10+I10)/6</f>
        <v>4</v>
      </c>
      <c r="K10" s="13">
        <f t="shared" si="1"/>
        <v>8.8235294117647047</v>
      </c>
      <c r="L10" s="15">
        <f t="shared" si="0"/>
        <v>6.6004804917027782</v>
      </c>
      <c r="M10" s="13">
        <f t="shared" ref="M10:M11" si="10">(I10-G10)/6</f>
        <v>0.66666666666666663</v>
      </c>
      <c r="N10" s="1"/>
    </row>
    <row r="11" spans="1:14" s="18" customFormat="1" ht="24" x14ac:dyDescent="0.25">
      <c r="A11" s="19"/>
      <c r="B11" s="19"/>
      <c r="C11" s="43"/>
      <c r="D11" s="20"/>
      <c r="E11" s="46" t="s">
        <v>26</v>
      </c>
      <c r="F11" s="16" t="s">
        <v>29</v>
      </c>
      <c r="G11" s="14">
        <v>4</v>
      </c>
      <c r="H11" s="14">
        <v>8</v>
      </c>
      <c r="I11" s="14">
        <v>15</v>
      </c>
      <c r="J11" s="13">
        <f t="shared" si="9"/>
        <v>8.5</v>
      </c>
      <c r="K11" s="13">
        <f t="shared" si="1"/>
        <v>22.058823529411764</v>
      </c>
      <c r="L11" s="15">
        <f t="shared" si="0"/>
        <v>14.026021044868402</v>
      </c>
      <c r="M11" s="13">
        <f t="shared" si="10"/>
        <v>1.8333333333333333</v>
      </c>
      <c r="N11" s="1"/>
    </row>
    <row r="12" spans="1:14" s="18" customFormat="1" x14ac:dyDescent="0.25">
      <c r="A12" s="19"/>
      <c r="B12" s="19"/>
      <c r="C12" s="43"/>
      <c r="D12" s="20"/>
      <c r="E12" s="46"/>
      <c r="F12" s="16" t="s">
        <v>31</v>
      </c>
      <c r="G12" s="14">
        <v>1</v>
      </c>
      <c r="H12" s="14">
        <v>2</v>
      </c>
      <c r="I12" s="14">
        <v>3</v>
      </c>
      <c r="J12" s="13">
        <f t="shared" ref="J12:J13" si="11">(G12+4*H12+I12)/6</f>
        <v>2</v>
      </c>
      <c r="K12" s="13">
        <f t="shared" ref="K12:K13" si="12">I12/$G$18</f>
        <v>4.4117647058823524</v>
      </c>
      <c r="L12" s="15">
        <f t="shared" ref="L12:L13" si="13">J12*$G$21/$G$17</f>
        <v>3.3002402458513891</v>
      </c>
      <c r="M12" s="13">
        <f t="shared" ref="M12:M13" si="14">(I12-G12)/6</f>
        <v>0.33333333333333331</v>
      </c>
      <c r="N12" s="1"/>
    </row>
    <row r="13" spans="1:14" s="18" customFormat="1" x14ac:dyDescent="0.25">
      <c r="A13" s="19"/>
      <c r="B13" s="19"/>
      <c r="C13" s="50"/>
      <c r="D13" s="48"/>
      <c r="E13" s="46"/>
      <c r="F13" s="51" t="s">
        <v>30</v>
      </c>
      <c r="G13" s="14">
        <v>1</v>
      </c>
      <c r="H13" s="14">
        <v>2</v>
      </c>
      <c r="I13" s="14">
        <v>3</v>
      </c>
      <c r="J13" s="13">
        <f t="shared" si="11"/>
        <v>2</v>
      </c>
      <c r="K13" s="13">
        <f t="shared" si="12"/>
        <v>4.4117647058823524</v>
      </c>
      <c r="L13" s="15">
        <f t="shared" si="13"/>
        <v>3.3002402458513891</v>
      </c>
      <c r="M13" s="13">
        <f t="shared" si="14"/>
        <v>0.33333333333333331</v>
      </c>
      <c r="N13" s="1"/>
    </row>
    <row r="16" spans="1:14" x14ac:dyDescent="0.25">
      <c r="F16" s="26" t="s">
        <v>6</v>
      </c>
      <c r="G16" s="27">
        <f>SUM(G2:G13)</f>
        <v>45.2</v>
      </c>
      <c r="H16" s="27">
        <f>SUM(H2:H13)</f>
        <v>73.8</v>
      </c>
      <c r="I16" s="27">
        <f>SUM(I2:I13)</f>
        <v>127.6</v>
      </c>
      <c r="M16" s="32">
        <f>SQRT(SUMSQ(M2:M13))</f>
        <v>4.7611856599894198</v>
      </c>
    </row>
    <row r="17" spans="1:14" x14ac:dyDescent="0.25">
      <c r="F17" s="26" t="s">
        <v>13</v>
      </c>
      <c r="G17" s="27">
        <f>(G16+4*H16+I16)/6</f>
        <v>78</v>
      </c>
      <c r="H17" s="28"/>
      <c r="I17" s="27"/>
      <c r="M17" s="32">
        <f>2*M16/G18</f>
        <v>14.003487235262998</v>
      </c>
    </row>
    <row r="18" spans="1:14" x14ac:dyDescent="0.25">
      <c r="F18" s="26" t="s">
        <v>5</v>
      </c>
      <c r="G18" s="29">
        <v>0.68</v>
      </c>
      <c r="H18" s="28"/>
      <c r="I18" s="27"/>
      <c r="M18" s="33">
        <f>M17/G21</f>
        <v>0.10879928384441699</v>
      </c>
    </row>
    <row r="19" spans="1:14" x14ac:dyDescent="0.25">
      <c r="A19" s="12"/>
      <c r="B19" s="12"/>
      <c r="C19" s="45"/>
      <c r="D19" s="12"/>
      <c r="E19" s="38"/>
      <c r="F19" s="26" t="s">
        <v>3</v>
      </c>
      <c r="G19" s="27">
        <f>G16/G18</f>
        <v>66.470588235294116</v>
      </c>
      <c r="H19" s="28">
        <f>H16/G18</f>
        <v>108.52941176470587</v>
      </c>
      <c r="I19" s="27">
        <f>I16/G18</f>
        <v>187.64705882352939</v>
      </c>
      <c r="M19" s="32"/>
    </row>
    <row r="20" spans="1:14" x14ac:dyDescent="0.25">
      <c r="A20" s="12"/>
      <c r="B20" s="12"/>
      <c r="C20" s="45"/>
      <c r="D20" s="12"/>
      <c r="E20" s="38"/>
      <c r="F20" s="30" t="s">
        <v>12</v>
      </c>
      <c r="G20" s="27">
        <f>(G19+4*H19+I19)/6</f>
        <v>114.70588235294116</v>
      </c>
      <c r="H20" s="28"/>
      <c r="I20" s="27"/>
      <c r="M20" s="32"/>
    </row>
    <row r="21" spans="1:14" x14ac:dyDescent="0.25">
      <c r="A21" s="12"/>
      <c r="B21" s="12"/>
      <c r="C21" s="45"/>
      <c r="D21" s="12"/>
      <c r="E21" s="38"/>
      <c r="F21" s="31" t="s">
        <v>11</v>
      </c>
      <c r="G21" s="27">
        <f>G20+M16*2/G18</f>
        <v>128.70936958820417</v>
      </c>
      <c r="H21" s="28"/>
      <c r="I21" s="27"/>
      <c r="M21" s="32"/>
      <c r="N21" s="12"/>
    </row>
    <row r="22" spans="1:14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70" spans="1:14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5" spans="1:14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7" spans="1:14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4"/>
  <sheetViews>
    <sheetView topLeftCell="C1" workbookViewId="0">
      <selection activeCell="F23" sqref="F23"/>
    </sheetView>
  </sheetViews>
  <sheetFormatPr defaultColWidth="8.85546875" defaultRowHeight="12" x14ac:dyDescent="0.25"/>
  <cols>
    <col min="1" max="1" width="12.28515625" style="21" hidden="1" customWidth="1"/>
    <col min="2" max="2" width="7.140625" style="21" hidden="1" customWidth="1"/>
    <col min="3" max="3" width="7.42578125" style="44" bestFit="1" customWidth="1"/>
    <col min="4" max="4" width="26" style="22" bestFit="1" customWidth="1"/>
    <col min="5" max="5" width="12.85546875" style="7" bestFit="1" customWidth="1"/>
    <col min="6" max="6" width="45.28515625" style="23" customWidth="1"/>
    <col min="7" max="7" width="7.85546875" style="24" customWidth="1"/>
    <col min="8" max="8" width="10" style="24" customWidth="1"/>
    <col min="9" max="9" width="9.42578125" style="24" customWidth="1"/>
    <col min="10" max="10" width="9" style="24" customWidth="1"/>
    <col min="11" max="11" width="9.28515625" style="24" bestFit="1" customWidth="1"/>
    <col min="12" max="12" width="11.42578125" style="25" bestFit="1" customWidth="1"/>
    <col min="13" max="13" width="8" style="24" customWidth="1"/>
    <col min="14" max="14" width="102.28515625" style="41" customWidth="1"/>
    <col min="15" max="16384" width="8.85546875" style="12"/>
  </cols>
  <sheetData>
    <row r="1" spans="1:14" s="7" customFormat="1" ht="36" x14ac:dyDescent="0.25">
      <c r="A1" s="2" t="s">
        <v>17</v>
      </c>
      <c r="B1" s="2" t="s">
        <v>18</v>
      </c>
      <c r="C1" s="42" t="s">
        <v>16</v>
      </c>
      <c r="D1" s="3" t="s">
        <v>15</v>
      </c>
      <c r="E1" s="3" t="s">
        <v>22</v>
      </c>
      <c r="F1" s="4" t="s">
        <v>19</v>
      </c>
      <c r="G1" s="5" t="s">
        <v>1</v>
      </c>
      <c r="H1" s="5" t="s">
        <v>2</v>
      </c>
      <c r="I1" s="5" t="s">
        <v>0</v>
      </c>
      <c r="J1" s="5" t="s">
        <v>7</v>
      </c>
      <c r="K1" s="5" t="s">
        <v>8</v>
      </c>
      <c r="L1" s="6" t="s">
        <v>9</v>
      </c>
      <c r="M1" s="5" t="s">
        <v>10</v>
      </c>
      <c r="N1" s="39" t="s">
        <v>4</v>
      </c>
    </row>
    <row r="2" spans="1:14" s="18" customFormat="1" ht="24" x14ac:dyDescent="0.25">
      <c r="A2" s="34"/>
      <c r="B2" s="35"/>
      <c r="C2" s="9">
        <f>SUM(L3:L8)</f>
        <v>118.1227078708739</v>
      </c>
      <c r="D2" s="10" t="s">
        <v>41</v>
      </c>
      <c r="E2" s="36"/>
      <c r="F2" s="17"/>
      <c r="G2" s="11"/>
      <c r="H2" s="11"/>
      <c r="I2" s="11"/>
      <c r="J2" s="11"/>
      <c r="K2" s="11"/>
      <c r="L2" s="8"/>
      <c r="M2" s="11"/>
      <c r="N2" s="40" t="s">
        <v>32</v>
      </c>
    </row>
    <row r="3" spans="1:14" s="18" customFormat="1" ht="24" x14ac:dyDescent="0.25">
      <c r="A3" s="19"/>
      <c r="B3" s="19"/>
      <c r="C3" s="49"/>
      <c r="D3" s="47"/>
      <c r="E3" s="46" t="s">
        <v>48</v>
      </c>
      <c r="F3" s="16" t="s">
        <v>47</v>
      </c>
      <c r="G3" s="14">
        <v>16</v>
      </c>
      <c r="H3" s="14">
        <v>24</v>
      </c>
      <c r="I3" s="14">
        <v>32</v>
      </c>
      <c r="J3" s="13">
        <f>(G3+4*H3+I3)/6</f>
        <v>24</v>
      </c>
      <c r="K3" s="13">
        <f>J3/$G$13</f>
        <v>35.294117647058819</v>
      </c>
      <c r="L3" s="15">
        <f t="shared" ref="L3:L8" si="0">J3*$G$16/$G$12</f>
        <v>40.211985658169837</v>
      </c>
      <c r="M3" s="13">
        <f>(I3-G3)/6</f>
        <v>2.6666666666666665</v>
      </c>
      <c r="N3" s="1"/>
    </row>
    <row r="4" spans="1:14" s="18" customFormat="1" x14ac:dyDescent="0.25">
      <c r="A4" s="19"/>
      <c r="B4" s="19"/>
      <c r="C4" s="43"/>
      <c r="D4" s="20"/>
      <c r="E4" s="46" t="s">
        <v>48</v>
      </c>
      <c r="F4" s="16" t="s">
        <v>49</v>
      </c>
      <c r="G4" s="14">
        <v>8</v>
      </c>
      <c r="H4" s="14">
        <v>12</v>
      </c>
      <c r="I4" s="14">
        <v>16</v>
      </c>
      <c r="J4" s="13">
        <f t="shared" ref="J4:J5" si="1">(G4+4*H4+I4)/6</f>
        <v>12</v>
      </c>
      <c r="K4" s="13">
        <f t="shared" ref="K4:K5" si="2">J4/$G$13</f>
        <v>17.647058823529409</v>
      </c>
      <c r="L4" s="15">
        <f t="shared" si="0"/>
        <v>20.105992829084919</v>
      </c>
      <c r="M4" s="13">
        <f t="shared" ref="M4:M5" si="3">(I4-G4)/6</f>
        <v>1.3333333333333333</v>
      </c>
      <c r="N4" s="1"/>
    </row>
    <row r="5" spans="1:14" s="18" customFormat="1" x14ac:dyDescent="0.25">
      <c r="A5" s="19"/>
      <c r="B5" s="19"/>
      <c r="C5" s="43"/>
      <c r="D5" s="20"/>
      <c r="E5" s="46" t="s">
        <v>48</v>
      </c>
      <c r="F5" s="16" t="s">
        <v>50</v>
      </c>
      <c r="G5" s="14">
        <v>2</v>
      </c>
      <c r="H5" s="14">
        <v>4</v>
      </c>
      <c r="I5" s="14">
        <v>8</v>
      </c>
      <c r="J5" s="13">
        <f t="shared" si="1"/>
        <v>4.333333333333333</v>
      </c>
      <c r="K5" s="13">
        <f t="shared" si="2"/>
        <v>6.3725490196078418</v>
      </c>
      <c r="L5" s="15">
        <f t="shared" si="0"/>
        <v>7.2604974105028868</v>
      </c>
      <c r="M5" s="13">
        <f t="shared" si="3"/>
        <v>1</v>
      </c>
      <c r="N5" s="1" t="s">
        <v>51</v>
      </c>
    </row>
    <row r="6" spans="1:14" s="18" customFormat="1" x14ac:dyDescent="0.25">
      <c r="A6" s="19"/>
      <c r="B6" s="19"/>
      <c r="C6" s="43"/>
      <c r="D6" s="20"/>
      <c r="E6" s="46" t="s">
        <v>24</v>
      </c>
      <c r="F6" s="51" t="s">
        <v>25</v>
      </c>
      <c r="G6" s="14">
        <f>SUM(G3:G5)*0.25</f>
        <v>6.5</v>
      </c>
      <c r="H6" s="14">
        <f>SUM(H3:H5)*0.25</f>
        <v>10</v>
      </c>
      <c r="I6" s="14">
        <f>SUM(I3:I5)*0.25</f>
        <v>14</v>
      </c>
      <c r="J6" s="13">
        <f t="shared" ref="J6:J7" si="4">(G6+4*H6+I6)/6</f>
        <v>10.083333333333334</v>
      </c>
      <c r="K6" s="13">
        <f>I6/$G$13</f>
        <v>20.588235294117645</v>
      </c>
      <c r="L6" s="15">
        <f t="shared" si="0"/>
        <v>16.89461897443941</v>
      </c>
      <c r="M6" s="13">
        <f t="shared" ref="M6:M7" si="5">(I6-G6)/6</f>
        <v>1.25</v>
      </c>
      <c r="N6" s="1"/>
    </row>
    <row r="7" spans="1:14" s="18" customFormat="1" x14ac:dyDescent="0.25">
      <c r="A7" s="19"/>
      <c r="B7" s="19"/>
      <c r="C7" s="43"/>
      <c r="D7" s="20"/>
      <c r="E7" s="46" t="s">
        <v>14</v>
      </c>
      <c r="F7" s="51" t="s">
        <v>14</v>
      </c>
      <c r="G7" s="14">
        <f>SUM(G3:G5)*0.25</f>
        <v>6.5</v>
      </c>
      <c r="H7" s="14">
        <f>SUM(H3:H5)*0.25</f>
        <v>10</v>
      </c>
      <c r="I7" s="14">
        <f>SUM(I3:I5)*0.25</f>
        <v>14</v>
      </c>
      <c r="J7" s="13">
        <f t="shared" si="4"/>
        <v>10.083333333333334</v>
      </c>
      <c r="K7" s="13">
        <f>I7/$G$13</f>
        <v>20.588235294117645</v>
      </c>
      <c r="L7" s="15">
        <f t="shared" si="0"/>
        <v>16.89461897443941</v>
      </c>
      <c r="M7" s="13">
        <f t="shared" si="5"/>
        <v>1.25</v>
      </c>
      <c r="N7" s="1"/>
    </row>
    <row r="8" spans="1:14" s="18" customFormat="1" x14ac:dyDescent="0.25">
      <c r="A8" s="19"/>
      <c r="B8" s="19"/>
      <c r="C8" s="50"/>
      <c r="D8" s="48"/>
      <c r="E8" s="46" t="s">
        <v>48</v>
      </c>
      <c r="F8" s="16" t="s">
        <v>39</v>
      </c>
      <c r="G8" s="14">
        <v>4</v>
      </c>
      <c r="H8" s="14">
        <v>8</v>
      </c>
      <c r="I8" s="14">
        <v>24</v>
      </c>
      <c r="J8" s="13">
        <f>(G8+4*H8+I8)/6</f>
        <v>10</v>
      </c>
      <c r="K8" s="13">
        <f>I8/$G$13</f>
        <v>35.294117647058819</v>
      </c>
      <c r="L8" s="15">
        <f t="shared" si="0"/>
        <v>16.75499402423743</v>
      </c>
      <c r="M8" s="13">
        <f>(I8-G8)/6</f>
        <v>3.3333333333333335</v>
      </c>
      <c r="N8" s="1" t="s">
        <v>40</v>
      </c>
    </row>
    <row r="11" spans="1:14" x14ac:dyDescent="0.25">
      <c r="F11" s="26" t="s">
        <v>6</v>
      </c>
      <c r="G11" s="27">
        <f>SUM(G2:G8)</f>
        <v>43</v>
      </c>
      <c r="H11" s="27">
        <f>SUM(H2:H8)</f>
        <v>68</v>
      </c>
      <c r="I11" s="27">
        <f>SUM(I2:I8)</f>
        <v>108</v>
      </c>
      <c r="M11" s="32">
        <f>SQRT(SUMSQ(M2:M8))</f>
        <v>4.9117206760971248</v>
      </c>
    </row>
    <row r="12" spans="1:14" x14ac:dyDescent="0.25">
      <c r="F12" s="26" t="s">
        <v>13</v>
      </c>
      <c r="G12" s="27">
        <f>(G11+4*H11+I11)/6</f>
        <v>70.5</v>
      </c>
      <c r="H12" s="28"/>
      <c r="I12" s="27"/>
      <c r="M12" s="32">
        <f>2*M11/G13</f>
        <v>14.446237282638601</v>
      </c>
    </row>
    <row r="13" spans="1:14" x14ac:dyDescent="0.25">
      <c r="F13" s="26" t="s">
        <v>5</v>
      </c>
      <c r="G13" s="29">
        <v>0.68</v>
      </c>
      <c r="H13" s="28"/>
      <c r="I13" s="27"/>
      <c r="M13" s="33">
        <f>M12/G16</f>
        <v>0.12229856175012968</v>
      </c>
    </row>
    <row r="14" spans="1:14" x14ac:dyDescent="0.25">
      <c r="A14" s="12"/>
      <c r="B14" s="12"/>
      <c r="C14" s="45"/>
      <c r="D14" s="12"/>
      <c r="E14" s="38"/>
      <c r="F14" s="26" t="s">
        <v>3</v>
      </c>
      <c r="G14" s="27">
        <f>G11/G13</f>
        <v>63.235294117647051</v>
      </c>
      <c r="H14" s="28">
        <f>H11/G13</f>
        <v>99.999999999999986</v>
      </c>
      <c r="I14" s="27">
        <f>I11/G13</f>
        <v>158.8235294117647</v>
      </c>
      <c r="M14" s="32"/>
    </row>
    <row r="15" spans="1:14" x14ac:dyDescent="0.25">
      <c r="A15" s="12"/>
      <c r="B15" s="12"/>
      <c r="C15" s="45"/>
      <c r="D15" s="12"/>
      <c r="E15" s="38"/>
      <c r="F15" s="30" t="s">
        <v>12</v>
      </c>
      <c r="G15" s="27">
        <f>(G14+4*H14+I14)/6</f>
        <v>103.67647058823529</v>
      </c>
      <c r="H15" s="28"/>
      <c r="I15" s="27"/>
      <c r="M15" s="32"/>
    </row>
    <row r="16" spans="1:14" x14ac:dyDescent="0.25">
      <c r="A16" s="12"/>
      <c r="B16" s="12"/>
      <c r="C16" s="45"/>
      <c r="D16" s="12"/>
      <c r="E16" s="38"/>
      <c r="F16" s="31" t="s">
        <v>11</v>
      </c>
      <c r="G16" s="27">
        <f>G15+M11*2/G13</f>
        <v>118.1227078708739</v>
      </c>
      <c r="H16" s="28"/>
      <c r="I16" s="27"/>
      <c r="M16" s="32"/>
      <c r="N16" s="12"/>
    </row>
    <row r="17" spans="1:14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5" spans="1:14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80" spans="1:14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2" spans="1:14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2.75" x14ac:dyDescent="0.2"/>
  <cols>
    <col min="1" max="1" width="81.85546875" style="58" customWidth="1"/>
    <col min="2" max="16384" width="9.140625" style="58"/>
  </cols>
  <sheetData>
    <row r="1" spans="1:1" x14ac:dyDescent="0.2">
      <c r="A1" s="59" t="s">
        <v>55</v>
      </c>
    </row>
    <row r="2" spans="1:1" ht="63.75" x14ac:dyDescent="0.2">
      <c r="A2" s="60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85DE1AA-8A51-4E1D-817E-88E3F1D77B6A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ИТОГО</vt:lpstr>
      <vt:lpstr>САЙТ-310 Коллекция</vt:lpstr>
      <vt:lpstr>САЙТ-310 Лояльность</vt:lpstr>
      <vt:lpstr>Допущения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