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0" windowHeight="1185" tabRatio="989" activeTab="8"/>
  </bookViews>
  <sheets>
    <sheet name="general" sheetId="1" r:id="rId1"/>
    <sheet name="stoic" sheetId="2" r:id="rId2"/>
    <sheet name="rxns" sheetId="4" r:id="rId3"/>
    <sheet name="mets" sheetId="3" r:id="rId4"/>
    <sheet name="splitRatios" sheetId="5" r:id="rId5"/>
    <sheet name="poolConst" sheetId="6" r:id="rId6"/>
    <sheet name="thermo_ineq_constraints" sheetId="7" r:id="rId7"/>
    <sheet name="thermoRxns" sheetId="8" r:id="rId8"/>
    <sheet name="thermoMets" sheetId="9" r:id="rId9"/>
    <sheet name="measRates" sheetId="10" r:id="rId10"/>
    <sheet name="protData" sheetId="11" r:id="rId11"/>
    <sheet name="metsData" sheetId="12" r:id="rId12"/>
    <sheet name="kinetics1" sheetId="13" r:id="rId13"/>
    <sheet name="Total carbon calculation" sheetId="14" r:id="rId14"/>
  </sheets>
  <externalReferences>
    <externalReference r:id="rId15"/>
  </externalReferences>
  <calcPr calcId="125725" iterateDelta="1E-4"/>
</workbook>
</file>

<file path=xl/calcChain.xml><?xml version="1.0" encoding="utf-8"?>
<calcChain xmlns="http://schemas.openxmlformats.org/spreadsheetml/2006/main">
  <c r="C4" i="10"/>
  <c r="B4"/>
  <c r="C24" i="9" l="1"/>
  <c r="B21"/>
  <c r="C20"/>
  <c r="B20"/>
  <c r="C15"/>
  <c r="B15"/>
  <c r="C13"/>
  <c r="B13"/>
  <c r="C12"/>
  <c r="B12"/>
  <c r="C7"/>
  <c r="B7"/>
  <c r="C6"/>
  <c r="B6"/>
  <c r="C5"/>
  <c r="B5"/>
  <c r="C3"/>
  <c r="B3"/>
  <c r="C2"/>
  <c r="B2"/>
  <c r="C23"/>
  <c r="B23"/>
  <c r="B24" l="1"/>
  <c r="B8" i="8"/>
  <c r="B16" i="14" l="1"/>
  <c r="C16"/>
  <c r="O7"/>
  <c r="N7"/>
  <c r="Q7"/>
  <c r="M7"/>
  <c r="L9" s="1"/>
  <c r="G7"/>
  <c r="B11" s="1"/>
  <c r="B9"/>
  <c r="E7"/>
  <c r="D7"/>
  <c r="C7"/>
  <c r="L11" l="1"/>
  <c r="L10"/>
  <c r="B10"/>
  <c r="B12" s="1"/>
  <c r="B13" s="1"/>
  <c r="L12" l="1"/>
  <c r="L13" s="1"/>
</calcChain>
</file>

<file path=xl/sharedStrings.xml><?xml version="1.0" encoding="utf-8"?>
<sst xmlns="http://schemas.openxmlformats.org/spreadsheetml/2006/main" count="435" uniqueCount="195">
  <si>
    <t>General Reaction and Sampling Platform (GRASP)</t>
  </si>
  <si>
    <t>Model name</t>
  </si>
  <si>
    <t>Sampling mode (ORACLE, rejection, rejectionSMC, SMC, MCMC-SMC)</t>
  </si>
  <si>
    <t>NLP solver (NLOPT, OPTI, FMINCON (default))</t>
  </si>
  <si>
    <t>Number of exp. conditions (excluding reference state)</t>
  </si>
  <si>
    <t>Number of model structures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</si>
  <si>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</si>
  <si>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</si>
  <si>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</si>
  <si>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</si>
  <si>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</si>
  <si>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Final tolerance (in the case of ORACLE, set to 1)</t>
  </si>
  <si>
    <t>rxn ID</t>
  </si>
  <si>
    <t>co2</t>
  </si>
  <si>
    <t>nadph</t>
  </si>
  <si>
    <t>nadp</t>
  </si>
  <si>
    <t>h</t>
  </si>
  <si>
    <t>ppi</t>
  </si>
  <si>
    <t>atp</t>
  </si>
  <si>
    <t>adp</t>
  </si>
  <si>
    <t>ID</t>
  </si>
  <si>
    <t>balanced?</t>
  </si>
  <si>
    <t>active?</t>
  </si>
  <si>
    <t>proton</t>
  </si>
  <si>
    <t>reaction name</t>
  </si>
  <si>
    <t>modelled?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</si>
  <si>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</si>
  <si>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</si>
  <si>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</si>
  <si>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</si>
  <si>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</si>
  <si>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</si>
  <si>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</si>
  <si>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</si>
  <si>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</si>
  <si>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enzyme/rxn</t>
  </si>
  <si>
    <t>MBo10_LB2</t>
  </si>
  <si>
    <t>MBo10_meas2</t>
  </si>
  <si>
    <t>MBo10_UB2</t>
  </si>
  <si>
    <t>mets</t>
  </si>
  <si>
    <t>reaction ID</t>
  </si>
  <si>
    <t>kinetic mechanism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</si>
  <si>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</si>
  <si>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</si>
  <si>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</si>
  <si>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</si>
  <si>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</si>
  <si>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</si>
  <si>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</si>
  <si>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</si>
  <si>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massAction</t>
  </si>
  <si>
    <t>fixedExchange</t>
  </si>
  <si>
    <t>phe</t>
  </si>
  <si>
    <t>nh3</t>
  </si>
  <si>
    <t>cinnamate</t>
  </si>
  <si>
    <t>o2</t>
  </si>
  <si>
    <t>h20</t>
  </si>
  <si>
    <t>coumarate</t>
  </si>
  <si>
    <t>coa</t>
  </si>
  <si>
    <t>amp</t>
  </si>
  <si>
    <t>hco3</t>
  </si>
  <si>
    <t>pi</t>
  </si>
  <si>
    <t>chalconar</t>
  </si>
  <si>
    <t>nar</t>
  </si>
  <si>
    <t>chalconar_ex</t>
  </si>
  <si>
    <t>nar_ex</t>
  </si>
  <si>
    <t>pal</t>
  </si>
  <si>
    <t>c4h</t>
  </si>
  <si>
    <t>c4hred</t>
  </si>
  <si>
    <t>fmn</t>
  </si>
  <si>
    <t>fmnh2</t>
  </si>
  <si>
    <t>4cl</t>
  </si>
  <si>
    <t>acc</t>
  </si>
  <si>
    <t>chs</t>
  </si>
  <si>
    <t>chi</t>
  </si>
  <si>
    <t>chalconar_drain</t>
  </si>
  <si>
    <t>nar_drain</t>
  </si>
  <si>
    <t>L-phenylalanine</t>
  </si>
  <si>
    <t>Ammonia</t>
  </si>
  <si>
    <t>Cinnamic acid</t>
  </si>
  <si>
    <t>NADPH</t>
  </si>
  <si>
    <t>Oxygen</t>
  </si>
  <si>
    <t>Water</t>
  </si>
  <si>
    <t>Coumaric acid</t>
  </si>
  <si>
    <t>ATP</t>
  </si>
  <si>
    <t>Coenzyme A</t>
  </si>
  <si>
    <t>Pyrophospahte</t>
  </si>
  <si>
    <t>AMP</t>
  </si>
  <si>
    <t>Coumaroyl-CoA</t>
  </si>
  <si>
    <t>Acetyl-CoA</t>
  </si>
  <si>
    <t>ADP</t>
  </si>
  <si>
    <t>Malonyl-CoA</t>
  </si>
  <si>
    <t>Phosphate</t>
  </si>
  <si>
    <t>CO2</t>
  </si>
  <si>
    <t>Chalconaringenin</t>
  </si>
  <si>
    <t>Naringenin</t>
  </si>
  <si>
    <t>Extracellular chalconaringenin</t>
  </si>
  <si>
    <t>Extracellular naringenin</t>
  </si>
  <si>
    <t>L-phenylalanine ammonia lyase</t>
  </si>
  <si>
    <t>4-coumarate ligase</t>
  </si>
  <si>
    <t>acetyl-coa carboxylase</t>
  </si>
  <si>
    <t>chalcone synthase</t>
  </si>
  <si>
    <t>chalcone isomerase</t>
  </si>
  <si>
    <t>chalconaringenin exchange</t>
  </si>
  <si>
    <t>naringenin exchange</t>
  </si>
  <si>
    <t>ORACLE</t>
  </si>
  <si>
    <t>p450</t>
  </si>
  <si>
    <t>A-ATP, B-4-coumarate, C-CoA, Q-AMP, R- Ppi, P-coumaroyl-CoA, I1/1- naringenin and naringenin chalcone</t>
  </si>
  <si>
    <t>A-naringenin chalcone, P-naringenin</t>
  </si>
  <si>
    <t>orderedUniUnirandomBiUni_P450_model</t>
  </si>
  <si>
    <t>A-NADPH, B-Cinn, C-O2,P-coum, Q-NADP</t>
  </si>
  <si>
    <t>mal_drain</t>
  </si>
  <si>
    <t>malate biomass demand</t>
  </si>
  <si>
    <t>P450 reductase/Cinnamic acid monooxygenase</t>
  </si>
  <si>
    <t>orderedUniBi_PAL_compet_inhib</t>
  </si>
  <si>
    <t>orderedUniBi|orderedUniBi_PAL_compet_inhib alternative|A-Phe, P-trans-cinnamate, Q-ammonia|phe_c cinnamate_c nh3_c</t>
  </si>
  <si>
    <t>coumaroyl_coa</t>
  </si>
  <si>
    <t>ac_coa</t>
  </si>
  <si>
    <t>mal_coa</t>
  </si>
  <si>
    <t>cinnamate coumarate</t>
  </si>
  <si>
    <t>Ct = CO2aq + H2CO3 + HCO3- + CO32-</t>
  </si>
  <si>
    <t>H2CO3 negligibly small</t>
  </si>
  <si>
    <t>K0 = H2CO3/P(CO2)</t>
  </si>
  <si>
    <t>Where H2CO3 is CO2 aq and H2CO3</t>
  </si>
  <si>
    <t>K1 = H+*CO32-/HCO3-</t>
  </si>
  <si>
    <t>K2 = H+*CO32-/HCO3-</t>
  </si>
  <si>
    <t>Ct = a +b +c</t>
  </si>
  <si>
    <t>a</t>
  </si>
  <si>
    <t>K0</t>
  </si>
  <si>
    <t>PCO2</t>
  </si>
  <si>
    <t>K1</t>
  </si>
  <si>
    <t>K2</t>
  </si>
  <si>
    <t>pH</t>
  </si>
  <si>
    <t>H+</t>
  </si>
  <si>
    <t>Params</t>
  </si>
  <si>
    <t>M/L.atm</t>
  </si>
  <si>
    <t>atm</t>
  </si>
  <si>
    <t>b</t>
  </si>
  <si>
    <t>c</t>
  </si>
  <si>
    <t>Ct</t>
  </si>
  <si>
    <t>M</t>
  </si>
  <si>
    <t>mM</t>
  </si>
  <si>
    <t>Sea water as upper bound</t>
  </si>
  <si>
    <t>Bounds</t>
  </si>
  <si>
    <t>Can have less but not more CO2</t>
  </si>
  <si>
    <t>A-ATP, B-HCO3-, C-A-CoA, P-M-CoA, Q-ADP, R-Ppi</t>
  </si>
  <si>
    <t>http://www-naweb.iaea.org/napc/ih/documents/global_cycle/vol%20I/cht_i_09.pdf</t>
  </si>
  <si>
    <t>A-Coum-CoA, B-Mal-CoA, Q-CoA, R-CO2|Alt - pingPong_CHS for no inhibition| Inhibition is assumed to act before the first reaction has occurred, otherwise it is assumed the enzyme is locked into the catalytic activity. Mechanistically, I assume the inhibitor binds to the lobe which normally would interact with the growing molecule, hence lose of the thiol group is not possible until this is unoccupied. Once occupied, I assume no further inhibition can take place.</t>
  </si>
  <si>
    <t>LP solver (linprog or gurobi)</t>
  </si>
  <si>
    <t>gurobi</t>
  </si>
  <si>
    <t>Number of models</t>
  </si>
  <si>
    <t>Initial tolerance (OPTIONAL)</t>
  </si>
  <si>
    <t>NLOPT</t>
  </si>
  <si>
    <t>transport reaction?</t>
  </si>
  <si>
    <t>isoenzymes</t>
  </si>
  <si>
    <t>metabolite ID</t>
  </si>
  <si>
    <t>metabolite name</t>
  </si>
  <si>
    <t>constant?</t>
  </si>
  <si>
    <t>measured?</t>
  </si>
  <si>
    <t>product order</t>
  </si>
  <si>
    <t>substrate order</t>
  </si>
  <si>
    <t>cinnamate nh3</t>
  </si>
  <si>
    <t>4cl_pin</t>
  </si>
  <si>
    <t>chs_pin</t>
  </si>
  <si>
    <t>chi_pin</t>
  </si>
  <si>
    <t>cinnamoyl-coa</t>
  </si>
  <si>
    <t>chalcopinocembrin</t>
  </si>
  <si>
    <t>pinocembrin</t>
  </si>
  <si>
    <t>pino_ex</t>
  </si>
  <si>
    <t>pino_drain</t>
  </si>
  <si>
    <t>pinocembrin exchange</t>
  </si>
  <si>
    <t>4-coumarate ligase promisc</t>
  </si>
  <si>
    <t>chalcone synthase promisc</t>
  </si>
  <si>
    <t>chalcone isomerase promisc</t>
  </si>
  <si>
    <t>Extracellular pinocembrin</t>
  </si>
  <si>
    <t>pin_ex</t>
  </si>
  <si>
    <t>4cl 4cl_pin</t>
  </si>
  <si>
    <t>chs chs_pin</t>
  </si>
  <si>
    <t>chi chi_pin</t>
  </si>
  <si>
    <t>UniUniPromiscuous</t>
  </si>
  <si>
    <t>chalconar chalcopinocembrin</t>
  </si>
  <si>
    <t>nar pinocembrin</t>
  </si>
  <si>
    <t>nadph cinnamate o2</t>
  </si>
  <si>
    <t>nadp coumarate</t>
  </si>
  <si>
    <t>atp coumarate coa atp cinnamate coa</t>
  </si>
  <si>
    <t>ppi amp coumaroyl_coa ppi amp cinnamoyl_coa</t>
  </si>
  <si>
    <t>mal_coa amp ppi</t>
  </si>
  <si>
    <t>atp ac_coa</t>
  </si>
  <si>
    <t>orderedBiTer</t>
  </si>
  <si>
    <t>coumaroyl_coa mal_coa mal_coa mal_coa cinnamoyl_coa mal_coa mal_coa mal_coa
 mal_coa mal_coa mal_coa  mal_coa</t>
  </si>
  <si>
    <t>coa coa coa coa chalconar coa coa coa coa chalcopinocembrin</t>
  </si>
  <si>
    <t>orderedBiUniUnirandomBipingpong_mixed_inhib_4CL_simplifiedPromisc|orderedBiUniBirandomBipingpong|orderedBiUniUnirandomBipingpong_mixed_inhib_4CL|orderedBiUniUnirandomBipingpong_mixed_inhib_4CL_simplified  as alternative without Naringenin and naringenin chalcone inhibition|coumarate-coa_c atp_c coa_c amp_c ppi_c coumaroyl-coa_c|</t>
  </si>
  <si>
    <t>orderedTerTer_promiscuous</t>
  </si>
  <si>
    <t>orderedQuartPent_promiscuous</t>
  </si>
  <si>
    <t>cinnamoyl_coa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</si>
</sst>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6">
    <xf numFmtId="0" fontId="0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6" applyNumberFormat="0" applyAlignment="0" applyProtection="0"/>
    <xf numFmtId="0" fontId="16" fillId="13" borderId="7" applyNumberFormat="0" applyAlignment="0" applyProtection="0"/>
    <xf numFmtId="0" fontId="17" fillId="13" borderId="6" applyNumberFormat="0" applyAlignment="0" applyProtection="0"/>
    <xf numFmtId="0" fontId="18" fillId="0" borderId="8" applyNumberFormat="0" applyFill="0" applyAlignment="0" applyProtection="0"/>
    <xf numFmtId="0" fontId="19" fillId="14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0" borderId="0"/>
    <xf numFmtId="0" fontId="24" fillId="0" borderId="0"/>
    <xf numFmtId="0" fontId="1" fillId="15" borderId="10" applyNumberFormat="0" applyFont="0" applyAlignment="0" applyProtection="0"/>
    <xf numFmtId="0" fontId="7" fillId="0" borderId="0"/>
    <xf numFmtId="0" fontId="25" fillId="0" borderId="0" applyNumberFormat="0" applyFill="0" applyBorder="0" applyAlignment="0" applyProtection="0"/>
  </cellStyleXfs>
  <cellXfs count="44">
    <xf numFmtId="0" fontId="0" fillId="0" borderId="0" xfId="0"/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right" vertical="center"/>
    </xf>
    <xf numFmtId="1" fontId="3" fillId="4" borderId="0" xfId="0" applyNumberFormat="1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 wrapText="1"/>
    </xf>
    <xf numFmtId="1" fontId="3" fillId="3" borderId="0" xfId="0" applyNumberFormat="1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/>
    </xf>
    <xf numFmtId="164" fontId="3" fillId="3" borderId="0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top"/>
    </xf>
    <xf numFmtId="0" fontId="5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6" fillId="0" borderId="0" xfId="0" applyFont="1" applyBorder="1" applyAlignment="1">
      <alignment horizontal="center" vertical="top"/>
    </xf>
    <xf numFmtId="0" fontId="6" fillId="0" borderId="0" xfId="0" applyFont="1"/>
    <xf numFmtId="0" fontId="0" fillId="0" borderId="0" xfId="0" applyFill="1"/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0" fillId="5" borderId="0" xfId="0" applyFill="1"/>
    <xf numFmtId="0" fontId="0" fillId="6" borderId="0" xfId="0" applyFill="1"/>
    <xf numFmtId="0" fontId="4" fillId="0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0" fillId="7" borderId="0" xfId="0" applyFill="1"/>
    <xf numFmtId="0" fontId="4" fillId="0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top"/>
    </xf>
    <xf numFmtId="0" fontId="0" fillId="8" borderId="0" xfId="0" applyFill="1"/>
    <xf numFmtId="0" fontId="4" fillId="40" borderId="2" xfId="0" applyFont="1" applyFill="1" applyBorder="1" applyAlignment="1">
      <alignment horizontal="center" vertical="top"/>
    </xf>
    <xf numFmtId="0" fontId="4" fillId="0" borderId="1" xfId="44" applyFont="1" applyBorder="1" applyAlignment="1">
      <alignment horizontal="center" vertical="top"/>
    </xf>
    <xf numFmtId="0" fontId="1" fillId="0" borderId="0" xfId="41"/>
    <xf numFmtId="0" fontId="4" fillId="6" borderId="1" xfId="0" applyFont="1" applyFill="1" applyBorder="1" applyAlignment="1">
      <alignment horizontal="center" vertical="top"/>
    </xf>
    <xf numFmtId="0" fontId="25" fillId="0" borderId="0" xfId="45"/>
    <xf numFmtId="0" fontId="0" fillId="8" borderId="0" xfId="0" applyFill="1" applyBorder="1"/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top"/>
    </xf>
    <xf numFmtId="0" fontId="2" fillId="2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4"/>
    <cellStyle name="Note 2" xfId="43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ringenin_basic_final_allosteric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stoic"/>
      <sheetName val="rxns"/>
      <sheetName val="mets"/>
      <sheetName val="splitRatios"/>
      <sheetName val="poolConst"/>
      <sheetName val="thermo_ineq_constraints"/>
      <sheetName val="thermoRxns"/>
      <sheetName val="thermoMets"/>
      <sheetName val="measRates"/>
      <sheetName val="protData"/>
      <sheetName val="metsData"/>
      <sheetName val="kinetics1"/>
      <sheetName val="Total carbon 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6">
          <cell r="B16">
            <v>3.8776056243890001E-5</v>
          </cell>
          <cell r="C16">
            <v>1.6761537486568003E-4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-naweb.iaea.org/napc/ih/documents/global_cycle/vol%20I/cht_i_0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zoomScaleNormal="100" workbookViewId="0">
      <selection sqref="A1:B15"/>
    </sheetView>
  </sheetViews>
  <sheetFormatPr defaultRowHeight="15"/>
  <cols>
    <col min="1" max="1" width="69.42578125"/>
    <col min="2" max="2" width="29.42578125"/>
    <col min="3" max="3" width="8.5703125"/>
    <col min="4" max="4" width="31.5703125" customWidth="1"/>
    <col min="5" max="1025" width="8.5703125"/>
  </cols>
  <sheetData>
    <row r="1" spans="1:5" ht="15.75">
      <c r="A1" s="42" t="s">
        <v>0</v>
      </c>
      <c r="B1" s="42"/>
      <c r="D1" s="34"/>
      <c r="E1" s="35"/>
    </row>
    <row r="2" spans="1:5">
      <c r="A2" s="1" t="s">
        <v>1</v>
      </c>
      <c r="B2" s="2" t="s">
        <v>95</v>
      </c>
      <c r="D2" s="34"/>
      <c r="E2" s="36"/>
    </row>
    <row r="3" spans="1:5">
      <c r="A3" s="3" t="s">
        <v>2</v>
      </c>
      <c r="B3" s="4" t="s">
        <v>105</v>
      </c>
      <c r="D3" s="34"/>
      <c r="E3" s="36"/>
    </row>
    <row r="4" spans="1:5">
      <c r="A4" s="1" t="s">
        <v>3</v>
      </c>
      <c r="B4" s="2" t="s">
        <v>152</v>
      </c>
      <c r="D4" s="34"/>
      <c r="E4" s="37"/>
    </row>
    <row r="5" spans="1:5">
      <c r="A5" s="12" t="s">
        <v>148</v>
      </c>
      <c r="B5" s="38" t="s">
        <v>149</v>
      </c>
      <c r="D5" s="12"/>
    </row>
    <row r="6" spans="1:5">
      <c r="A6" s="3" t="s">
        <v>4</v>
      </c>
      <c r="B6" s="4">
        <v>0</v>
      </c>
      <c r="D6" s="34"/>
      <c r="E6" s="36"/>
    </row>
    <row r="7" spans="1:5">
      <c r="A7" s="1" t="s">
        <v>5</v>
      </c>
      <c r="B7" s="2">
        <v>1</v>
      </c>
      <c r="D7" s="34"/>
      <c r="E7" s="36"/>
    </row>
    <row r="8" spans="1:5">
      <c r="A8" s="3" t="s">
        <v>150</v>
      </c>
      <c r="B8" s="5">
        <v>1000</v>
      </c>
      <c r="D8" s="34"/>
      <c r="E8" s="36"/>
    </row>
    <row r="9" spans="1:5">
      <c r="A9" s="1" t="s">
        <v>6</v>
      </c>
      <c r="B9" s="2">
        <v>0</v>
      </c>
      <c r="D9" s="34"/>
      <c r="E9" s="36"/>
    </row>
    <row r="10" spans="1:5">
      <c r="A10" s="3" t="s">
        <v>7</v>
      </c>
      <c r="B10" s="4">
        <v>4</v>
      </c>
      <c r="D10" s="34"/>
      <c r="E10" s="36"/>
    </row>
    <row r="11" spans="1:5" ht="30">
      <c r="A11" s="6" t="s">
        <v>8</v>
      </c>
      <c r="B11" s="7">
        <v>50</v>
      </c>
      <c r="D11" s="34"/>
      <c r="E11" s="36"/>
    </row>
    <row r="12" spans="1:5">
      <c r="A12" s="3" t="s">
        <v>9</v>
      </c>
      <c r="B12" s="5">
        <v>1</v>
      </c>
      <c r="D12" s="34"/>
      <c r="E12" s="36"/>
    </row>
    <row r="13" spans="1:5" ht="15.75">
      <c r="A13" s="1" t="s">
        <v>10</v>
      </c>
      <c r="B13" s="8">
        <v>1</v>
      </c>
      <c r="D13" s="34"/>
      <c r="E13" s="36"/>
    </row>
    <row r="14" spans="1:5">
      <c r="A14" s="3" t="s">
        <v>151</v>
      </c>
      <c r="B14" s="4">
        <v>0.5</v>
      </c>
      <c r="D14" s="34"/>
      <c r="E14" s="36"/>
    </row>
    <row r="15" spans="1:5">
      <c r="A15" s="1" t="s">
        <v>11</v>
      </c>
      <c r="B15" s="9">
        <v>1</v>
      </c>
      <c r="D15" s="34"/>
      <c r="E15" s="36"/>
    </row>
  </sheetData>
  <mergeCells count="1">
    <mergeCell ref="A1:B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5"/>
  <sheetViews>
    <sheetView zoomScaleNormal="100" workbookViewId="0">
      <selection activeCell="C5" sqref="C5"/>
    </sheetView>
  </sheetViews>
  <sheetFormatPr defaultRowHeight="15"/>
  <cols>
    <col min="1" max="1" width="29.7109375" customWidth="1"/>
    <col min="2" max="2" width="20.28515625" customWidth="1"/>
    <col min="3" max="3" width="19.7109375" customWidth="1"/>
    <col min="4" max="1019" width="8.5703125"/>
  </cols>
  <sheetData>
    <row r="1" spans="1:3">
      <c r="A1" s="10" t="s">
        <v>32</v>
      </c>
      <c r="B1" s="28" t="s">
        <v>33</v>
      </c>
      <c r="C1" s="28" t="s">
        <v>34</v>
      </c>
    </row>
    <row r="2" spans="1:3">
      <c r="A2" s="10" t="s">
        <v>75</v>
      </c>
      <c r="B2" s="29">
        <v>4.6800000000000001E-3</v>
      </c>
      <c r="C2" s="29">
        <v>9.3600000000000009E-4</v>
      </c>
    </row>
    <row r="3" spans="1:3">
      <c r="A3" s="10" t="s">
        <v>76</v>
      </c>
      <c r="B3" s="29">
        <v>2.7440000000000003E-2</v>
      </c>
      <c r="C3" s="29">
        <v>5.4880000000000007E-3</v>
      </c>
    </row>
    <row r="4" spans="1:3">
      <c r="A4" s="21" t="s">
        <v>169</v>
      </c>
      <c r="B4" s="29">
        <f>B3/4</f>
        <v>6.8600000000000006E-3</v>
      </c>
      <c r="C4" s="29">
        <f>C3/4</f>
        <v>1.3720000000000002E-3</v>
      </c>
    </row>
    <row r="5" spans="1:3">
      <c r="A5" s="27" t="s">
        <v>111</v>
      </c>
      <c r="B5" s="29">
        <v>4.3591661900027017</v>
      </c>
      <c r="C5" s="29">
        <v>0.74541741849046184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4"/>
  <sheetViews>
    <sheetView zoomScaleNormal="100" workbookViewId="0">
      <selection activeCell="A13" sqref="A13:XFD13"/>
    </sheetView>
  </sheetViews>
  <sheetFormatPr defaultRowHeight="15"/>
  <cols>
    <col min="1" max="1" width="21.28515625" customWidth="1"/>
    <col min="2" max="2" width="18.5703125" customWidth="1"/>
    <col min="3" max="3" width="17" customWidth="1"/>
    <col min="4" max="4" width="20.7109375" customWidth="1"/>
    <col min="5" max="1025" width="8.5703125"/>
  </cols>
  <sheetData>
    <row r="1" spans="1:4">
      <c r="A1" s="10" t="s">
        <v>35</v>
      </c>
      <c r="B1" s="10" t="s">
        <v>36</v>
      </c>
      <c r="C1" s="10" t="s">
        <v>37</v>
      </c>
      <c r="D1" s="10" t="s">
        <v>38</v>
      </c>
    </row>
    <row r="2" spans="1:4">
      <c r="A2" s="10" t="s">
        <v>66</v>
      </c>
      <c r="B2">
        <v>0.99</v>
      </c>
      <c r="C2">
        <v>1</v>
      </c>
      <c r="D2">
        <v>1.01</v>
      </c>
    </row>
    <row r="3" spans="1:4">
      <c r="A3" s="10" t="s">
        <v>68</v>
      </c>
      <c r="B3">
        <v>0.99</v>
      </c>
      <c r="C3">
        <v>1</v>
      </c>
      <c r="D3">
        <v>1.01</v>
      </c>
    </row>
    <row r="4" spans="1:4">
      <c r="A4" s="10" t="s">
        <v>71</v>
      </c>
      <c r="B4">
        <v>0.99</v>
      </c>
      <c r="C4">
        <v>1</v>
      </c>
      <c r="D4">
        <v>1.01</v>
      </c>
    </row>
    <row r="5" spans="1:4">
      <c r="A5" s="10" t="s">
        <v>72</v>
      </c>
      <c r="B5">
        <v>0.99</v>
      </c>
      <c r="C5">
        <v>1</v>
      </c>
      <c r="D5">
        <v>1.01</v>
      </c>
    </row>
    <row r="6" spans="1:4">
      <c r="A6" s="24" t="s">
        <v>73</v>
      </c>
      <c r="B6">
        <v>0.99</v>
      </c>
      <c r="C6">
        <v>1</v>
      </c>
      <c r="D6">
        <v>1.01</v>
      </c>
    </row>
    <row r="7" spans="1:4">
      <c r="A7" s="24" t="s">
        <v>74</v>
      </c>
      <c r="B7">
        <v>0.99</v>
      </c>
      <c r="C7">
        <v>1</v>
      </c>
      <c r="D7">
        <v>1.01</v>
      </c>
    </row>
    <row r="8" spans="1:4">
      <c r="A8" s="10" t="s">
        <v>162</v>
      </c>
      <c r="B8">
        <v>0.99</v>
      </c>
      <c r="C8">
        <v>1</v>
      </c>
      <c r="D8">
        <v>1.01</v>
      </c>
    </row>
    <row r="9" spans="1:4">
      <c r="A9" s="10" t="s">
        <v>163</v>
      </c>
      <c r="B9">
        <v>0.99</v>
      </c>
      <c r="C9">
        <v>1</v>
      </c>
      <c r="D9">
        <v>1.01</v>
      </c>
    </row>
    <row r="10" spans="1:4">
      <c r="A10" s="10" t="s">
        <v>164</v>
      </c>
      <c r="B10">
        <v>0.99</v>
      </c>
      <c r="C10">
        <v>1</v>
      </c>
      <c r="D10">
        <v>1.01</v>
      </c>
    </row>
    <row r="11" spans="1:4">
      <c r="A11" s="10" t="s">
        <v>75</v>
      </c>
      <c r="B11">
        <v>0.99</v>
      </c>
      <c r="C11">
        <v>1</v>
      </c>
      <c r="D11">
        <v>1.01</v>
      </c>
    </row>
    <row r="12" spans="1:4">
      <c r="A12" s="10" t="s">
        <v>76</v>
      </c>
      <c r="B12">
        <v>0.99</v>
      </c>
      <c r="C12">
        <v>1</v>
      </c>
      <c r="D12">
        <v>1.01</v>
      </c>
    </row>
    <row r="13" spans="1:4">
      <c r="A13" s="10" t="s">
        <v>169</v>
      </c>
      <c r="B13">
        <v>0.99</v>
      </c>
      <c r="C13">
        <v>1</v>
      </c>
      <c r="D13">
        <v>1.01</v>
      </c>
    </row>
    <row r="14" spans="1:4">
      <c r="A14" s="21" t="s">
        <v>111</v>
      </c>
      <c r="B14">
        <v>0.99</v>
      </c>
      <c r="C14">
        <v>1</v>
      </c>
      <c r="D14">
        <v>1.01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8"/>
  <sheetViews>
    <sheetView zoomScaleNormal="100" workbookViewId="0">
      <selection activeCell="A24" sqref="A24"/>
    </sheetView>
  </sheetViews>
  <sheetFormatPr defaultRowHeight="15"/>
  <cols>
    <col min="1" max="1" width="17.5703125" customWidth="1"/>
    <col min="2" max="2" width="12.7109375" customWidth="1"/>
    <col min="3" max="3" width="22.85546875" customWidth="1"/>
    <col min="4" max="4" width="18.5703125" customWidth="1"/>
    <col min="5" max="1024" width="8.5703125"/>
  </cols>
  <sheetData>
    <row r="1" spans="1:4">
      <c r="A1" s="10" t="s">
        <v>39</v>
      </c>
      <c r="B1" s="10" t="s">
        <v>36</v>
      </c>
      <c r="C1" s="10" t="s">
        <v>37</v>
      </c>
      <c r="D1" s="10" t="s">
        <v>38</v>
      </c>
    </row>
    <row r="2" spans="1:4">
      <c r="A2" s="22" t="s">
        <v>52</v>
      </c>
      <c r="B2">
        <v>0.99</v>
      </c>
      <c r="C2">
        <v>1</v>
      </c>
      <c r="D2">
        <v>1.01</v>
      </c>
    </row>
    <row r="3" spans="1:4">
      <c r="A3" s="22" t="s">
        <v>53</v>
      </c>
      <c r="B3">
        <v>0.99</v>
      </c>
      <c r="C3">
        <v>1</v>
      </c>
      <c r="D3">
        <v>1.01</v>
      </c>
    </row>
    <row r="4" spans="1:4">
      <c r="A4" s="22" t="s">
        <v>54</v>
      </c>
      <c r="B4">
        <v>0.99</v>
      </c>
      <c r="C4">
        <v>1</v>
      </c>
      <c r="D4">
        <v>1.01</v>
      </c>
    </row>
    <row r="5" spans="1:4">
      <c r="A5" s="22" t="s">
        <v>14</v>
      </c>
      <c r="B5">
        <v>0.99</v>
      </c>
      <c r="C5">
        <v>1</v>
      </c>
      <c r="D5">
        <v>1.01</v>
      </c>
    </row>
    <row r="6" spans="1:4">
      <c r="A6" s="22" t="s">
        <v>15</v>
      </c>
      <c r="B6">
        <v>0.99</v>
      </c>
      <c r="C6">
        <v>1</v>
      </c>
      <c r="D6">
        <v>1.01</v>
      </c>
    </row>
    <row r="7" spans="1:4">
      <c r="A7" s="10" t="s">
        <v>16</v>
      </c>
      <c r="B7">
        <v>0.99</v>
      </c>
      <c r="C7">
        <v>1</v>
      </c>
      <c r="D7">
        <v>1.01</v>
      </c>
    </row>
    <row r="8" spans="1:4">
      <c r="A8" s="10" t="s">
        <v>55</v>
      </c>
      <c r="B8">
        <v>0.99</v>
      </c>
      <c r="C8">
        <v>1</v>
      </c>
      <c r="D8">
        <v>1.01</v>
      </c>
    </row>
    <row r="9" spans="1:4">
      <c r="A9" s="10" t="s">
        <v>56</v>
      </c>
      <c r="B9">
        <v>0.99</v>
      </c>
      <c r="C9">
        <v>1</v>
      </c>
      <c r="D9">
        <v>1.01</v>
      </c>
    </row>
    <row r="10" spans="1:4">
      <c r="A10" s="22" t="s">
        <v>57</v>
      </c>
      <c r="B10">
        <v>0.99</v>
      </c>
      <c r="C10">
        <v>1</v>
      </c>
      <c r="D10">
        <v>1.01</v>
      </c>
    </row>
    <row r="11" spans="1:4">
      <c r="A11" s="22" t="s">
        <v>18</v>
      </c>
      <c r="B11">
        <v>0.99</v>
      </c>
      <c r="C11">
        <v>1</v>
      </c>
      <c r="D11">
        <v>1.01</v>
      </c>
    </row>
    <row r="12" spans="1:4">
      <c r="A12" s="22" t="s">
        <v>58</v>
      </c>
      <c r="B12">
        <v>0.99</v>
      </c>
      <c r="C12">
        <v>1</v>
      </c>
      <c r="D12">
        <v>1.01</v>
      </c>
    </row>
    <row r="13" spans="1:4">
      <c r="A13" s="10" t="s">
        <v>17</v>
      </c>
      <c r="B13">
        <v>0.99</v>
      </c>
      <c r="C13">
        <v>1</v>
      </c>
      <c r="D13">
        <v>1.01</v>
      </c>
    </row>
    <row r="14" spans="1:4">
      <c r="A14" s="22" t="s">
        <v>59</v>
      </c>
      <c r="B14">
        <v>0.99</v>
      </c>
      <c r="C14">
        <v>1</v>
      </c>
      <c r="D14">
        <v>1.01</v>
      </c>
    </row>
    <row r="15" spans="1:4">
      <c r="A15" s="22" t="s">
        <v>116</v>
      </c>
      <c r="B15">
        <v>0.99</v>
      </c>
      <c r="C15">
        <v>1</v>
      </c>
      <c r="D15">
        <v>1.01</v>
      </c>
    </row>
    <row r="16" spans="1:4">
      <c r="A16" s="22" t="s">
        <v>117</v>
      </c>
      <c r="B16">
        <v>0.99</v>
      </c>
      <c r="C16">
        <v>1</v>
      </c>
      <c r="D16">
        <v>1.01</v>
      </c>
    </row>
    <row r="17" spans="1:4">
      <c r="A17" s="22" t="s">
        <v>19</v>
      </c>
      <c r="B17">
        <v>0.99</v>
      </c>
      <c r="C17">
        <v>1</v>
      </c>
      <c r="D17">
        <v>1.01</v>
      </c>
    </row>
    <row r="18" spans="1:4">
      <c r="A18" s="23" t="s">
        <v>118</v>
      </c>
      <c r="B18">
        <v>0.99</v>
      </c>
      <c r="C18">
        <v>1</v>
      </c>
      <c r="D18">
        <v>1.01</v>
      </c>
    </row>
    <row r="19" spans="1:4">
      <c r="A19" t="s">
        <v>61</v>
      </c>
      <c r="B19">
        <v>0.99</v>
      </c>
      <c r="C19">
        <v>1</v>
      </c>
      <c r="D19">
        <v>1.01</v>
      </c>
    </row>
    <row r="20" spans="1:4">
      <c r="A20" s="19" t="s">
        <v>13</v>
      </c>
      <c r="B20">
        <v>0.99</v>
      </c>
      <c r="C20">
        <v>1</v>
      </c>
      <c r="D20">
        <v>1.01</v>
      </c>
    </row>
    <row r="21" spans="1:4">
      <c r="A21" s="23" t="s">
        <v>62</v>
      </c>
      <c r="B21">
        <v>0.99</v>
      </c>
      <c r="C21">
        <v>1</v>
      </c>
      <c r="D21">
        <v>1.01</v>
      </c>
    </row>
    <row r="22" spans="1:4">
      <c r="A22" s="23" t="s">
        <v>63</v>
      </c>
      <c r="B22">
        <v>0.99</v>
      </c>
      <c r="C22">
        <v>1</v>
      </c>
      <c r="D22">
        <v>1.01</v>
      </c>
    </row>
    <row r="23" spans="1:4">
      <c r="A23" t="s">
        <v>194</v>
      </c>
      <c r="B23">
        <v>0.99</v>
      </c>
      <c r="C23">
        <v>1</v>
      </c>
      <c r="D23">
        <v>1.01</v>
      </c>
    </row>
    <row r="24" spans="1:4">
      <c r="A24" t="s">
        <v>166</v>
      </c>
      <c r="B24">
        <v>0.99</v>
      </c>
      <c r="C24">
        <v>1</v>
      </c>
      <c r="D24">
        <v>1.01</v>
      </c>
    </row>
    <row r="25" spans="1:4">
      <c r="A25" t="s">
        <v>167</v>
      </c>
      <c r="B25">
        <v>0.99</v>
      </c>
      <c r="C25">
        <v>1</v>
      </c>
      <c r="D25">
        <v>1.01</v>
      </c>
    </row>
    <row r="26" spans="1:4">
      <c r="A26" s="23" t="s">
        <v>64</v>
      </c>
      <c r="B26">
        <v>0.99</v>
      </c>
      <c r="C26">
        <v>1</v>
      </c>
      <c r="D26">
        <v>1.01</v>
      </c>
    </row>
    <row r="27" spans="1:4">
      <c r="A27" s="23" t="s">
        <v>65</v>
      </c>
      <c r="B27">
        <v>0.99</v>
      </c>
      <c r="C27">
        <v>1</v>
      </c>
      <c r="D27">
        <v>1.01</v>
      </c>
    </row>
    <row r="28" spans="1:4">
      <c r="A28" t="s">
        <v>168</v>
      </c>
      <c r="B28">
        <v>0.99</v>
      </c>
      <c r="C28">
        <v>1</v>
      </c>
      <c r="D28">
        <v>1.01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20"/>
  <sheetViews>
    <sheetView zoomScaleNormal="100" workbookViewId="0">
      <selection activeCell="E39" sqref="E39"/>
    </sheetView>
  </sheetViews>
  <sheetFormatPr defaultRowHeight="15"/>
  <cols>
    <col min="1" max="1" width="15.140625"/>
    <col min="2" max="2" width="68.5703125" customWidth="1"/>
    <col min="3" max="3" width="47" customWidth="1"/>
    <col min="4" max="4" width="53.42578125" customWidth="1"/>
    <col min="5" max="5" width="21.28515625" customWidth="1"/>
    <col min="6" max="6" width="16.85546875" customWidth="1"/>
    <col min="7" max="7" width="18.5703125" customWidth="1"/>
    <col min="8" max="8" width="16.85546875" customWidth="1"/>
    <col min="9" max="9" width="14.85546875" customWidth="1"/>
    <col min="10" max="1025" width="8.5703125"/>
  </cols>
  <sheetData>
    <row r="1" spans="1:23">
      <c r="A1" s="10" t="s">
        <v>40</v>
      </c>
      <c r="B1" s="10" t="s">
        <v>41</v>
      </c>
      <c r="C1" s="10" t="s">
        <v>160</v>
      </c>
      <c r="D1" s="10" t="s">
        <v>159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25" t="s">
        <v>48</v>
      </c>
      <c r="L1" s="10" t="s">
        <v>49</v>
      </c>
    </row>
    <row r="2" spans="1:23">
      <c r="A2" s="10" t="s">
        <v>66</v>
      </c>
      <c r="B2" t="s">
        <v>114</v>
      </c>
      <c r="C2" t="s">
        <v>52</v>
      </c>
      <c r="D2" t="s">
        <v>161</v>
      </c>
      <c r="F2" t="s">
        <v>119</v>
      </c>
      <c r="J2">
        <v>0</v>
      </c>
      <c r="K2" s="26">
        <v>4</v>
      </c>
      <c r="L2" t="s">
        <v>115</v>
      </c>
      <c r="V2" s="20"/>
      <c r="W2" s="20"/>
    </row>
    <row r="3" spans="1:23">
      <c r="A3" s="10" t="s">
        <v>106</v>
      </c>
      <c r="B3" t="s">
        <v>109</v>
      </c>
      <c r="C3" s="13" t="s">
        <v>182</v>
      </c>
      <c r="D3" s="13" t="s">
        <v>183</v>
      </c>
      <c r="J3">
        <v>0</v>
      </c>
      <c r="K3" s="26">
        <v>2</v>
      </c>
      <c r="L3" t="s">
        <v>110</v>
      </c>
    </row>
    <row r="4" spans="1:23">
      <c r="A4" s="10" t="s">
        <v>71</v>
      </c>
      <c r="B4" t="s">
        <v>192</v>
      </c>
      <c r="C4" s="32" t="s">
        <v>184</v>
      </c>
      <c r="D4" s="32" t="s">
        <v>185</v>
      </c>
      <c r="E4" t="s">
        <v>176</v>
      </c>
      <c r="J4">
        <v>0</v>
      </c>
      <c r="K4" s="26">
        <v>1</v>
      </c>
      <c r="L4" t="s">
        <v>191</v>
      </c>
    </row>
    <row r="5" spans="1:23">
      <c r="A5" s="10" t="s">
        <v>72</v>
      </c>
      <c r="B5" t="s">
        <v>188</v>
      </c>
      <c r="C5" s="13" t="s">
        <v>187</v>
      </c>
      <c r="D5" s="13" t="s">
        <v>186</v>
      </c>
      <c r="J5">
        <v>0</v>
      </c>
      <c r="K5" s="26">
        <v>2</v>
      </c>
      <c r="L5" t="s">
        <v>145</v>
      </c>
      <c r="M5" t="s">
        <v>107</v>
      </c>
    </row>
    <row r="6" spans="1:23" ht="45">
      <c r="A6" s="10" t="s">
        <v>73</v>
      </c>
      <c r="B6" t="s">
        <v>193</v>
      </c>
      <c r="C6" s="43" t="s">
        <v>189</v>
      </c>
      <c r="D6" s="18" t="s">
        <v>190</v>
      </c>
      <c r="E6" t="s">
        <v>177</v>
      </c>
      <c r="J6">
        <v>0</v>
      </c>
      <c r="K6" s="26">
        <v>2</v>
      </c>
      <c r="L6" t="s">
        <v>147</v>
      </c>
    </row>
    <row r="7" spans="1:23">
      <c r="A7" s="10" t="s">
        <v>74</v>
      </c>
      <c r="B7" t="s">
        <v>179</v>
      </c>
      <c r="C7" s="13" t="s">
        <v>180</v>
      </c>
      <c r="D7" s="13" t="s">
        <v>181</v>
      </c>
      <c r="E7" t="s">
        <v>178</v>
      </c>
      <c r="J7">
        <v>0</v>
      </c>
      <c r="K7" s="26">
        <v>1</v>
      </c>
      <c r="L7" t="s">
        <v>108</v>
      </c>
    </row>
    <row r="8" spans="1:23">
      <c r="A8" s="10" t="s">
        <v>162</v>
      </c>
      <c r="B8" t="s">
        <v>192</v>
      </c>
      <c r="C8" s="32" t="s">
        <v>184</v>
      </c>
      <c r="D8" s="32" t="s">
        <v>185</v>
      </c>
      <c r="E8" t="s">
        <v>176</v>
      </c>
      <c r="J8">
        <v>0</v>
      </c>
      <c r="K8" s="26">
        <v>1</v>
      </c>
    </row>
    <row r="9" spans="1:23" ht="45">
      <c r="A9" s="10" t="s">
        <v>163</v>
      </c>
      <c r="B9" t="s">
        <v>193</v>
      </c>
      <c r="C9" s="43" t="s">
        <v>189</v>
      </c>
      <c r="D9" s="18" t="s">
        <v>190</v>
      </c>
      <c r="E9" t="s">
        <v>177</v>
      </c>
      <c r="J9">
        <v>0</v>
      </c>
      <c r="K9" s="26">
        <v>2</v>
      </c>
    </row>
    <row r="10" spans="1:23">
      <c r="A10" s="10" t="s">
        <v>164</v>
      </c>
      <c r="B10" t="s">
        <v>179</v>
      </c>
      <c r="C10" s="13" t="s">
        <v>180</v>
      </c>
      <c r="D10" s="13" t="s">
        <v>181</v>
      </c>
      <c r="E10" t="s">
        <v>178</v>
      </c>
      <c r="J10">
        <v>0</v>
      </c>
      <c r="K10" s="26">
        <v>1</v>
      </c>
    </row>
    <row r="11" spans="1:23">
      <c r="A11" s="10" t="s">
        <v>75</v>
      </c>
      <c r="B11" t="s">
        <v>50</v>
      </c>
      <c r="C11" s="13"/>
      <c r="D11" s="13"/>
      <c r="J11">
        <v>0</v>
      </c>
      <c r="K11" s="26">
        <v>0</v>
      </c>
    </row>
    <row r="12" spans="1:23">
      <c r="A12" s="10" t="s">
        <v>76</v>
      </c>
      <c r="B12" t="s">
        <v>50</v>
      </c>
      <c r="C12" s="13"/>
      <c r="D12" s="13"/>
      <c r="J12">
        <v>0</v>
      </c>
      <c r="K12" s="26">
        <v>0</v>
      </c>
    </row>
    <row r="13" spans="1:23">
      <c r="A13" s="21" t="s">
        <v>169</v>
      </c>
      <c r="B13" t="s">
        <v>50</v>
      </c>
      <c r="C13" s="33"/>
      <c r="J13">
        <v>0</v>
      </c>
      <c r="K13">
        <v>0</v>
      </c>
    </row>
    <row r="14" spans="1:23">
      <c r="A14" s="12" t="s">
        <v>111</v>
      </c>
      <c r="B14" t="s">
        <v>51</v>
      </c>
      <c r="C14" s="33"/>
      <c r="D14" s="33"/>
      <c r="J14">
        <v>0</v>
      </c>
      <c r="K14" s="26">
        <v>0</v>
      </c>
    </row>
    <row r="15" spans="1:23">
      <c r="C15" s="33"/>
    </row>
    <row r="16" spans="1:23">
      <c r="C16" s="13"/>
    </row>
    <row r="17" spans="1:27">
      <c r="A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2:Q19"/>
  <sheetViews>
    <sheetView workbookViewId="0">
      <selection activeCell="B24" sqref="B24"/>
    </sheetView>
  </sheetViews>
  <sheetFormatPr defaultRowHeight="15"/>
  <cols>
    <col min="2" max="2" width="12" bestFit="1" customWidth="1"/>
    <col min="4" max="4" width="10" bestFit="1" customWidth="1"/>
    <col min="7" max="7" width="10" bestFit="1" customWidth="1"/>
    <col min="14" max="14" width="12" bestFit="1" customWidth="1"/>
    <col min="15" max="15" width="10" bestFit="1" customWidth="1"/>
  </cols>
  <sheetData>
    <row r="2" spans="1:17">
      <c r="A2" t="s">
        <v>120</v>
      </c>
      <c r="F2" t="s">
        <v>122</v>
      </c>
      <c r="I2" t="s">
        <v>123</v>
      </c>
    </row>
    <row r="3" spans="1:17">
      <c r="A3" t="s">
        <v>121</v>
      </c>
      <c r="F3" t="s">
        <v>124</v>
      </c>
    </row>
    <row r="4" spans="1:17">
      <c r="F4" t="s">
        <v>125</v>
      </c>
      <c r="M4" t="s">
        <v>142</v>
      </c>
    </row>
    <row r="5" spans="1:17">
      <c r="A5" t="s">
        <v>126</v>
      </c>
    </row>
    <row r="6" spans="1:17">
      <c r="B6" t="s">
        <v>128</v>
      </c>
      <c r="C6" t="s">
        <v>129</v>
      </c>
      <c r="D6" t="s">
        <v>130</v>
      </c>
      <c r="E6" t="s">
        <v>131</v>
      </c>
      <c r="F6" t="s">
        <v>132</v>
      </c>
      <c r="G6" t="s">
        <v>133</v>
      </c>
      <c r="L6" t="s">
        <v>128</v>
      </c>
      <c r="M6" t="s">
        <v>129</v>
      </c>
      <c r="N6" t="s">
        <v>130</v>
      </c>
      <c r="O6" t="s">
        <v>131</v>
      </c>
      <c r="P6" t="s">
        <v>132</v>
      </c>
      <c r="Q6" t="s">
        <v>133</v>
      </c>
    </row>
    <row r="7" spans="1:17">
      <c r="A7" t="s">
        <v>134</v>
      </c>
      <c r="B7">
        <v>4.5710000000000001E-2</v>
      </c>
      <c r="C7">
        <f>350*10^(-6)</f>
        <v>3.5E-4</v>
      </c>
      <c r="D7">
        <f>3.846*10^(-7)</f>
        <v>3.8459999999999999E-7</v>
      </c>
      <c r="E7">
        <f>3.8*10^(-11)</f>
        <v>3.7999999999999998E-11</v>
      </c>
      <c r="F7">
        <v>7</v>
      </c>
      <c r="G7">
        <f>10^(-F7)</f>
        <v>9.9999999999999995E-8</v>
      </c>
      <c r="K7" t="s">
        <v>134</v>
      </c>
      <c r="L7">
        <v>3.8109999999999998E-2</v>
      </c>
      <c r="M7">
        <f>350*10^(-6)</f>
        <v>3.5E-4</v>
      </c>
      <c r="N7">
        <f>11.48*10^(-7)</f>
        <v>1.1480000000000001E-6</v>
      </c>
      <c r="O7">
        <f>7.516*10^(-10)</f>
        <v>7.5160000000000007E-10</v>
      </c>
      <c r="P7">
        <v>7</v>
      </c>
      <c r="Q7">
        <f>10^(-P7)</f>
        <v>9.9999999999999995E-8</v>
      </c>
    </row>
    <row r="8" spans="1:17">
      <c r="B8" t="s">
        <v>135</v>
      </c>
      <c r="C8" t="s">
        <v>136</v>
      </c>
      <c r="L8" t="s">
        <v>135</v>
      </c>
      <c r="M8" t="s">
        <v>136</v>
      </c>
    </row>
    <row r="9" spans="1:17">
      <c r="A9" t="s">
        <v>127</v>
      </c>
      <c r="B9">
        <f>B7*C7</f>
        <v>1.5998499999999999E-5</v>
      </c>
      <c r="K9" t="s">
        <v>127</v>
      </c>
      <c r="L9">
        <f>L7*M7</f>
        <v>1.3338499999999999E-5</v>
      </c>
    </row>
    <row r="10" spans="1:17">
      <c r="A10" t="s">
        <v>137</v>
      </c>
      <c r="B10">
        <f>D7/(G7)*B9</f>
        <v>6.1530231000000001E-5</v>
      </c>
      <c r="K10" t="s">
        <v>137</v>
      </c>
      <c r="L10">
        <f>N7/(Q7)*L9</f>
        <v>1.5312598000000001E-4</v>
      </c>
    </row>
    <row r="11" spans="1:17">
      <c r="A11" t="s">
        <v>138</v>
      </c>
      <c r="B11">
        <f>D7*E7/G7^2*B9</f>
        <v>2.3381487780000003E-8</v>
      </c>
      <c r="K11" t="s">
        <v>138</v>
      </c>
      <c r="L11">
        <f>N7*O7/Q7^2*L9</f>
        <v>1.1508948656800003E-6</v>
      </c>
    </row>
    <row r="12" spans="1:17">
      <c r="A12" t="s">
        <v>139</v>
      </c>
      <c r="B12">
        <f>B9+B10+B11</f>
        <v>7.7552112487780001E-5</v>
      </c>
      <c r="C12" t="s">
        <v>140</v>
      </c>
      <c r="K12" t="s">
        <v>139</v>
      </c>
      <c r="L12">
        <f>L9+L10+L11</f>
        <v>1.6761537486568003E-4</v>
      </c>
      <c r="M12" t="s">
        <v>140</v>
      </c>
    </row>
    <row r="13" spans="1:17">
      <c r="B13">
        <f>B12*1000</f>
        <v>7.7552112487780003E-2</v>
      </c>
      <c r="C13" t="s">
        <v>141</v>
      </c>
      <c r="L13">
        <f>L12*1000</f>
        <v>0.16761537486568004</v>
      </c>
      <c r="M13" t="s">
        <v>141</v>
      </c>
    </row>
    <row r="15" spans="1:17">
      <c r="A15" t="s">
        <v>143</v>
      </c>
      <c r="B15" t="s">
        <v>144</v>
      </c>
    </row>
    <row r="16" spans="1:17">
      <c r="B16">
        <f>B12/2</f>
        <v>3.8776056243890001E-5</v>
      </c>
      <c r="C16">
        <f>L12</f>
        <v>1.6761537486568003E-4</v>
      </c>
      <c r="D16" t="s">
        <v>140</v>
      </c>
    </row>
    <row r="19" spans="1:1">
      <c r="A19" s="31" t="s">
        <v>146</v>
      </c>
    </row>
  </sheetData>
  <hyperlinks>
    <hyperlink ref="A19" r:id="rId1" display="http://www-naweb.iaea.org/napc/ih/documents/global_cycle/vol I/cht_i_09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4"/>
  <sheetViews>
    <sheetView zoomScale="70" zoomScaleNormal="70" workbookViewId="0">
      <selection activeCell="A6" sqref="A6:A7"/>
    </sheetView>
  </sheetViews>
  <sheetFormatPr defaultRowHeight="15"/>
  <cols>
    <col min="1" max="1" width="12.140625" bestFit="1" customWidth="1"/>
    <col min="2" max="22" width="8.5703125"/>
    <col min="26" max="1027" width="8.5703125"/>
  </cols>
  <sheetData>
    <row r="1" spans="1:28">
      <c r="A1" s="10" t="s">
        <v>12</v>
      </c>
      <c r="B1" s="10" t="s">
        <v>52</v>
      </c>
      <c r="C1" s="10" t="s">
        <v>53</v>
      </c>
      <c r="D1" s="10" t="s">
        <v>54</v>
      </c>
      <c r="E1" s="10" t="s">
        <v>14</v>
      </c>
      <c r="F1" s="10" t="s">
        <v>15</v>
      </c>
      <c r="G1" s="10" t="s">
        <v>16</v>
      </c>
      <c r="H1" s="10" t="s">
        <v>55</v>
      </c>
      <c r="I1" s="10" t="s">
        <v>56</v>
      </c>
      <c r="J1" s="10" t="s">
        <v>57</v>
      </c>
      <c r="K1" s="10" t="s">
        <v>18</v>
      </c>
      <c r="L1" s="10" t="s">
        <v>58</v>
      </c>
      <c r="M1" s="10" t="s">
        <v>17</v>
      </c>
      <c r="N1" s="10" t="s">
        <v>59</v>
      </c>
      <c r="O1" s="10" t="s">
        <v>116</v>
      </c>
      <c r="P1" s="10" t="s">
        <v>117</v>
      </c>
      <c r="Q1" s="10" t="s">
        <v>19</v>
      </c>
      <c r="R1" t="s">
        <v>118</v>
      </c>
      <c r="S1" t="s">
        <v>61</v>
      </c>
      <c r="T1" t="s">
        <v>13</v>
      </c>
      <c r="U1" t="s">
        <v>62</v>
      </c>
      <c r="V1" t="s">
        <v>63</v>
      </c>
      <c r="W1" t="s">
        <v>194</v>
      </c>
      <c r="X1" t="s">
        <v>166</v>
      </c>
      <c r="Y1" t="s">
        <v>167</v>
      </c>
      <c r="Z1" t="s">
        <v>64</v>
      </c>
      <c r="AA1" t="s">
        <v>65</v>
      </c>
      <c r="AB1" t="s">
        <v>168</v>
      </c>
    </row>
    <row r="2" spans="1:28">
      <c r="A2" s="10" t="s">
        <v>66</v>
      </c>
      <c r="B2">
        <v>-1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s="10" t="s">
        <v>106</v>
      </c>
      <c r="B3">
        <v>0</v>
      </c>
      <c r="C3">
        <v>0</v>
      </c>
      <c r="D3">
        <v>-1</v>
      </c>
      <c r="E3">
        <v>-1</v>
      </c>
      <c r="F3">
        <v>1</v>
      </c>
      <c r="G3">
        <v>-1</v>
      </c>
      <c r="H3">
        <v>-1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>
      <c r="A4" s="10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>
      <c r="A5" s="10" t="s">
        <v>72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-1</v>
      </c>
      <c r="L5">
        <v>0</v>
      </c>
      <c r="M5">
        <v>0</v>
      </c>
      <c r="N5">
        <v>0</v>
      </c>
      <c r="O5">
        <v>0</v>
      </c>
      <c r="P5">
        <v>-1</v>
      </c>
      <c r="Q5">
        <v>1</v>
      </c>
      <c r="R5">
        <v>1</v>
      </c>
      <c r="S5">
        <v>1</v>
      </c>
      <c r="T5">
        <v>-1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 s="10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-3</v>
      </c>
      <c r="H6">
        <v>0</v>
      </c>
      <c r="I6">
        <v>0</v>
      </c>
      <c r="J6">
        <v>0</v>
      </c>
      <c r="K6">
        <v>0</v>
      </c>
      <c r="L6">
        <v>4</v>
      </c>
      <c r="M6">
        <v>0</v>
      </c>
      <c r="N6">
        <v>0</v>
      </c>
      <c r="O6">
        <v>-1</v>
      </c>
      <c r="P6">
        <v>0</v>
      </c>
      <c r="Q6">
        <v>0</v>
      </c>
      <c r="R6">
        <v>-3</v>
      </c>
      <c r="S6">
        <v>0</v>
      </c>
      <c r="T6">
        <v>3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 s="10" t="s">
        <v>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-1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>
      <c r="A8" s="10" t="s">
        <v>162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-1</v>
      </c>
      <c r="L8">
        <v>-1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 s="10" t="s">
        <v>163</v>
      </c>
      <c r="B9">
        <v>0</v>
      </c>
      <c r="C9">
        <v>0</v>
      </c>
      <c r="D9">
        <v>0</v>
      </c>
      <c r="E9">
        <v>0</v>
      </c>
      <c r="F9">
        <v>0</v>
      </c>
      <c r="G9">
        <v>-3</v>
      </c>
      <c r="H9">
        <v>0</v>
      </c>
      <c r="I9">
        <v>0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-3</v>
      </c>
      <c r="S9">
        <v>0</v>
      </c>
      <c r="T9">
        <v>3</v>
      </c>
      <c r="U9">
        <v>0</v>
      </c>
      <c r="V9">
        <v>0</v>
      </c>
      <c r="W9">
        <v>-1</v>
      </c>
      <c r="X9">
        <v>1</v>
      </c>
      <c r="Y9">
        <v>0</v>
      </c>
      <c r="Z9">
        <v>0</v>
      </c>
      <c r="AA9">
        <v>0</v>
      </c>
      <c r="AB9">
        <v>0</v>
      </c>
    </row>
    <row r="10" spans="1:28">
      <c r="A10" s="10" t="s">
        <v>164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-1</v>
      </c>
      <c r="Y10">
        <v>1</v>
      </c>
      <c r="Z10">
        <v>0</v>
      </c>
      <c r="AA10">
        <v>0</v>
      </c>
      <c r="AB10">
        <v>0</v>
      </c>
    </row>
    <row r="11" spans="1:28">
      <c r="A11" s="10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</row>
    <row r="12" spans="1:28">
      <c r="A12" s="10" t="s">
        <v>76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>
      <c r="A13" s="21" t="s">
        <v>169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</v>
      </c>
      <c r="Z13">
        <v>0</v>
      </c>
      <c r="AA13">
        <v>0</v>
      </c>
      <c r="AB13">
        <v>1</v>
      </c>
    </row>
    <row r="14" spans="1:28">
      <c r="A14" s="10" t="s">
        <v>111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zoomScaleNormal="100" workbookViewId="0">
      <selection activeCell="B3" sqref="B3"/>
    </sheetView>
  </sheetViews>
  <sheetFormatPr defaultRowHeight="15"/>
  <cols>
    <col min="1" max="1" width="16.42578125" customWidth="1"/>
    <col min="2" max="2" width="35.42578125" customWidth="1"/>
    <col min="3" max="3" width="17.7109375" customWidth="1"/>
    <col min="4" max="4" width="12.7109375" customWidth="1"/>
    <col min="5" max="1020" width="8.5703125"/>
  </cols>
  <sheetData>
    <row r="1" spans="1:5">
      <c r="A1" s="39" t="s">
        <v>40</v>
      </c>
      <c r="B1" s="39" t="s">
        <v>24</v>
      </c>
      <c r="C1" s="39" t="s">
        <v>153</v>
      </c>
      <c r="D1" s="39" t="s">
        <v>25</v>
      </c>
      <c r="E1" s="40" t="s">
        <v>154</v>
      </c>
    </row>
    <row r="2" spans="1:5">
      <c r="A2" s="10" t="s">
        <v>66</v>
      </c>
      <c r="B2" t="s">
        <v>98</v>
      </c>
      <c r="C2">
        <v>0</v>
      </c>
      <c r="D2">
        <v>1</v>
      </c>
    </row>
    <row r="3" spans="1:5">
      <c r="A3" s="10" t="s">
        <v>106</v>
      </c>
      <c r="B3" t="s">
        <v>113</v>
      </c>
      <c r="C3">
        <v>0</v>
      </c>
      <c r="D3">
        <v>1</v>
      </c>
    </row>
    <row r="4" spans="1:5">
      <c r="A4" s="10" t="s">
        <v>71</v>
      </c>
      <c r="B4" t="s">
        <v>99</v>
      </c>
      <c r="C4">
        <v>0</v>
      </c>
      <c r="D4">
        <v>1</v>
      </c>
    </row>
    <row r="5" spans="1:5">
      <c r="A5" s="10" t="s">
        <v>72</v>
      </c>
      <c r="B5" t="s">
        <v>100</v>
      </c>
      <c r="C5">
        <v>0</v>
      </c>
      <c r="D5">
        <v>1</v>
      </c>
    </row>
    <row r="6" spans="1:5">
      <c r="A6" s="10" t="s">
        <v>73</v>
      </c>
      <c r="B6" t="s">
        <v>101</v>
      </c>
      <c r="C6">
        <v>0</v>
      </c>
      <c r="D6">
        <v>1</v>
      </c>
    </row>
    <row r="7" spans="1:5">
      <c r="A7" s="10" t="s">
        <v>74</v>
      </c>
      <c r="B7" t="s">
        <v>102</v>
      </c>
      <c r="C7">
        <v>0</v>
      </c>
      <c r="D7">
        <v>1</v>
      </c>
    </row>
    <row r="8" spans="1:5">
      <c r="A8" s="10" t="s">
        <v>162</v>
      </c>
      <c r="B8" s="41" t="s">
        <v>171</v>
      </c>
      <c r="C8">
        <v>0</v>
      </c>
      <c r="D8">
        <v>1</v>
      </c>
    </row>
    <row r="9" spans="1:5">
      <c r="A9" s="10" t="s">
        <v>163</v>
      </c>
      <c r="B9" s="41" t="s">
        <v>172</v>
      </c>
      <c r="C9">
        <v>0</v>
      </c>
      <c r="D9">
        <v>1</v>
      </c>
    </row>
    <row r="10" spans="1:5">
      <c r="A10" s="10" t="s">
        <v>164</v>
      </c>
      <c r="B10" s="41" t="s">
        <v>173</v>
      </c>
      <c r="C10">
        <v>0</v>
      </c>
      <c r="D10">
        <v>1</v>
      </c>
    </row>
    <row r="11" spans="1:5">
      <c r="A11" s="10" t="s">
        <v>75</v>
      </c>
      <c r="B11" s="15" t="s">
        <v>103</v>
      </c>
      <c r="C11">
        <v>0</v>
      </c>
      <c r="D11">
        <v>1</v>
      </c>
    </row>
    <row r="12" spans="1:5">
      <c r="A12" s="10" t="s">
        <v>76</v>
      </c>
      <c r="B12" t="s">
        <v>104</v>
      </c>
      <c r="C12">
        <v>0</v>
      </c>
      <c r="D12">
        <v>1</v>
      </c>
    </row>
    <row r="13" spans="1:5">
      <c r="A13" s="21" t="s">
        <v>169</v>
      </c>
      <c r="B13" t="s">
        <v>170</v>
      </c>
      <c r="C13">
        <v>0</v>
      </c>
      <c r="D13">
        <v>1</v>
      </c>
    </row>
    <row r="14" spans="1:5">
      <c r="A14" s="21" t="s">
        <v>111</v>
      </c>
      <c r="B14" t="s">
        <v>112</v>
      </c>
      <c r="C14">
        <v>0</v>
      </c>
      <c r="D14">
        <v>1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8"/>
  <sheetViews>
    <sheetView zoomScaleNormal="100" workbookViewId="0">
      <selection activeCell="A24" sqref="A24"/>
    </sheetView>
  </sheetViews>
  <sheetFormatPr defaultRowHeight="15"/>
  <cols>
    <col min="1" max="1" width="22.28515625" customWidth="1"/>
    <col min="2" max="2" width="21.85546875" customWidth="1"/>
    <col min="3" max="3" width="15.28515625" customWidth="1"/>
    <col min="4" max="1017" width="8.5703125"/>
  </cols>
  <sheetData>
    <row r="1" spans="1:12">
      <c r="A1" s="39" t="s">
        <v>155</v>
      </c>
      <c r="B1" s="39" t="s">
        <v>156</v>
      </c>
      <c r="C1" s="39" t="s">
        <v>21</v>
      </c>
      <c r="D1" s="39" t="s">
        <v>22</v>
      </c>
      <c r="E1" s="39" t="s">
        <v>157</v>
      </c>
      <c r="F1" s="40" t="s">
        <v>158</v>
      </c>
    </row>
    <row r="2" spans="1:12">
      <c r="A2" s="10" t="s">
        <v>52</v>
      </c>
      <c r="B2" t="s">
        <v>77</v>
      </c>
      <c r="C2">
        <v>0</v>
      </c>
      <c r="D2">
        <v>1</v>
      </c>
      <c r="E2">
        <v>1</v>
      </c>
      <c r="F2">
        <v>1</v>
      </c>
    </row>
    <row r="3" spans="1:12">
      <c r="A3" s="10" t="s">
        <v>53</v>
      </c>
      <c r="B3" t="s">
        <v>78</v>
      </c>
      <c r="C3">
        <v>0</v>
      </c>
      <c r="D3">
        <v>1</v>
      </c>
      <c r="E3">
        <v>1</v>
      </c>
      <c r="F3">
        <v>1</v>
      </c>
    </row>
    <row r="4" spans="1:12">
      <c r="A4" s="10" t="s">
        <v>54</v>
      </c>
      <c r="B4" t="s">
        <v>79</v>
      </c>
      <c r="C4">
        <v>1</v>
      </c>
      <c r="D4">
        <v>1</v>
      </c>
      <c r="E4">
        <v>0</v>
      </c>
      <c r="F4">
        <v>1</v>
      </c>
    </row>
    <row r="5" spans="1:12">
      <c r="A5" s="10" t="s">
        <v>14</v>
      </c>
      <c r="B5" t="s">
        <v>80</v>
      </c>
      <c r="C5">
        <v>0</v>
      </c>
      <c r="D5">
        <v>1</v>
      </c>
      <c r="E5">
        <v>1</v>
      </c>
      <c r="F5">
        <v>1</v>
      </c>
      <c r="G5" s="13"/>
      <c r="H5" s="13"/>
      <c r="I5" s="13"/>
      <c r="J5" s="13"/>
      <c r="K5" s="13"/>
      <c r="L5" s="13"/>
    </row>
    <row r="6" spans="1:12">
      <c r="A6" s="10" t="s">
        <v>15</v>
      </c>
      <c r="B6" t="s">
        <v>80</v>
      </c>
      <c r="C6">
        <v>0</v>
      </c>
      <c r="D6">
        <v>1</v>
      </c>
      <c r="E6">
        <v>1</v>
      </c>
      <c r="F6">
        <v>1</v>
      </c>
      <c r="G6" s="35"/>
      <c r="H6" s="35"/>
      <c r="I6" s="35"/>
      <c r="J6" s="35"/>
      <c r="K6" s="35"/>
      <c r="L6" s="35"/>
    </row>
    <row r="7" spans="1:12">
      <c r="A7" s="10" t="s">
        <v>16</v>
      </c>
      <c r="B7" t="s">
        <v>23</v>
      </c>
      <c r="C7">
        <v>0</v>
      </c>
      <c r="D7">
        <v>1</v>
      </c>
      <c r="E7">
        <v>1</v>
      </c>
      <c r="F7">
        <v>1</v>
      </c>
      <c r="G7" s="13"/>
      <c r="H7" s="13"/>
      <c r="I7" s="13"/>
      <c r="J7" s="13"/>
      <c r="K7" s="13"/>
      <c r="L7" s="13"/>
    </row>
    <row r="8" spans="1:12">
      <c r="A8" s="10" t="s">
        <v>55</v>
      </c>
      <c r="B8" t="s">
        <v>81</v>
      </c>
      <c r="C8">
        <v>0</v>
      </c>
      <c r="D8">
        <v>1</v>
      </c>
      <c r="E8">
        <v>1</v>
      </c>
      <c r="F8">
        <v>1</v>
      </c>
    </row>
    <row r="9" spans="1:12">
      <c r="A9" s="10" t="s">
        <v>56</v>
      </c>
      <c r="B9" t="s">
        <v>82</v>
      </c>
      <c r="C9">
        <v>0</v>
      </c>
      <c r="D9">
        <v>0</v>
      </c>
      <c r="E9">
        <v>1</v>
      </c>
      <c r="F9">
        <v>1</v>
      </c>
    </row>
    <row r="10" spans="1:12">
      <c r="A10" s="10" t="s">
        <v>57</v>
      </c>
      <c r="B10" t="s">
        <v>83</v>
      </c>
      <c r="C10">
        <v>1</v>
      </c>
      <c r="D10">
        <v>1</v>
      </c>
      <c r="E10">
        <v>0</v>
      </c>
      <c r="F10">
        <v>1</v>
      </c>
    </row>
    <row r="11" spans="1:12">
      <c r="A11" s="10" t="s">
        <v>18</v>
      </c>
      <c r="B11" t="s">
        <v>84</v>
      </c>
      <c r="C11">
        <v>0</v>
      </c>
      <c r="D11">
        <v>1</v>
      </c>
      <c r="E11">
        <v>1</v>
      </c>
      <c r="F11">
        <v>1</v>
      </c>
    </row>
    <row r="12" spans="1:12">
      <c r="A12" s="10" t="s">
        <v>58</v>
      </c>
      <c r="B12" t="s">
        <v>85</v>
      </c>
      <c r="C12">
        <v>0</v>
      </c>
      <c r="D12">
        <v>1</v>
      </c>
      <c r="E12">
        <v>1</v>
      </c>
      <c r="F12">
        <v>1</v>
      </c>
    </row>
    <row r="13" spans="1:12">
      <c r="A13" s="10" t="s">
        <v>17</v>
      </c>
      <c r="B13" t="s">
        <v>86</v>
      </c>
      <c r="C13">
        <v>0</v>
      </c>
      <c r="D13">
        <v>1</v>
      </c>
      <c r="E13">
        <v>1</v>
      </c>
      <c r="F13">
        <v>1</v>
      </c>
    </row>
    <row r="14" spans="1:12">
      <c r="A14" s="10" t="s">
        <v>59</v>
      </c>
      <c r="B14" t="s">
        <v>87</v>
      </c>
      <c r="C14">
        <v>0</v>
      </c>
      <c r="D14">
        <v>1</v>
      </c>
      <c r="E14">
        <v>1</v>
      </c>
      <c r="F14">
        <v>1</v>
      </c>
    </row>
    <row r="15" spans="1:12">
      <c r="A15" s="10" t="s">
        <v>116</v>
      </c>
      <c r="B15" t="s">
        <v>88</v>
      </c>
      <c r="C15">
        <v>1</v>
      </c>
      <c r="D15">
        <v>1</v>
      </c>
      <c r="E15">
        <v>0</v>
      </c>
      <c r="F15">
        <v>1</v>
      </c>
    </row>
    <row r="16" spans="1:12">
      <c r="A16" s="10" t="s">
        <v>117</v>
      </c>
      <c r="B16" t="s">
        <v>89</v>
      </c>
      <c r="C16">
        <v>0</v>
      </c>
      <c r="D16">
        <v>1</v>
      </c>
      <c r="E16">
        <v>1</v>
      </c>
      <c r="F16">
        <v>1</v>
      </c>
    </row>
    <row r="17" spans="1:6">
      <c r="A17" s="10" t="s">
        <v>19</v>
      </c>
      <c r="B17" t="s">
        <v>90</v>
      </c>
      <c r="C17">
        <v>0</v>
      </c>
      <c r="D17">
        <v>1</v>
      </c>
      <c r="E17">
        <v>1</v>
      </c>
      <c r="F17">
        <v>1</v>
      </c>
    </row>
    <row r="18" spans="1:6">
      <c r="A18" t="s">
        <v>118</v>
      </c>
      <c r="B18" t="s">
        <v>91</v>
      </c>
      <c r="C18">
        <v>1</v>
      </c>
      <c r="D18">
        <v>1</v>
      </c>
      <c r="E18">
        <v>1</v>
      </c>
      <c r="F18">
        <v>1</v>
      </c>
    </row>
    <row r="19" spans="1:6">
      <c r="A19" t="s">
        <v>61</v>
      </c>
      <c r="B19" t="s">
        <v>92</v>
      </c>
      <c r="C19">
        <v>0</v>
      </c>
      <c r="D19">
        <v>1</v>
      </c>
      <c r="E19">
        <v>1</v>
      </c>
      <c r="F19">
        <v>1</v>
      </c>
    </row>
    <row r="20" spans="1:6">
      <c r="A20" t="s">
        <v>13</v>
      </c>
      <c r="B20" t="s">
        <v>93</v>
      </c>
      <c r="C20">
        <v>0</v>
      </c>
      <c r="D20">
        <v>1</v>
      </c>
      <c r="E20">
        <v>1</v>
      </c>
      <c r="F20">
        <v>1</v>
      </c>
    </row>
    <row r="21" spans="1:6">
      <c r="A21" t="s">
        <v>62</v>
      </c>
      <c r="B21" t="s">
        <v>94</v>
      </c>
      <c r="C21">
        <v>1</v>
      </c>
      <c r="D21">
        <v>1</v>
      </c>
      <c r="E21">
        <v>0</v>
      </c>
      <c r="F21">
        <v>1</v>
      </c>
    </row>
    <row r="22" spans="1:6">
      <c r="A22" t="s">
        <v>63</v>
      </c>
      <c r="B22" t="s">
        <v>95</v>
      </c>
      <c r="C22">
        <v>1</v>
      </c>
      <c r="D22">
        <v>1</v>
      </c>
      <c r="E22">
        <v>0</v>
      </c>
      <c r="F22">
        <v>1</v>
      </c>
    </row>
    <row r="23" spans="1:6">
      <c r="A23" t="s">
        <v>194</v>
      </c>
      <c r="B23" t="s">
        <v>165</v>
      </c>
      <c r="C23">
        <v>1</v>
      </c>
      <c r="D23">
        <v>1</v>
      </c>
      <c r="E23">
        <v>0</v>
      </c>
      <c r="F23">
        <v>1</v>
      </c>
    </row>
    <row r="24" spans="1:6">
      <c r="A24" t="s">
        <v>166</v>
      </c>
      <c r="B24" t="s">
        <v>166</v>
      </c>
      <c r="C24">
        <v>1</v>
      </c>
      <c r="D24">
        <v>1</v>
      </c>
      <c r="E24">
        <v>0</v>
      </c>
      <c r="F24">
        <v>1</v>
      </c>
    </row>
    <row r="25" spans="1:6">
      <c r="A25" t="s">
        <v>167</v>
      </c>
      <c r="B25" t="s">
        <v>167</v>
      </c>
      <c r="C25">
        <v>1</v>
      </c>
      <c r="D25">
        <v>1</v>
      </c>
      <c r="E25">
        <v>0</v>
      </c>
      <c r="F25">
        <v>1</v>
      </c>
    </row>
    <row r="26" spans="1:6">
      <c r="A26" t="s">
        <v>64</v>
      </c>
      <c r="B26" t="s">
        <v>96</v>
      </c>
      <c r="C26">
        <v>0</v>
      </c>
      <c r="D26">
        <v>1</v>
      </c>
      <c r="E26">
        <v>0</v>
      </c>
      <c r="F26">
        <v>1</v>
      </c>
    </row>
    <row r="27" spans="1:6">
      <c r="A27" t="s">
        <v>65</v>
      </c>
      <c r="B27" t="s">
        <v>97</v>
      </c>
      <c r="C27">
        <v>0</v>
      </c>
      <c r="D27">
        <v>1</v>
      </c>
      <c r="E27">
        <v>0</v>
      </c>
      <c r="F27">
        <v>1</v>
      </c>
    </row>
    <row r="28" spans="1:6">
      <c r="A28" t="s">
        <v>168</v>
      </c>
      <c r="B28" t="s">
        <v>174</v>
      </c>
      <c r="C28">
        <v>0</v>
      </c>
      <c r="D28">
        <v>1</v>
      </c>
      <c r="E28">
        <v>0</v>
      </c>
      <c r="F2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2"/>
  <sheetViews>
    <sheetView zoomScaleNormal="100" workbookViewId="0">
      <selection activeCell="A11" sqref="A11"/>
    </sheetView>
  </sheetViews>
  <sheetFormatPr defaultRowHeight="15"/>
  <cols>
    <col min="1" max="1023" width="8.5703125"/>
  </cols>
  <sheetData>
    <row r="1" spans="1:1">
      <c r="A1" t="s">
        <v>20</v>
      </c>
    </row>
    <row r="2" spans="1:1">
      <c r="A2" s="10" t="s">
        <v>66</v>
      </c>
    </row>
    <row r="3" spans="1:1">
      <c r="A3" s="10" t="s">
        <v>106</v>
      </c>
    </row>
    <row r="4" spans="1:1">
      <c r="A4" s="10" t="s">
        <v>67</v>
      </c>
    </row>
    <row r="5" spans="1:1">
      <c r="A5" s="10" t="s">
        <v>71</v>
      </c>
    </row>
    <row r="6" spans="1:1">
      <c r="A6" s="10" t="s">
        <v>72</v>
      </c>
    </row>
    <row r="7" spans="1:1">
      <c r="A7" s="10" t="s">
        <v>73</v>
      </c>
    </row>
    <row r="8" spans="1:1">
      <c r="A8" s="10" t="s">
        <v>74</v>
      </c>
    </row>
    <row r="9" spans="1:1">
      <c r="A9" s="10" t="s">
        <v>75</v>
      </c>
    </row>
    <row r="10" spans="1:1">
      <c r="A10" s="10" t="s">
        <v>76</v>
      </c>
    </row>
    <row r="11" spans="1:1">
      <c r="A11" s="21" t="s">
        <v>169</v>
      </c>
    </row>
    <row r="12" spans="1:1">
      <c r="A12" s="21" t="s">
        <v>111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8"/>
  <sheetViews>
    <sheetView zoomScaleNormal="100" workbookViewId="0">
      <selection activeCell="A24" sqref="A24"/>
    </sheetView>
  </sheetViews>
  <sheetFormatPr defaultRowHeight="15"/>
  <cols>
    <col min="1" max="2" width="8.5703125"/>
    <col min="3" max="3" width="8.5703125" style="16"/>
    <col min="4" max="1023" width="8.5703125"/>
  </cols>
  <sheetData>
    <row r="1" spans="1:4">
      <c r="A1" s="11" t="s">
        <v>26</v>
      </c>
    </row>
    <row r="2" spans="1:4">
      <c r="A2" s="14" t="s">
        <v>52</v>
      </c>
      <c r="C2" s="17"/>
      <c r="D2" s="13"/>
    </row>
    <row r="3" spans="1:4">
      <c r="A3" s="14" t="s">
        <v>53</v>
      </c>
      <c r="C3" s="17"/>
      <c r="D3" s="13"/>
    </row>
    <row r="4" spans="1:4">
      <c r="A4" s="14" t="s">
        <v>54</v>
      </c>
      <c r="C4" s="17"/>
      <c r="D4" s="13"/>
    </row>
    <row r="5" spans="1:4">
      <c r="A5" s="14" t="s">
        <v>14</v>
      </c>
      <c r="C5" s="18"/>
      <c r="D5" s="13"/>
    </row>
    <row r="6" spans="1:4">
      <c r="A6" s="14" t="s">
        <v>15</v>
      </c>
      <c r="C6" s="18"/>
      <c r="D6" s="13"/>
    </row>
    <row r="7" spans="1:4">
      <c r="A7" s="14" t="s">
        <v>69</v>
      </c>
      <c r="C7" s="18"/>
      <c r="D7" s="13"/>
    </row>
    <row r="8" spans="1:4">
      <c r="A8" s="14" t="s">
        <v>70</v>
      </c>
    </row>
    <row r="9" spans="1:4">
      <c r="A9" s="14" t="s">
        <v>55</v>
      </c>
    </row>
    <row r="10" spans="1:4">
      <c r="A10" s="14" t="s">
        <v>57</v>
      </c>
    </row>
    <row r="11" spans="1:4">
      <c r="A11" s="14" t="s">
        <v>18</v>
      </c>
    </row>
    <row r="12" spans="1:4">
      <c r="A12" s="14" t="s">
        <v>58</v>
      </c>
    </row>
    <row r="13" spans="1:4">
      <c r="A13" s="14" t="s">
        <v>17</v>
      </c>
    </row>
    <row r="14" spans="1:4">
      <c r="A14" s="14" t="s">
        <v>59</v>
      </c>
    </row>
    <row r="15" spans="1:4">
      <c r="A15" s="14" t="s">
        <v>116</v>
      </c>
    </row>
    <row r="16" spans="1:4">
      <c r="A16" s="14" t="s">
        <v>117</v>
      </c>
    </row>
    <row r="17" spans="1:1">
      <c r="A17" s="14" t="s">
        <v>19</v>
      </c>
    </row>
    <row r="18" spans="1:1">
      <c r="A18" t="s">
        <v>118</v>
      </c>
    </row>
    <row r="19" spans="1:1">
      <c r="A19" t="s">
        <v>61</v>
      </c>
    </row>
    <row r="20" spans="1:1">
      <c r="A20" t="s">
        <v>13</v>
      </c>
    </row>
    <row r="21" spans="1:1">
      <c r="A21" t="s">
        <v>62</v>
      </c>
    </row>
    <row r="22" spans="1:1">
      <c r="A22" t="s">
        <v>63</v>
      </c>
    </row>
    <row r="23" spans="1:1">
      <c r="A23" t="s">
        <v>194</v>
      </c>
    </row>
    <row r="24" spans="1:1">
      <c r="A24" t="s">
        <v>166</v>
      </c>
    </row>
    <row r="25" spans="1:1">
      <c r="A25" t="s">
        <v>167</v>
      </c>
    </row>
    <row r="26" spans="1:1">
      <c r="A26" t="s">
        <v>64</v>
      </c>
    </row>
    <row r="27" spans="1:1">
      <c r="A27" t="s">
        <v>65</v>
      </c>
    </row>
    <row r="28" spans="1:1">
      <c r="A28" t="s">
        <v>168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1"/>
  <sheetViews>
    <sheetView zoomScaleNormal="100" workbookViewId="0">
      <selection activeCell="A27" sqref="A27"/>
    </sheetView>
  </sheetViews>
  <sheetFormatPr defaultRowHeight="15"/>
  <cols>
    <col min="1" max="1023" width="8.5703125"/>
  </cols>
  <sheetData>
    <row r="1" spans="1:1">
      <c r="A1" t="s">
        <v>26</v>
      </c>
    </row>
    <row r="2" spans="1:1">
      <c r="A2" s="10" t="s">
        <v>52</v>
      </c>
    </row>
    <row r="3" spans="1:1">
      <c r="A3" s="10" t="s">
        <v>53</v>
      </c>
    </row>
    <row r="4" spans="1:1">
      <c r="A4" s="10" t="s">
        <v>54</v>
      </c>
    </row>
    <row r="5" spans="1:1">
      <c r="A5" s="10" t="s">
        <v>14</v>
      </c>
    </row>
    <row r="6" spans="1:1">
      <c r="A6" s="10" t="s">
        <v>15</v>
      </c>
    </row>
    <row r="7" spans="1:1">
      <c r="A7" s="10" t="s">
        <v>69</v>
      </c>
    </row>
    <row r="8" spans="1:1">
      <c r="A8" s="10" t="s">
        <v>70</v>
      </c>
    </row>
    <row r="9" spans="1:1">
      <c r="A9" s="10" t="s">
        <v>16</v>
      </c>
    </row>
    <row r="10" spans="1:1">
      <c r="A10" s="10" t="s">
        <v>55</v>
      </c>
    </row>
    <row r="11" spans="1:1">
      <c r="A11" s="10" t="s">
        <v>56</v>
      </c>
    </row>
    <row r="12" spans="1:1">
      <c r="A12" s="10" t="s">
        <v>57</v>
      </c>
    </row>
    <row r="13" spans="1:1">
      <c r="A13" s="10" t="s">
        <v>18</v>
      </c>
    </row>
    <row r="14" spans="1:1">
      <c r="A14" s="10" t="s">
        <v>58</v>
      </c>
    </row>
    <row r="15" spans="1:1">
      <c r="A15" s="10" t="s">
        <v>17</v>
      </c>
    </row>
    <row r="16" spans="1:1">
      <c r="A16" s="10" t="s">
        <v>59</v>
      </c>
    </row>
    <row r="17" spans="1:1">
      <c r="A17" s="10" t="s">
        <v>116</v>
      </c>
    </row>
    <row r="18" spans="1:1">
      <c r="A18" s="10" t="s">
        <v>117</v>
      </c>
    </row>
    <row r="19" spans="1:1">
      <c r="A19" s="10" t="s">
        <v>60</v>
      </c>
    </row>
    <row r="20" spans="1:1">
      <c r="A20" s="10" t="s">
        <v>19</v>
      </c>
    </row>
    <row r="21" spans="1:1">
      <c r="A21" t="s">
        <v>118</v>
      </c>
    </row>
    <row r="22" spans="1:1">
      <c r="A22" t="s">
        <v>61</v>
      </c>
    </row>
    <row r="23" spans="1:1">
      <c r="A23" t="s">
        <v>13</v>
      </c>
    </row>
    <row r="24" spans="1:1">
      <c r="A24" t="s">
        <v>62</v>
      </c>
    </row>
    <row r="25" spans="1:1">
      <c r="A25" t="s">
        <v>63</v>
      </c>
    </row>
    <row r="26" spans="1:1">
      <c r="A26" t="s">
        <v>194</v>
      </c>
    </row>
    <row r="27" spans="1:1">
      <c r="A27" t="s">
        <v>166</v>
      </c>
    </row>
    <row r="28" spans="1:1">
      <c r="A28" t="s">
        <v>167</v>
      </c>
    </row>
    <row r="29" spans="1:1">
      <c r="A29" t="s">
        <v>64</v>
      </c>
    </row>
    <row r="30" spans="1:1">
      <c r="A30" t="s">
        <v>65</v>
      </c>
    </row>
    <row r="31" spans="1:1">
      <c r="A31" t="s">
        <v>168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4"/>
  <sheetViews>
    <sheetView zoomScaleNormal="100" workbookViewId="0">
      <selection activeCell="A13" sqref="A13:XFD13"/>
    </sheetView>
  </sheetViews>
  <sheetFormatPr defaultRowHeight="15"/>
  <cols>
    <col min="1" max="1" width="16.7109375" customWidth="1"/>
    <col min="2" max="2" width="13.85546875" customWidth="1"/>
    <col min="3" max="3" width="15.28515625" customWidth="1"/>
    <col min="4" max="1012" width="8.5703125"/>
  </cols>
  <sheetData>
    <row r="1" spans="1:3">
      <c r="A1" s="10" t="s">
        <v>27</v>
      </c>
      <c r="B1" s="10" t="s">
        <v>28</v>
      </c>
      <c r="C1" s="10" t="s">
        <v>29</v>
      </c>
    </row>
    <row r="2" spans="1:3">
      <c r="A2" s="10" t="s">
        <v>66</v>
      </c>
      <c r="B2">
        <v>-4.1399999999999997</v>
      </c>
      <c r="C2">
        <v>-2.5299999999999998</v>
      </c>
    </row>
    <row r="3" spans="1:3">
      <c r="A3" s="10" t="s">
        <v>106</v>
      </c>
      <c r="B3">
        <v>-446.12</v>
      </c>
      <c r="C3">
        <v>-424.3</v>
      </c>
    </row>
    <row r="4" spans="1:3">
      <c r="A4" s="10" t="s">
        <v>71</v>
      </c>
      <c r="B4">
        <v>-16.059999999999999</v>
      </c>
      <c r="C4">
        <v>-2.94</v>
      </c>
    </row>
    <row r="5" spans="1:3">
      <c r="A5" s="24" t="s">
        <v>72</v>
      </c>
      <c r="B5" s="16">
        <v>-6.27</v>
      </c>
      <c r="C5" s="16">
        <v>-1.71</v>
      </c>
    </row>
    <row r="6" spans="1:3">
      <c r="A6" s="24" t="s">
        <v>73</v>
      </c>
      <c r="B6" s="16">
        <v>-20.399999999999999</v>
      </c>
      <c r="C6" s="16">
        <v>-9.6999999999999993</v>
      </c>
    </row>
    <row r="7" spans="1:3">
      <c r="A7" s="24" t="s">
        <v>74</v>
      </c>
      <c r="B7" s="16">
        <v>-42.79</v>
      </c>
      <c r="C7" s="16">
        <v>-31.43</v>
      </c>
    </row>
    <row r="8" spans="1:3">
      <c r="A8" s="10" t="s">
        <v>162</v>
      </c>
      <c r="B8" s="16">
        <f>B4-5.1</f>
        <v>-21.159999999999997</v>
      </c>
      <c r="C8" s="16">
        <v>-0.1</v>
      </c>
    </row>
    <row r="9" spans="1:3">
      <c r="A9" s="10" t="s">
        <v>163</v>
      </c>
      <c r="B9" s="16">
        <v>-20.399999999999999</v>
      </c>
      <c r="C9" s="16">
        <v>-9.6999999999999993</v>
      </c>
    </row>
    <row r="10" spans="1:3">
      <c r="A10" s="10" t="s">
        <v>164</v>
      </c>
      <c r="B10" s="16">
        <v>-42.79</v>
      </c>
      <c r="C10" s="16">
        <v>-31.43</v>
      </c>
    </row>
    <row r="11" spans="1:3">
      <c r="A11" s="24" t="s">
        <v>75</v>
      </c>
      <c r="B11" s="16">
        <v>-20</v>
      </c>
      <c r="C11" s="16">
        <v>0</v>
      </c>
    </row>
    <row r="12" spans="1:3">
      <c r="A12" s="10" t="s">
        <v>76</v>
      </c>
      <c r="B12">
        <v>-20</v>
      </c>
      <c r="C12">
        <v>0</v>
      </c>
    </row>
    <row r="13" spans="1:3">
      <c r="A13" s="21" t="s">
        <v>169</v>
      </c>
      <c r="B13">
        <v>-20</v>
      </c>
      <c r="C13">
        <v>0</v>
      </c>
    </row>
    <row r="14" spans="1:3">
      <c r="A14" s="21" t="s">
        <v>111</v>
      </c>
      <c r="B14">
        <v>-100</v>
      </c>
      <c r="C14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"/>
  <sheetViews>
    <sheetView tabSelected="1" zoomScaleNormal="100" workbookViewId="0">
      <selection activeCell="D9" sqref="D9"/>
    </sheetView>
  </sheetViews>
  <sheetFormatPr defaultRowHeight="15"/>
  <cols>
    <col min="1" max="1" width="18.140625" customWidth="1"/>
    <col min="2" max="3" width="12" bestFit="1" customWidth="1"/>
    <col min="4" max="1016" width="8.5703125"/>
  </cols>
  <sheetData>
    <row r="1" spans="1:3">
      <c r="A1" t="s">
        <v>26</v>
      </c>
      <c r="B1" t="s">
        <v>30</v>
      </c>
      <c r="C1" t="s">
        <v>31</v>
      </c>
    </row>
    <row r="2" spans="1:3">
      <c r="A2" s="22" t="s">
        <v>52</v>
      </c>
      <c r="B2" s="23">
        <f>3000*10^(-9)</f>
        <v>3.0000000000000001E-6</v>
      </c>
      <c r="C2" s="23">
        <f>10000*10^(-9)</f>
        <v>1.0000000000000001E-5</v>
      </c>
    </row>
    <row r="3" spans="1:3">
      <c r="A3" s="22" t="s">
        <v>53</v>
      </c>
      <c r="B3" s="23">
        <f>(34-7)*10^(-6)</f>
        <v>2.6999999999999999E-5</v>
      </c>
      <c r="C3" s="23">
        <f>(34+7)*10^(-6)</f>
        <v>4.1E-5</v>
      </c>
    </row>
    <row r="4" spans="1:3">
      <c r="A4" s="22" t="s">
        <v>54</v>
      </c>
      <c r="B4">
        <v>1.2535360678182285E-5</v>
      </c>
      <c r="C4">
        <v>1.5398720859431711E-5</v>
      </c>
    </row>
    <row r="5" spans="1:3">
      <c r="A5" s="22" t="s">
        <v>14</v>
      </c>
      <c r="B5" s="23">
        <f>(720-194)*10^(-9)</f>
        <v>5.2600000000000002E-7</v>
      </c>
      <c r="C5" s="23">
        <f>(720+194)*10^(-9)</f>
        <v>9.1400000000000006E-7</v>
      </c>
    </row>
    <row r="6" spans="1:3">
      <c r="A6" s="22" t="s">
        <v>15</v>
      </c>
      <c r="B6" s="23">
        <f>B5/1.6</f>
        <v>3.2874999999999998E-7</v>
      </c>
      <c r="C6" s="23">
        <f>C5/0.7</f>
        <v>1.3057142857142858E-6</v>
      </c>
    </row>
    <row r="7" spans="1:3">
      <c r="A7" s="10" t="s">
        <v>16</v>
      </c>
      <c r="B7">
        <f>10^(-7)</f>
        <v>9.9999999999999995E-8</v>
      </c>
      <c r="C7">
        <f>10^(-7)</f>
        <v>9.9999999999999995E-8</v>
      </c>
    </row>
    <row r="8" spans="1:3">
      <c r="A8" s="10" t="s">
        <v>55</v>
      </c>
      <c r="B8">
        <v>1E-4</v>
      </c>
      <c r="C8">
        <v>1.2999999999999999E-3</v>
      </c>
    </row>
    <row r="9" spans="1:3">
      <c r="A9" s="10" t="s">
        <v>56</v>
      </c>
      <c r="B9">
        <v>1</v>
      </c>
      <c r="C9">
        <v>1</v>
      </c>
    </row>
    <row r="10" spans="1:3">
      <c r="A10" s="22" t="s">
        <v>57</v>
      </c>
      <c r="B10">
        <v>1.2636845442113618E-5</v>
      </c>
      <c r="C10">
        <v>1.5827915346588083E-5</v>
      </c>
    </row>
    <row r="11" spans="1:3">
      <c r="A11" s="22" t="s">
        <v>18</v>
      </c>
      <c r="B11">
        <v>6.8052861198278922E-4</v>
      </c>
      <c r="C11">
        <v>7.8862343268019572E-4</v>
      </c>
    </row>
    <row r="12" spans="1:3">
      <c r="A12" s="22" t="s">
        <v>58</v>
      </c>
      <c r="B12" s="23">
        <f>10*10^(-9)</f>
        <v>1E-8</v>
      </c>
      <c r="C12" s="23">
        <f>50000*10^(-9)</f>
        <v>5.0000000000000002E-5</v>
      </c>
    </row>
    <row r="13" spans="1:3">
      <c r="A13" s="10" t="s">
        <v>17</v>
      </c>
      <c r="B13">
        <f>0.00001</f>
        <v>1.0000000000000001E-5</v>
      </c>
      <c r="C13">
        <f>0.001</f>
        <v>1E-3</v>
      </c>
    </row>
    <row r="14" spans="1:3">
      <c r="A14" s="22" t="s">
        <v>59</v>
      </c>
      <c r="B14">
        <v>1.8408958447001738E-4</v>
      </c>
      <c r="C14">
        <v>2.0925442490071766E-4</v>
      </c>
    </row>
    <row r="15" spans="1:3">
      <c r="A15" s="30" t="s">
        <v>116</v>
      </c>
      <c r="B15" s="20">
        <f>10*10^(-9)</f>
        <v>1E-8</v>
      </c>
      <c r="C15" s="20">
        <f>0.0015</f>
        <v>1.5E-3</v>
      </c>
    </row>
    <row r="16" spans="1:3">
      <c r="A16" s="22" t="s">
        <v>117</v>
      </c>
      <c r="B16">
        <v>4.1286731423955986E-5</v>
      </c>
      <c r="C16">
        <v>5.5297315162253265E-5</v>
      </c>
    </row>
    <row r="17" spans="1:3">
      <c r="A17" s="22" t="s">
        <v>19</v>
      </c>
      <c r="B17">
        <v>2.7563925017618364E-4</v>
      </c>
      <c r="C17">
        <v>3.1779723672520984E-4</v>
      </c>
    </row>
    <row r="18" spans="1:3">
      <c r="A18" s="23" t="s">
        <v>118</v>
      </c>
      <c r="B18">
        <v>1.42742949435234E-4</v>
      </c>
      <c r="C18">
        <v>9.7491146729021387E-4</v>
      </c>
    </row>
    <row r="19" spans="1:3">
      <c r="A19" t="s">
        <v>61</v>
      </c>
      <c r="B19">
        <v>1E-3</v>
      </c>
      <c r="C19">
        <v>7.0000000000000007E-2</v>
      </c>
    </row>
    <row r="20" spans="1:3">
      <c r="A20" s="19" t="s">
        <v>13</v>
      </c>
      <c r="B20" s="19">
        <f>'[1]Total carbon calculation'!B16</f>
        <v>3.8776056243890001E-5</v>
      </c>
      <c r="C20" s="19">
        <f>'[1]Total carbon calculation'!C16</f>
        <v>1.6761537486568003E-4</v>
      </c>
    </row>
    <row r="21" spans="1:3">
      <c r="A21" s="23" t="s">
        <v>62</v>
      </c>
      <c r="B21">
        <f>10^-7</f>
        <v>9.9999999999999995E-8</v>
      </c>
      <c r="C21">
        <v>1.5854525922903595E-4</v>
      </c>
    </row>
    <row r="22" spans="1:3">
      <c r="A22" s="23" t="s">
        <v>63</v>
      </c>
      <c r="B22" s="23">
        <v>1.8470035137252736E-4</v>
      </c>
      <c r="C22" s="23">
        <v>7.0549100349389434E-4</v>
      </c>
    </row>
    <row r="23" spans="1:3">
      <c r="A23" t="s">
        <v>194</v>
      </c>
      <c r="B23" s="20">
        <f>10*10^(-9)</f>
        <v>1E-8</v>
      </c>
      <c r="C23" s="20">
        <f>C15/2</f>
        <v>7.5000000000000002E-4</v>
      </c>
    </row>
    <row r="24" spans="1:3">
      <c r="A24" t="s">
        <v>166</v>
      </c>
      <c r="B24" s="20">
        <f>10*10^(-9)</f>
        <v>1E-8</v>
      </c>
      <c r="C24" s="23">
        <f>C21</f>
        <v>1.5854525922903595E-4</v>
      </c>
    </row>
    <row r="25" spans="1:3">
      <c r="A25" t="s">
        <v>167</v>
      </c>
      <c r="B25" s="19">
        <v>1.8470035137252736E-4</v>
      </c>
      <c r="C25" s="19">
        <v>7.0549100349389402E-4</v>
      </c>
    </row>
    <row r="26" spans="1:3">
      <c r="A26" s="23" t="s">
        <v>64</v>
      </c>
      <c r="B26" s="23">
        <v>3.0687381030423358E-4</v>
      </c>
      <c r="C26" s="23">
        <v>3.2684795636243305E-4</v>
      </c>
    </row>
    <row r="27" spans="1:3">
      <c r="A27" s="23" t="s">
        <v>65</v>
      </c>
      <c r="B27" s="23">
        <v>4.1765360191544661E-4</v>
      </c>
      <c r="C27" s="23">
        <v>5.1722099808455347E-4</v>
      </c>
    </row>
    <row r="28" spans="1:3">
      <c r="A28" s="23" t="s">
        <v>175</v>
      </c>
      <c r="B28">
        <v>8.3530720383089317E-5</v>
      </c>
      <c r="C28">
        <v>1.034441996169107E-4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stoic</vt:lpstr>
      <vt:lpstr>rxns</vt:lpstr>
      <vt:lpstr>mets</vt:lpstr>
      <vt:lpstr>splitRatios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  <vt:lpstr>Total carbon calculation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McCubbin</dc:creator>
  <cp:lastModifiedBy>Tim2</cp:lastModifiedBy>
  <cp:revision>16</cp:revision>
  <dcterms:created xsi:type="dcterms:W3CDTF">2018-07-19T11:13:47Z</dcterms:created>
  <dcterms:modified xsi:type="dcterms:W3CDTF">2020-09-09T23:12:29Z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